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C:\Users\v_magnie\Downloads\"/>
    </mc:Choice>
  </mc:AlternateContent>
  <xr:revisionPtr revIDLastSave="0" documentId="13_ncr:1_{8EA1BC99-475E-46AC-89E6-4716AED3C3A6}" xr6:coauthVersionLast="47" xr6:coauthVersionMax="47" xr10:uidLastSave="{00000000-0000-0000-0000-000000000000}"/>
  <bookViews>
    <workbookView xWindow="-120" yWindow="-120" windowWidth="29040" windowHeight="15720" tabRatio="715" firstSheet="2" activeTab="4" xr2:uid="{00000000-000D-0000-FFFF-FFFF00000000}"/>
  </bookViews>
  <sheets>
    <sheet name="Title_Sheet" sheetId="3" r:id="rId1"/>
    <sheet name="Hub" sheetId="16" r:id="rId2"/>
    <sheet name="Dashboard" sheetId="17" r:id="rId3"/>
    <sheet name="3_Main_Models ---&gt;" sheetId="22" r:id="rId4"/>
    <sheet name="DCF" sheetId="8" r:id="rId5"/>
    <sheet name="LBO" sheetId="20" r:id="rId6"/>
    <sheet name="Merger" sheetId="21" r:id="rId7"/>
    <sheet name="LBO_Extras ---&gt;" sheetId="23" r:id="rId8"/>
    <sheet name="DCF Synergies" sheetId="18" r:id="rId9"/>
    <sheet name="Main_Components ---&gt;" sheetId="24" r:id="rId10"/>
    <sheet name="Operating_Model" sheetId="2" r:id="rId11"/>
    <sheet name="WACC_Calculator" sheetId="4" r:id="rId12"/>
    <sheet name="D&amp;A+CAPEX" sheetId="25" r:id="rId13"/>
    <sheet name="Net_Working_Capital" sheetId="14" r:id="rId14"/>
    <sheet name="Scenario_Analysis---&gt;" sheetId="5" r:id="rId15"/>
    <sheet name="SC_Manager" sheetId="6" r:id="rId16"/>
    <sheet name="Time_Series" sheetId="7" r:id="rId17"/>
    <sheet name="Buildups---&gt;" sheetId="10" r:id="rId18"/>
    <sheet name="Revenue_Build" sheetId="11" r:id="rId19"/>
    <sheet name="Historicals" sheetId="12" r:id="rId20"/>
    <sheet name="Debt_Schedule" sheetId="13" r:id="rId21"/>
  </sheets>
  <definedNames>
    <definedName name="_bdm.0639f49dd6324777aaf9e23a95d3389f.edm" localSheetId="1" hidden="1">Hub!$H$21</definedName>
    <definedName name="_bdm.1779b7a460a04846893528621c41f737.edm" hidden="1">DCF!$1:$1048576</definedName>
    <definedName name="_bdm.85d87dfd36454659ac5cc8f8a29cb32a.edm" hidden="1">Hub!$1:$1048576</definedName>
    <definedName name="_bdm.8e4253488acd49b381191399a3bc7766.edm" localSheetId="4" hidden="1">DCF!$D$29</definedName>
  </definedNames>
  <calcPr calcId="191028" iterate="1"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16" l="1" a="1"/>
  <c r="H6" i="16"/>
  <c r="M11" i="8"/>
  <c r="H36" i="25"/>
  <c r="H39" i="25"/>
  <c r="D12" i="2"/>
  <c r="D15" i="2"/>
  <c r="D18" i="2"/>
  <c r="D21" i="2"/>
  <c r="D24" i="2"/>
  <c r="D27" i="2"/>
  <c r="D30" i="2"/>
  <c r="D33" i="2"/>
  <c r="D36" i="2"/>
  <c r="D39" i="2"/>
  <c r="D42" i="2" a="1"/>
  <c r="D42" i="2"/>
  <c r="D37" i="12"/>
  <c r="E12" i="2"/>
  <c r="E13" i="2"/>
  <c r="E15" i="2"/>
  <c r="E16" i="2"/>
  <c r="E18" i="2"/>
  <c r="E19" i="2"/>
  <c r="E21" i="2"/>
  <c r="E22" i="2"/>
  <c r="E24" i="2"/>
  <c r="E25" i="2"/>
  <c r="E27" i="2"/>
  <c r="E28" i="2"/>
  <c r="E30" i="2"/>
  <c r="E31" i="2"/>
  <c r="E33" i="2"/>
  <c r="E34" i="2"/>
  <c r="E36" i="2"/>
  <c r="E37" i="2"/>
  <c r="E39" i="2"/>
  <c r="E40" i="2"/>
  <c r="E42" i="2" a="1"/>
  <c r="E42" i="2"/>
  <c r="E37" i="12"/>
  <c r="F12" i="2"/>
  <c r="F13" i="2"/>
  <c r="F15" i="2"/>
  <c r="F16" i="2"/>
  <c r="F18" i="2"/>
  <c r="F19" i="2"/>
  <c r="F21" i="2"/>
  <c r="F22" i="2"/>
  <c r="F24" i="2"/>
  <c r="F25" i="2"/>
  <c r="F27" i="2"/>
  <c r="F28" i="2"/>
  <c r="F30" i="2"/>
  <c r="F31" i="2"/>
  <c r="F33" i="2"/>
  <c r="F34" i="2"/>
  <c r="F36" i="2"/>
  <c r="F37" i="2"/>
  <c r="F39" i="2"/>
  <c r="F40" i="2"/>
  <c r="F42" i="2" a="1"/>
  <c r="F42" i="2"/>
  <c r="F37" i="12"/>
  <c r="G12" i="2"/>
  <c r="G13" i="2"/>
  <c r="G15" i="2"/>
  <c r="G16" i="2"/>
  <c r="G18" i="2"/>
  <c r="G19" i="2"/>
  <c r="G21" i="2"/>
  <c r="G22" i="2"/>
  <c r="G24" i="2"/>
  <c r="G25" i="2"/>
  <c r="G27" i="2"/>
  <c r="G28" i="2"/>
  <c r="G30" i="2"/>
  <c r="G31" i="2"/>
  <c r="G33" i="2"/>
  <c r="G34" i="2"/>
  <c r="G36" i="2"/>
  <c r="G37" i="2"/>
  <c r="G39" i="2"/>
  <c r="G40" i="2"/>
  <c r="G42" i="2" a="1"/>
  <c r="G42" i="2"/>
  <c r="G37" i="12"/>
  <c r="H12" i="2"/>
  <c r="H13" i="2"/>
  <c r="H15" i="2"/>
  <c r="H16" i="2"/>
  <c r="H18" i="2"/>
  <c r="H19" i="2"/>
  <c r="H21" i="2"/>
  <c r="H22" i="2"/>
  <c r="H24" i="2"/>
  <c r="H25" i="2"/>
  <c r="H27" i="2"/>
  <c r="H28" i="2"/>
  <c r="H30" i="2"/>
  <c r="H31" i="2"/>
  <c r="H33" i="2"/>
  <c r="H34" i="2"/>
  <c r="H36" i="2"/>
  <c r="H37" i="2"/>
  <c r="H39" i="2"/>
  <c r="H40" i="2"/>
  <c r="H42" i="2" a="1"/>
  <c r="H42" i="2"/>
  <c r="H37" i="12"/>
  <c r="P13" i="7"/>
  <c r="F13" i="7"/>
  <c r="F11" i="7" a="1"/>
  <c r="F11" i="7"/>
  <c r="H6" i="11"/>
  <c r="I12" i="2"/>
  <c r="I13" i="2"/>
  <c r="P21" i="7"/>
  <c r="F21" i="7"/>
  <c r="F19" i="7" a="1"/>
  <c r="F19" i="7"/>
  <c r="H9" i="11"/>
  <c r="I15" i="2"/>
  <c r="I16" i="2"/>
  <c r="P29" i="7"/>
  <c r="F29" i="7"/>
  <c r="F27" i="7" a="1"/>
  <c r="F27" i="7"/>
  <c r="H12" i="11"/>
  <c r="I18" i="2"/>
  <c r="I19" i="2"/>
  <c r="P37" i="7"/>
  <c r="F37" i="7"/>
  <c r="F35" i="7" a="1"/>
  <c r="F35" i="7"/>
  <c r="H15" i="11"/>
  <c r="I21" i="2"/>
  <c r="I22" i="2"/>
  <c r="P45" i="7"/>
  <c r="F45" i="7"/>
  <c r="F43" i="7" a="1"/>
  <c r="F43" i="7"/>
  <c r="H18" i="11"/>
  <c r="I24" i="2"/>
  <c r="I25" i="2"/>
  <c r="P53" i="7"/>
  <c r="F53" i="7"/>
  <c r="F51" i="7" a="1"/>
  <c r="F51" i="7"/>
  <c r="H21" i="11"/>
  <c r="I27" i="2"/>
  <c r="I28" i="2"/>
  <c r="I30" i="2"/>
  <c r="I31" i="2"/>
  <c r="I33" i="2"/>
  <c r="I34" i="2"/>
  <c r="I36" i="2"/>
  <c r="I37" i="2"/>
  <c r="I39" i="2"/>
  <c r="I40" i="2"/>
  <c r="C12" i="8"/>
  <c r="V35" i="13"/>
  <c r="U37" i="13"/>
  <c r="U39" i="13"/>
  <c r="T41" i="13"/>
  <c r="U41" i="13"/>
  <c r="V43" i="13"/>
  <c r="W35" i="13"/>
  <c r="V37" i="13"/>
  <c r="V39" i="13"/>
  <c r="V41" i="13"/>
  <c r="W43" i="13"/>
  <c r="X35" i="13"/>
  <c r="W37" i="13"/>
  <c r="W39" i="13"/>
  <c r="W41" i="13"/>
  <c r="X43" i="13"/>
  <c r="Y35" i="13"/>
  <c r="X37" i="13"/>
  <c r="X39" i="13"/>
  <c r="X41" i="13"/>
  <c r="Y43" i="13"/>
  <c r="U35" i="13"/>
  <c r="U43" i="13"/>
  <c r="F25" i="13"/>
  <c r="O25" i="13"/>
  <c r="Y13" i="13"/>
  <c r="D16" i="25"/>
  <c r="D32" i="25"/>
  <c r="D36" i="25"/>
  <c r="D44" i="25"/>
  <c r="D39" i="25"/>
  <c r="D83" i="2"/>
  <c r="E83" i="2"/>
  <c r="F83" i="2"/>
  <c r="G83" i="2"/>
  <c r="H83" i="2"/>
  <c r="H41" i="25"/>
  <c r="H10" i="25"/>
  <c r="D41" i="25"/>
  <c r="D10" i="25"/>
  <c r="D38" i="12"/>
  <c r="E38" i="12"/>
  <c r="F38" i="12"/>
  <c r="G38" i="12"/>
  <c r="H38" i="12"/>
  <c r="I7" i="14"/>
  <c r="Z43" i="13"/>
  <c r="Y37" i="13"/>
  <c r="Y39" i="13"/>
  <c r="Y41" i="13"/>
  <c r="Z35" i="13"/>
  <c r="D7" i="11"/>
  <c r="D10" i="11"/>
  <c r="D13" i="11"/>
  <c r="D16" i="11"/>
  <c r="D19" i="11"/>
  <c r="D22" i="11"/>
  <c r="D36" i="11" a="1"/>
  <c r="D36" i="11"/>
  <c r="E24" i="12"/>
  <c r="E39" i="12"/>
  <c r="E41" i="12"/>
  <c r="E7" i="11"/>
  <c r="E10" i="11"/>
  <c r="E13" i="11"/>
  <c r="E16" i="11"/>
  <c r="E19" i="11"/>
  <c r="E36" i="11" a="1"/>
  <c r="E36" i="11"/>
  <c r="F24" i="12"/>
  <c r="F39" i="12"/>
  <c r="F41" i="12"/>
  <c r="F7" i="11"/>
  <c r="F10" i="11"/>
  <c r="F13" i="11"/>
  <c r="F16" i="11"/>
  <c r="F19" i="11"/>
  <c r="F36" i="11" a="1"/>
  <c r="F36" i="11"/>
  <c r="G24" i="12"/>
  <c r="G39" i="12"/>
  <c r="G41" i="12"/>
  <c r="G7" i="11"/>
  <c r="G10" i="11"/>
  <c r="G13" i="11"/>
  <c r="G16" i="11"/>
  <c r="G19" i="11"/>
  <c r="G22" i="11"/>
  <c r="G36" i="11" a="1"/>
  <c r="G36" i="11"/>
  <c r="H24" i="12"/>
  <c r="H39" i="12"/>
  <c r="H41" i="12"/>
  <c r="G31" i="6" a="1"/>
  <c r="G31" i="6"/>
  <c r="D19" i="7"/>
  <c r="H10" i="11"/>
  <c r="H7" i="11"/>
  <c r="H13" i="11"/>
  <c r="H16" i="11"/>
  <c r="H19" i="11"/>
  <c r="H22" i="11"/>
  <c r="H36" i="11" a="1"/>
  <c r="H36" i="11"/>
  <c r="I24" i="12"/>
  <c r="D39" i="12"/>
  <c r="G21" i="7"/>
  <c r="G19" i="7" a="1"/>
  <c r="G19" i="7"/>
  <c r="I9" i="11"/>
  <c r="J15" i="2"/>
  <c r="J16" i="2"/>
  <c r="G13" i="7"/>
  <c r="G11" i="7" a="1"/>
  <c r="G11" i="7"/>
  <c r="I6" i="11"/>
  <c r="J12" i="2"/>
  <c r="J13" i="2"/>
  <c r="G29" i="7"/>
  <c r="G27" i="7" a="1"/>
  <c r="G27" i="7"/>
  <c r="I12" i="11"/>
  <c r="J18" i="2"/>
  <c r="J19" i="2"/>
  <c r="G37" i="7"/>
  <c r="G35" i="7" a="1"/>
  <c r="G35" i="7"/>
  <c r="I15" i="11"/>
  <c r="J21" i="2"/>
  <c r="J22" i="2"/>
  <c r="G45" i="7"/>
  <c r="G43" i="7" a="1"/>
  <c r="G43" i="7"/>
  <c r="I18" i="11"/>
  <c r="J24" i="2"/>
  <c r="J25" i="2"/>
  <c r="G53" i="7"/>
  <c r="G51" i="7" a="1"/>
  <c r="G51" i="7"/>
  <c r="I21" i="11"/>
  <c r="J27" i="2"/>
  <c r="J28" i="2"/>
  <c r="J30" i="2"/>
  <c r="J31" i="2"/>
  <c r="J33" i="2"/>
  <c r="J34" i="2"/>
  <c r="J36" i="2"/>
  <c r="J37" i="2"/>
  <c r="J39" i="2"/>
  <c r="J40" i="2"/>
  <c r="J42" i="2" a="1"/>
  <c r="J42" i="2"/>
  <c r="I10" i="11"/>
  <c r="I7" i="11"/>
  <c r="I13" i="11"/>
  <c r="I16" i="11"/>
  <c r="I19" i="11"/>
  <c r="I22" i="11"/>
  <c r="I36" i="11" a="1"/>
  <c r="I36" i="11"/>
  <c r="J24" i="12"/>
  <c r="H21" i="7"/>
  <c r="H19" i="7" a="1"/>
  <c r="H19" i="7"/>
  <c r="J9" i="11"/>
  <c r="K15" i="2"/>
  <c r="K16" i="2"/>
  <c r="H13" i="7"/>
  <c r="H11" i="7" a="1"/>
  <c r="H11" i="7"/>
  <c r="J6" i="11"/>
  <c r="K12" i="2"/>
  <c r="K13" i="2"/>
  <c r="H29" i="7"/>
  <c r="H27" i="7" a="1"/>
  <c r="H27" i="7"/>
  <c r="J12" i="11"/>
  <c r="K18" i="2"/>
  <c r="K19" i="2"/>
  <c r="H37" i="7"/>
  <c r="H35" i="7" a="1"/>
  <c r="H35" i="7"/>
  <c r="J15" i="11"/>
  <c r="K21" i="2"/>
  <c r="K22" i="2"/>
  <c r="H45" i="7"/>
  <c r="H43" i="7" a="1"/>
  <c r="H43" i="7"/>
  <c r="J18" i="11"/>
  <c r="K24" i="2"/>
  <c r="K25" i="2"/>
  <c r="H53" i="7"/>
  <c r="H51" i="7" a="1"/>
  <c r="H51" i="7"/>
  <c r="J21" i="11"/>
  <c r="K27" i="2"/>
  <c r="K28" i="2"/>
  <c r="K30" i="2"/>
  <c r="K31" i="2"/>
  <c r="K33" i="2"/>
  <c r="K34" i="2"/>
  <c r="K36" i="2"/>
  <c r="K37" i="2"/>
  <c r="K39" i="2"/>
  <c r="K40" i="2"/>
  <c r="K42" i="2" a="1"/>
  <c r="K42" i="2"/>
  <c r="J10" i="11"/>
  <c r="J7" i="11"/>
  <c r="J13" i="11"/>
  <c r="J16" i="11"/>
  <c r="J19" i="11"/>
  <c r="J22" i="11"/>
  <c r="J36" i="11" a="1"/>
  <c r="J36" i="11"/>
  <c r="K24" i="12"/>
  <c r="I21" i="7"/>
  <c r="I19" i="7" a="1"/>
  <c r="I19" i="7"/>
  <c r="K9" i="11"/>
  <c r="L15" i="2"/>
  <c r="L16" i="2"/>
  <c r="I13" i="7"/>
  <c r="I11" i="7" a="1"/>
  <c r="I11" i="7"/>
  <c r="K6" i="11"/>
  <c r="L12" i="2"/>
  <c r="L13" i="2"/>
  <c r="I29" i="7"/>
  <c r="I27" i="7" a="1"/>
  <c r="I27" i="7"/>
  <c r="K12" i="11"/>
  <c r="L18" i="2"/>
  <c r="L19" i="2"/>
  <c r="I37" i="7"/>
  <c r="I35" i="7" a="1"/>
  <c r="I35" i="7"/>
  <c r="K15" i="11"/>
  <c r="L21" i="2"/>
  <c r="L22" i="2"/>
  <c r="I45" i="7"/>
  <c r="I43" i="7" a="1"/>
  <c r="I43" i="7"/>
  <c r="K18" i="11"/>
  <c r="L24" i="2"/>
  <c r="L25" i="2"/>
  <c r="I53" i="7"/>
  <c r="I51" i="7" a="1"/>
  <c r="I51" i="7"/>
  <c r="K21" i="11"/>
  <c r="L27" i="2"/>
  <c r="L28" i="2"/>
  <c r="L30" i="2"/>
  <c r="L31" i="2"/>
  <c r="L33" i="2"/>
  <c r="L34" i="2"/>
  <c r="L36" i="2"/>
  <c r="L37" i="2"/>
  <c r="L39" i="2"/>
  <c r="L40" i="2"/>
  <c r="L42" i="2" a="1"/>
  <c r="L42" i="2"/>
  <c r="K10" i="11"/>
  <c r="K7" i="11"/>
  <c r="K13" i="11"/>
  <c r="K16" i="11"/>
  <c r="K19" i="11"/>
  <c r="K22" i="11"/>
  <c r="K36" i="11" a="1"/>
  <c r="K36" i="11"/>
  <c r="L24" i="12"/>
  <c r="J21" i="7"/>
  <c r="J19" i="7" a="1"/>
  <c r="J19" i="7"/>
  <c r="L9" i="11"/>
  <c r="M15" i="2"/>
  <c r="M16" i="2"/>
  <c r="J13" i="7"/>
  <c r="J11" i="7" a="1"/>
  <c r="J11" i="7"/>
  <c r="L6" i="11"/>
  <c r="M12" i="2"/>
  <c r="M13" i="2"/>
  <c r="J29" i="7"/>
  <c r="J27" i="7" a="1"/>
  <c r="J27" i="7"/>
  <c r="L12" i="11"/>
  <c r="M18" i="2"/>
  <c r="M19" i="2"/>
  <c r="J37" i="7"/>
  <c r="J35" i="7" a="1"/>
  <c r="J35" i="7"/>
  <c r="L15" i="11"/>
  <c r="M21" i="2"/>
  <c r="M22" i="2"/>
  <c r="J45" i="7"/>
  <c r="J43" i="7" a="1"/>
  <c r="J43" i="7"/>
  <c r="L18" i="11"/>
  <c r="M24" i="2"/>
  <c r="M25" i="2"/>
  <c r="J53" i="7"/>
  <c r="J51" i="7" a="1"/>
  <c r="J51" i="7"/>
  <c r="L21" i="11"/>
  <c r="M27" i="2"/>
  <c r="M28" i="2"/>
  <c r="M30" i="2"/>
  <c r="M31" i="2"/>
  <c r="M33" i="2"/>
  <c r="M34" i="2"/>
  <c r="M36" i="2"/>
  <c r="M37" i="2"/>
  <c r="M39" i="2"/>
  <c r="M40" i="2"/>
  <c r="M42" i="2" a="1"/>
  <c r="M42" i="2"/>
  <c r="L10" i="11"/>
  <c r="L7" i="11"/>
  <c r="L13" i="11"/>
  <c r="L16" i="11"/>
  <c r="L19" i="11"/>
  <c r="L22" i="11"/>
  <c r="L36" i="11" a="1"/>
  <c r="L36" i="11"/>
  <c r="M24" i="12"/>
  <c r="K21" i="7"/>
  <c r="K19" i="7" a="1"/>
  <c r="K19" i="7"/>
  <c r="M9" i="11"/>
  <c r="N15" i="2"/>
  <c r="N16" i="2"/>
  <c r="K13" i="7"/>
  <c r="K11" i="7" a="1"/>
  <c r="K11" i="7"/>
  <c r="M6" i="11"/>
  <c r="N12" i="2"/>
  <c r="N13" i="2"/>
  <c r="K29" i="7"/>
  <c r="K27" i="7" a="1"/>
  <c r="K27" i="7"/>
  <c r="M12" i="11"/>
  <c r="N18" i="2"/>
  <c r="N19" i="2"/>
  <c r="K37" i="7"/>
  <c r="K35" i="7" a="1"/>
  <c r="K35" i="7"/>
  <c r="M15" i="11"/>
  <c r="N21" i="2"/>
  <c r="N22" i="2"/>
  <c r="K45" i="7"/>
  <c r="K43" i="7" a="1"/>
  <c r="K43" i="7"/>
  <c r="M18" i="11"/>
  <c r="N24" i="2"/>
  <c r="N25" i="2"/>
  <c r="K53" i="7"/>
  <c r="K51" i="7" a="1"/>
  <c r="K51" i="7"/>
  <c r="M21" i="11"/>
  <c r="N27" i="2"/>
  <c r="N28" i="2"/>
  <c r="N30" i="2"/>
  <c r="N31" i="2"/>
  <c r="N33" i="2"/>
  <c r="N34" i="2"/>
  <c r="N36" i="2"/>
  <c r="N37" i="2"/>
  <c r="N39" i="2"/>
  <c r="N40" i="2"/>
  <c r="N42" i="2" a="1"/>
  <c r="N42" i="2"/>
  <c r="M10" i="11"/>
  <c r="M7" i="11"/>
  <c r="M13" i="11"/>
  <c r="M16" i="11"/>
  <c r="M19" i="11"/>
  <c r="M22" i="11"/>
  <c r="M36" i="11" a="1"/>
  <c r="M36" i="11"/>
  <c r="N24" i="12"/>
  <c r="L21" i="7"/>
  <c r="L19" i="7" a="1"/>
  <c r="L19" i="7"/>
  <c r="N9" i="11"/>
  <c r="O15" i="2"/>
  <c r="O16" i="2"/>
  <c r="L13" i="7"/>
  <c r="L11" i="7" a="1"/>
  <c r="L11" i="7"/>
  <c r="N6" i="11"/>
  <c r="O12" i="2"/>
  <c r="O13" i="2"/>
  <c r="L29" i="7"/>
  <c r="L27" i="7" a="1"/>
  <c r="L27" i="7"/>
  <c r="N12" i="11"/>
  <c r="O18" i="2"/>
  <c r="O19" i="2"/>
  <c r="L37" i="7"/>
  <c r="L35" i="7" a="1"/>
  <c r="L35" i="7"/>
  <c r="N15" i="11"/>
  <c r="O21" i="2"/>
  <c r="O22" i="2"/>
  <c r="L45" i="7"/>
  <c r="L43" i="7" a="1"/>
  <c r="L43" i="7"/>
  <c r="N18" i="11"/>
  <c r="O24" i="2"/>
  <c r="O25" i="2"/>
  <c r="L53" i="7"/>
  <c r="L51" i="7" a="1"/>
  <c r="L51" i="7"/>
  <c r="N21" i="11"/>
  <c r="O27" i="2"/>
  <c r="O28" i="2"/>
  <c r="O30" i="2"/>
  <c r="O31" i="2"/>
  <c r="O33" i="2"/>
  <c r="O34" i="2"/>
  <c r="O36" i="2"/>
  <c r="O37" i="2"/>
  <c r="O39" i="2"/>
  <c r="O40" i="2"/>
  <c r="O42" i="2" a="1"/>
  <c r="O42" i="2"/>
  <c r="N10" i="11"/>
  <c r="N7" i="11"/>
  <c r="N13" i="11"/>
  <c r="N16" i="11"/>
  <c r="N19" i="11"/>
  <c r="N22" i="11"/>
  <c r="N36" i="11" a="1"/>
  <c r="N36" i="11"/>
  <c r="O24" i="12"/>
  <c r="M21" i="7"/>
  <c r="M19" i="7" a="1"/>
  <c r="M19" i="7"/>
  <c r="O9" i="11"/>
  <c r="P15" i="2"/>
  <c r="P16" i="2"/>
  <c r="M13" i="7"/>
  <c r="M11" i="7" a="1"/>
  <c r="M11" i="7"/>
  <c r="O6" i="11"/>
  <c r="P12" i="2"/>
  <c r="P13" i="2"/>
  <c r="M29" i="7"/>
  <c r="M27" i="7" a="1"/>
  <c r="M27" i="7"/>
  <c r="O12" i="11"/>
  <c r="P18" i="2"/>
  <c r="P19" i="2"/>
  <c r="M37" i="7"/>
  <c r="M35" i="7" a="1"/>
  <c r="M35" i="7"/>
  <c r="O15" i="11"/>
  <c r="P21" i="2"/>
  <c r="P22" i="2"/>
  <c r="M45" i="7"/>
  <c r="M43" i="7" a="1"/>
  <c r="M43" i="7"/>
  <c r="O18" i="11"/>
  <c r="P24" i="2"/>
  <c r="P25" i="2"/>
  <c r="M53" i="7"/>
  <c r="M51" i="7" a="1"/>
  <c r="M51" i="7"/>
  <c r="O21" i="11"/>
  <c r="P27" i="2"/>
  <c r="P28" i="2"/>
  <c r="P30" i="2"/>
  <c r="P31" i="2"/>
  <c r="P33" i="2"/>
  <c r="P34" i="2"/>
  <c r="P36" i="2"/>
  <c r="P37" i="2"/>
  <c r="P39" i="2"/>
  <c r="P40" i="2"/>
  <c r="P42" i="2" a="1"/>
  <c r="P42" i="2"/>
  <c r="O10" i="11"/>
  <c r="O7" i="11"/>
  <c r="O13" i="11"/>
  <c r="O16" i="11"/>
  <c r="O19" i="11"/>
  <c r="O22" i="11"/>
  <c r="O36" i="11" a="1"/>
  <c r="O36" i="11"/>
  <c r="P24" i="12"/>
  <c r="N21" i="7"/>
  <c r="N19" i="7" a="1"/>
  <c r="N19" i="7"/>
  <c r="P9" i="11"/>
  <c r="Q15" i="2"/>
  <c r="Q16" i="2"/>
  <c r="N13" i="7"/>
  <c r="N11" i="7" a="1"/>
  <c r="N11" i="7"/>
  <c r="P6" i="11"/>
  <c r="Q12" i="2"/>
  <c r="Q13" i="2"/>
  <c r="N29" i="7"/>
  <c r="N27" i="7" a="1"/>
  <c r="N27" i="7"/>
  <c r="P12" i="11"/>
  <c r="Q18" i="2"/>
  <c r="Q19" i="2"/>
  <c r="N37" i="7"/>
  <c r="N35" i="7" a="1"/>
  <c r="N35" i="7"/>
  <c r="P15" i="11"/>
  <c r="Q21" i="2"/>
  <c r="Q22" i="2"/>
  <c r="N45" i="7"/>
  <c r="N43" i="7" a="1"/>
  <c r="N43" i="7"/>
  <c r="P18" i="11"/>
  <c r="Q24" i="2"/>
  <c r="Q25" i="2"/>
  <c r="N53" i="7"/>
  <c r="N51" i="7" a="1"/>
  <c r="N51" i="7"/>
  <c r="P21" i="11"/>
  <c r="Q27" i="2"/>
  <c r="Q28" i="2"/>
  <c r="Q30" i="2"/>
  <c r="Q31" i="2"/>
  <c r="Q33" i="2"/>
  <c r="Q34" i="2"/>
  <c r="Q36" i="2"/>
  <c r="Q37" i="2"/>
  <c r="Q39" i="2"/>
  <c r="Q40" i="2"/>
  <c r="Q42" i="2" a="1"/>
  <c r="Q42" i="2"/>
  <c r="P10" i="11"/>
  <c r="P7" i="11"/>
  <c r="P13" i="11"/>
  <c r="P16" i="11"/>
  <c r="P19" i="11"/>
  <c r="P22" i="11"/>
  <c r="P36" i="11" a="1"/>
  <c r="P36" i="11"/>
  <c r="Q24" i="12"/>
  <c r="O21" i="7"/>
  <c r="O19" i="7" a="1"/>
  <c r="O19" i="7"/>
  <c r="Q9" i="11"/>
  <c r="R15" i="2"/>
  <c r="R16" i="2"/>
  <c r="O13" i="7"/>
  <c r="O11" i="7" a="1"/>
  <c r="O11" i="7"/>
  <c r="Q6" i="11"/>
  <c r="R12" i="2"/>
  <c r="R13" i="2"/>
  <c r="O29" i="7"/>
  <c r="O27" i="7" a="1"/>
  <c r="O27" i="7"/>
  <c r="Q12" i="11"/>
  <c r="R18" i="2"/>
  <c r="R19" i="2"/>
  <c r="O37" i="7"/>
  <c r="O35" i="7" a="1"/>
  <c r="O35" i="7"/>
  <c r="Q15" i="11"/>
  <c r="R21" i="2"/>
  <c r="R22" i="2"/>
  <c r="O45" i="7"/>
  <c r="O43" i="7" a="1"/>
  <c r="O43" i="7"/>
  <c r="Q18" i="11"/>
  <c r="R24" i="2"/>
  <c r="R25" i="2"/>
  <c r="O53" i="7"/>
  <c r="O51" i="7" a="1"/>
  <c r="O51" i="7"/>
  <c r="Q21" i="11"/>
  <c r="R27" i="2"/>
  <c r="R28" i="2"/>
  <c r="R30" i="2"/>
  <c r="R31" i="2"/>
  <c r="R33" i="2"/>
  <c r="R34" i="2"/>
  <c r="R36" i="2"/>
  <c r="R37" i="2"/>
  <c r="R39" i="2"/>
  <c r="R40" i="2"/>
  <c r="R42" i="2" a="1"/>
  <c r="R42" i="2"/>
  <c r="Q10" i="11"/>
  <c r="Q7" i="11"/>
  <c r="Q13" i="11"/>
  <c r="Q16" i="11"/>
  <c r="Q19" i="11"/>
  <c r="Q22" i="11"/>
  <c r="Q36" i="11" a="1"/>
  <c r="Q36" i="11"/>
  <c r="R24" i="12"/>
  <c r="C36" i="11" a="1"/>
  <c r="C36" i="11"/>
  <c r="D24" i="12"/>
  <c r="D41" i="12"/>
  <c r="I13" i="12"/>
  <c r="J13" i="12"/>
  <c r="K13" i="12"/>
  <c r="L13" i="12"/>
  <c r="M13" i="12"/>
  <c r="N13" i="12"/>
  <c r="O13" i="12"/>
  <c r="P13" i="12"/>
  <c r="Q13" i="12"/>
  <c r="R13" i="12"/>
  <c r="I14" i="12"/>
  <c r="J14" i="12"/>
  <c r="K14" i="12"/>
  <c r="L14" i="12"/>
  <c r="M14" i="12"/>
  <c r="N14" i="12"/>
  <c r="O14" i="12"/>
  <c r="P14" i="12"/>
  <c r="Q14" i="12"/>
  <c r="R14" i="12"/>
  <c r="I15" i="12"/>
  <c r="J15" i="12"/>
  <c r="K15" i="12"/>
  <c r="L15" i="12"/>
  <c r="M15" i="12"/>
  <c r="N15" i="12"/>
  <c r="O15" i="12"/>
  <c r="P15" i="12"/>
  <c r="Q15" i="12"/>
  <c r="R15" i="12"/>
  <c r="I16" i="12"/>
  <c r="J16" i="12"/>
  <c r="K16" i="12"/>
  <c r="L16" i="12"/>
  <c r="M16" i="12"/>
  <c r="N16" i="12"/>
  <c r="O16" i="12"/>
  <c r="P16" i="12"/>
  <c r="Q16" i="12"/>
  <c r="R16" i="12"/>
  <c r="I17" i="12"/>
  <c r="J17" i="12"/>
  <c r="K17" i="12"/>
  <c r="L17" i="12"/>
  <c r="M17" i="12"/>
  <c r="N17" i="12"/>
  <c r="O17" i="12"/>
  <c r="P17" i="12"/>
  <c r="Q17" i="12"/>
  <c r="R17" i="12"/>
  <c r="I18" i="12"/>
  <c r="J18" i="12"/>
  <c r="K18" i="12"/>
  <c r="L18" i="12"/>
  <c r="M18" i="12"/>
  <c r="N18" i="12"/>
  <c r="O18" i="12"/>
  <c r="P18" i="12"/>
  <c r="Q18" i="12"/>
  <c r="R18" i="12"/>
  <c r="I19" i="12"/>
  <c r="J19" i="12"/>
  <c r="K19" i="12"/>
  <c r="L19" i="12"/>
  <c r="M19" i="12"/>
  <c r="N19" i="12"/>
  <c r="O19" i="12"/>
  <c r="P19" i="12"/>
  <c r="Q19" i="12"/>
  <c r="R19" i="12"/>
  <c r="I20" i="12"/>
  <c r="J20" i="12"/>
  <c r="K20" i="12"/>
  <c r="L20" i="12"/>
  <c r="M20" i="12"/>
  <c r="N20" i="12"/>
  <c r="O20" i="12"/>
  <c r="P20" i="12"/>
  <c r="Q20" i="12"/>
  <c r="R20" i="12"/>
  <c r="I21" i="12"/>
  <c r="J21" i="12"/>
  <c r="K21" i="12"/>
  <c r="L21" i="12"/>
  <c r="M21" i="12"/>
  <c r="N21" i="12"/>
  <c r="O21" i="12"/>
  <c r="P21" i="12"/>
  <c r="Q21" i="12"/>
  <c r="R21" i="12"/>
  <c r="I22" i="12"/>
  <c r="J22" i="12"/>
  <c r="K22" i="12"/>
  <c r="L22" i="12"/>
  <c r="M22" i="12"/>
  <c r="N22" i="12"/>
  <c r="O22" i="12"/>
  <c r="P22" i="12"/>
  <c r="Q22" i="12"/>
  <c r="R22" i="12"/>
  <c r="H22" i="12"/>
  <c r="H29" i="12"/>
  <c r="H30" i="12"/>
  <c r="H32" i="12"/>
  <c r="C9" i="8"/>
  <c r="C10" i="8"/>
  <c r="H16" i="8"/>
  <c r="H9" i="12"/>
  <c r="I9" i="12"/>
  <c r="J9" i="12"/>
  <c r="K9" i="12"/>
  <c r="L9" i="12"/>
  <c r="M9" i="12"/>
  <c r="N9" i="12"/>
  <c r="O9" i="12"/>
  <c r="P9" i="12"/>
  <c r="Q9" i="12"/>
  <c r="R9" i="12"/>
  <c r="G9" i="12"/>
  <c r="F9" i="12"/>
  <c r="E9" i="12"/>
  <c r="D9" i="12"/>
  <c r="R8" i="12"/>
  <c r="Q8" i="12"/>
  <c r="P8" i="12"/>
  <c r="O8" i="12"/>
  <c r="N8" i="12"/>
  <c r="M8" i="12"/>
  <c r="L8" i="12"/>
  <c r="K8" i="12"/>
  <c r="J8" i="12"/>
  <c r="I8" i="12"/>
  <c r="H8" i="12"/>
  <c r="G8" i="12"/>
  <c r="F8" i="12"/>
  <c r="E8" i="12"/>
  <c r="D8" i="12"/>
  <c r="T45" i="16" a="1"/>
  <c r="T45" i="16"/>
  <c r="AG59" i="21"/>
  <c r="T42" i="16" a="1"/>
  <c r="T42" i="16"/>
  <c r="F3" i="21"/>
  <c r="AH68" i="21"/>
  <c r="AH67" i="21"/>
  <c r="F5" i="21"/>
  <c r="T43" i="16" a="1"/>
  <c r="T43" i="16"/>
  <c r="T44" i="16" a="1"/>
  <c r="T46" i="16" a="1"/>
  <c r="T44" i="16"/>
  <c r="T46" i="16"/>
  <c r="V39" i="16"/>
  <c r="H53" i="16"/>
  <c r="V22" i="16"/>
  <c r="V28" i="16"/>
  <c r="H51" i="16"/>
  <c r="I16" i="8"/>
  <c r="I15" i="8"/>
  <c r="P53" i="16"/>
  <c r="P49" i="16"/>
  <c r="H15" i="8"/>
  <c r="P51" i="16"/>
  <c r="P54" i="16"/>
  <c r="P33" i="21"/>
  <c r="P26" i="21"/>
  <c r="J15" i="21"/>
  <c r="F11" i="21"/>
  <c r="F9" i="21"/>
  <c r="F7" i="21"/>
  <c r="D6" i="16" a="1"/>
  <c r="D6" i="16"/>
  <c r="P48" i="16"/>
  <c r="D35" i="20"/>
  <c r="E35" i="20"/>
  <c r="E34" i="20"/>
  <c r="B2" i="8"/>
  <c r="K27" i="21"/>
  <c r="K26" i="21"/>
  <c r="F6" i="21"/>
  <c r="J16" i="21"/>
  <c r="V43" i="21"/>
  <c r="K34" i="21"/>
  <c r="K33" i="21"/>
  <c r="B9" i="21"/>
  <c r="B5" i="21"/>
  <c r="AA59" i="21"/>
  <c r="P34" i="21"/>
  <c r="H7" i="16" a="1"/>
  <c r="H7" i="16"/>
  <c r="M10" i="8"/>
  <c r="J17" i="21"/>
  <c r="J18" i="21"/>
  <c r="T43" i="21"/>
  <c r="Z43" i="21"/>
  <c r="AG58" i="21"/>
  <c r="AG60" i="21"/>
  <c r="P36" i="21"/>
  <c r="Z45" i="21"/>
  <c r="V45" i="21"/>
  <c r="AI103" i="21"/>
  <c r="AI104" i="21"/>
  <c r="AI105" i="21"/>
  <c r="AI102" i="21"/>
  <c r="AI101" i="21"/>
  <c r="J16" i="8"/>
  <c r="K16" i="8"/>
  <c r="K15" i="8"/>
  <c r="AH97" i="21"/>
  <c r="AL90" i="21"/>
  <c r="AL91" i="21"/>
  <c r="AL92" i="21"/>
  <c r="AL94" i="21"/>
  <c r="AL95" i="21"/>
  <c r="AM91" i="21"/>
  <c r="AN91" i="21"/>
  <c r="AH94" i="21"/>
  <c r="AH92" i="21"/>
  <c r="AH91" i="21"/>
  <c r="AH90" i="21"/>
  <c r="AH71" i="21"/>
  <c r="J15" i="8"/>
  <c r="AM66" i="21"/>
  <c r="AN66" i="21"/>
  <c r="AL66" i="21"/>
  <c r="AG62" i="21"/>
  <c r="AG53" i="21"/>
  <c r="AA63" i="21"/>
  <c r="AA62" i="21"/>
  <c r="AA55" i="21"/>
  <c r="AA53" i="21"/>
  <c r="K35" i="21"/>
  <c r="K36" i="21"/>
  <c r="Z47" i="21"/>
  <c r="J20" i="21"/>
  <c r="J21" i="21"/>
  <c r="J22" i="21"/>
  <c r="T45" i="21"/>
  <c r="T44" i="21"/>
  <c r="T46" i="21"/>
  <c r="Z50" i="21"/>
  <c r="V49" i="21"/>
  <c r="V47" i="21"/>
  <c r="Q44" i="21"/>
  <c r="P35" i="21"/>
  <c r="P38" i="21"/>
  <c r="P30" i="21"/>
  <c r="B6" i="21"/>
  <c r="H72" i="2"/>
  <c r="H54" i="2"/>
  <c r="H67" i="2"/>
  <c r="H76" i="2"/>
  <c r="H22" i="8"/>
  <c r="N15" i="20"/>
  <c r="N16" i="20"/>
  <c r="D45" i="20"/>
  <c r="N9" i="20"/>
  <c r="N27" i="20"/>
  <c r="D46" i="20"/>
  <c r="D37" i="20"/>
  <c r="J23" i="21"/>
  <c r="N17" i="20"/>
  <c r="F12" i="21"/>
  <c r="H4" i="25"/>
  <c r="I4" i="25"/>
  <c r="J4" i="25"/>
  <c r="K4" i="25"/>
  <c r="L4" i="25"/>
  <c r="M4" i="25"/>
  <c r="N4" i="25"/>
  <c r="O4" i="25"/>
  <c r="P4" i="25"/>
  <c r="Q4" i="25"/>
  <c r="R4" i="25"/>
  <c r="G4" i="25"/>
  <c r="F4" i="25"/>
  <c r="E4" i="25"/>
  <c r="D4" i="25"/>
  <c r="R3" i="25"/>
  <c r="Q3" i="25"/>
  <c r="P3" i="25"/>
  <c r="O3" i="25"/>
  <c r="N3" i="25"/>
  <c r="M3" i="25"/>
  <c r="L3" i="25"/>
  <c r="K3" i="25"/>
  <c r="J3" i="25"/>
  <c r="I3" i="25"/>
  <c r="H3" i="25"/>
  <c r="G3" i="25"/>
  <c r="F3" i="25"/>
  <c r="E3" i="25"/>
  <c r="D3" i="25"/>
  <c r="H8" i="2"/>
  <c r="G8" i="2"/>
  <c r="F8" i="2"/>
  <c r="E8" i="2"/>
  <c r="D8" i="2"/>
  <c r="D7" i="2"/>
  <c r="E7" i="2"/>
  <c r="F7" i="2"/>
  <c r="G7" i="2"/>
  <c r="H7" i="2"/>
  <c r="D13" i="25"/>
  <c r="D11" i="25"/>
  <c r="E36" i="25"/>
  <c r="E41" i="25"/>
  <c r="E10" i="25"/>
  <c r="F36" i="25"/>
  <c r="F41" i="25"/>
  <c r="F10" i="25"/>
  <c r="G36" i="25"/>
  <c r="G41" i="25"/>
  <c r="G10" i="25"/>
  <c r="E11" i="25"/>
  <c r="F11" i="25"/>
  <c r="G11" i="25"/>
  <c r="H11" i="25"/>
  <c r="E17" i="25"/>
  <c r="E13" i="25"/>
  <c r="F18" i="25"/>
  <c r="F13" i="25"/>
  <c r="G19" i="25"/>
  <c r="G13" i="25"/>
  <c r="H20" i="25"/>
  <c r="H13" i="25"/>
  <c r="B20" i="25"/>
  <c r="B19" i="25"/>
  <c r="B18" i="25"/>
  <c r="B17" i="25"/>
  <c r="B16" i="25"/>
  <c r="B21" i="25"/>
  <c r="B22" i="25"/>
  <c r="B23" i="25"/>
  <c r="B24" i="25"/>
  <c r="B25" i="25"/>
  <c r="B26" i="25"/>
  <c r="B27" i="25"/>
  <c r="B28" i="25"/>
  <c r="B29" i="25"/>
  <c r="B30" i="25"/>
  <c r="E32" i="25"/>
  <c r="F32" i="25"/>
  <c r="G32" i="25"/>
  <c r="H32" i="25"/>
  <c r="D33" i="25"/>
  <c r="E33" i="25"/>
  <c r="F33" i="25"/>
  <c r="G33" i="25"/>
  <c r="H33" i="25"/>
  <c r="D37" i="25"/>
  <c r="E37" i="25"/>
  <c r="F37" i="25"/>
  <c r="G37" i="25"/>
  <c r="H37" i="25"/>
  <c r="E39" i="25"/>
  <c r="F39" i="25"/>
  <c r="G39" i="25"/>
  <c r="D43" i="25"/>
  <c r="E43" i="25"/>
  <c r="F43" i="25"/>
  <c r="G43" i="25"/>
  <c r="H43" i="25"/>
  <c r="E44" i="25"/>
  <c r="F44" i="25"/>
  <c r="G44" i="25"/>
  <c r="H44" i="25"/>
  <c r="D27" i="13"/>
  <c r="N27" i="13"/>
  <c r="X28" i="13"/>
  <c r="N8" i="20"/>
  <c r="E58" i="20"/>
  <c r="G8" i="20"/>
  <c r="G9" i="20"/>
  <c r="G11" i="20"/>
  <c r="G13" i="20"/>
  <c r="G15" i="20"/>
  <c r="G14" i="20"/>
  <c r="G16" i="20"/>
  <c r="G18" i="20"/>
  <c r="Q13" i="7"/>
  <c r="Q21" i="7"/>
  <c r="Q29" i="7"/>
  <c r="Q37" i="7"/>
  <c r="Q45" i="7"/>
  <c r="Q53" i="7"/>
  <c r="Q61" i="7"/>
  <c r="F61" i="7"/>
  <c r="F59" i="7" a="1"/>
  <c r="F59" i="7"/>
  <c r="H24" i="11"/>
  <c r="Q69" i="7"/>
  <c r="F69" i="7"/>
  <c r="F67" i="7" a="1"/>
  <c r="F67" i="7"/>
  <c r="H27" i="11"/>
  <c r="Q77" i="7"/>
  <c r="F77" i="7"/>
  <c r="F75" i="7" a="1"/>
  <c r="F75" i="7"/>
  <c r="H30" i="11"/>
  <c r="Q85" i="7"/>
  <c r="F85" i="7"/>
  <c r="F83" i="7" a="1"/>
  <c r="F83" i="7"/>
  <c r="H33" i="11"/>
  <c r="D29" i="12"/>
  <c r="E29" i="12"/>
  <c r="F29" i="12"/>
  <c r="G29" i="12"/>
  <c r="D30" i="12"/>
  <c r="E30" i="12"/>
  <c r="F30" i="12"/>
  <c r="G30" i="12"/>
  <c r="C11" i="8"/>
  <c r="Y4" i="13"/>
  <c r="Z4" i="13"/>
  <c r="Z3" i="13"/>
  <c r="Y3" i="13"/>
  <c r="AK5" i="13"/>
  <c r="AN5" i="13" a="1"/>
  <c r="AA4" i="13"/>
  <c r="AA3" i="13"/>
  <c r="AK6" i="13"/>
  <c r="AB4" i="13"/>
  <c r="AB3" i="13"/>
  <c r="AK7" i="13"/>
  <c r="AK8" i="13"/>
  <c r="AC4" i="13"/>
  <c r="AD4" i="13"/>
  <c r="AD3" i="13"/>
  <c r="AK9" i="13"/>
  <c r="AE4" i="13"/>
  <c r="AE3" i="13"/>
  <c r="AK10" i="13"/>
  <c r="AF4" i="13"/>
  <c r="AF3" i="13"/>
  <c r="AK11" i="13"/>
  <c r="AG4" i="13"/>
  <c r="AG3" i="13"/>
  <c r="AK12" i="13"/>
  <c r="AH4" i="13"/>
  <c r="AH3" i="13"/>
  <c r="AK13" i="13"/>
  <c r="AI4" i="13"/>
  <c r="AI3" i="13"/>
  <c r="AK14" i="13"/>
  <c r="AN5" i="13"/>
  <c r="AN6" i="13"/>
  <c r="AN7" i="13"/>
  <c r="AN8" i="13"/>
  <c r="AN9" i="13"/>
  <c r="AN10" i="13"/>
  <c r="AN11" i="13"/>
  <c r="AN12" i="13"/>
  <c r="AN13" i="13"/>
  <c r="AN14" i="13"/>
  <c r="Z11" i="13"/>
  <c r="AM5" i="13"/>
  <c r="AL5" i="13" a="1"/>
  <c r="AL5" i="13"/>
  <c r="AL6" i="13"/>
  <c r="AL7" i="13"/>
  <c r="AL8" i="13"/>
  <c r="AL9" i="13"/>
  <c r="AL10" i="13"/>
  <c r="AL11" i="13"/>
  <c r="AL12" i="13"/>
  <c r="AL13" i="13"/>
  <c r="AL14" i="13"/>
  <c r="AA11" i="13"/>
  <c r="AM6" i="13"/>
  <c r="AB11" i="13"/>
  <c r="AM7" i="13"/>
  <c r="AC11" i="13"/>
  <c r="AM8" i="13"/>
  <c r="AD11" i="13"/>
  <c r="AM9" i="13"/>
  <c r="AE11" i="13"/>
  <c r="AM10" i="13"/>
  <c r="AF11" i="13"/>
  <c r="AM11" i="13"/>
  <c r="AG11" i="13"/>
  <c r="AM12" i="13"/>
  <c r="AH11" i="13"/>
  <c r="AM13" i="13"/>
  <c r="AI11" i="13"/>
  <c r="AM14" i="13"/>
  <c r="Z7" i="13" a="1"/>
  <c r="Z7" i="13"/>
  <c r="I91" i="2"/>
  <c r="I92" i="2"/>
  <c r="H25" i="11"/>
  <c r="H28" i="11"/>
  <c r="H31" i="11"/>
  <c r="H34" i="11"/>
  <c r="E41" i="20"/>
  <c r="N11" i="20"/>
  <c r="N12" i="20"/>
  <c r="N13" i="20"/>
  <c r="N25" i="20"/>
  <c r="N26" i="20"/>
  <c r="N24" i="20"/>
  <c r="N28" i="20"/>
  <c r="G24" i="20"/>
  <c r="G25" i="20"/>
  <c r="G26" i="20"/>
  <c r="D56" i="20"/>
  <c r="F35" i="20"/>
  <c r="F58" i="20"/>
  <c r="G61" i="7"/>
  <c r="G59" i="7" a="1"/>
  <c r="G59" i="7"/>
  <c r="I24" i="11"/>
  <c r="G69" i="7"/>
  <c r="G67" i="7" a="1"/>
  <c r="G67" i="7"/>
  <c r="I27" i="11"/>
  <c r="G77" i="7"/>
  <c r="G75" i="7" a="1"/>
  <c r="G75" i="7"/>
  <c r="I30" i="11"/>
  <c r="G85" i="7"/>
  <c r="G83" i="7" a="1"/>
  <c r="G83" i="7"/>
  <c r="I33" i="11"/>
  <c r="AA7" i="13" a="1"/>
  <c r="AA7" i="13"/>
  <c r="AA43" i="13"/>
  <c r="Z37" i="13"/>
  <c r="Z39" i="13"/>
  <c r="Z41" i="13"/>
  <c r="AA35" i="13"/>
  <c r="J91" i="2"/>
  <c r="J92" i="2"/>
  <c r="I25" i="11"/>
  <c r="I28" i="11"/>
  <c r="I31" i="11"/>
  <c r="I34" i="11"/>
  <c r="G35" i="20"/>
  <c r="G58" i="20"/>
  <c r="H61" i="7"/>
  <c r="H59" i="7" a="1"/>
  <c r="H59" i="7"/>
  <c r="J24" i="11"/>
  <c r="H69" i="7"/>
  <c r="H67" i="7" a="1"/>
  <c r="H67" i="7"/>
  <c r="J27" i="11"/>
  <c r="H77" i="7"/>
  <c r="H75" i="7" a="1"/>
  <c r="H75" i="7"/>
  <c r="J30" i="11"/>
  <c r="H85" i="7"/>
  <c r="H83" i="7" a="1"/>
  <c r="H83" i="7"/>
  <c r="J33" i="11"/>
  <c r="AB7" i="13" a="1"/>
  <c r="AB7" i="13"/>
  <c r="AB43" i="13"/>
  <c r="AA37" i="13"/>
  <c r="AA39" i="13"/>
  <c r="AA41" i="13"/>
  <c r="AB35" i="13"/>
  <c r="K91" i="2"/>
  <c r="K92" i="2"/>
  <c r="J25" i="11"/>
  <c r="J28" i="11"/>
  <c r="J31" i="11"/>
  <c r="J34" i="11"/>
  <c r="H35" i="20"/>
  <c r="H58" i="20"/>
  <c r="I61" i="7"/>
  <c r="I59" i="7" a="1"/>
  <c r="I59" i="7"/>
  <c r="K24" i="11"/>
  <c r="I69" i="7"/>
  <c r="I67" i="7" a="1"/>
  <c r="I67" i="7"/>
  <c r="K27" i="11"/>
  <c r="I77" i="7"/>
  <c r="I75" i="7" a="1"/>
  <c r="I75" i="7"/>
  <c r="K30" i="11"/>
  <c r="I85" i="7"/>
  <c r="I83" i="7" a="1"/>
  <c r="I83" i="7"/>
  <c r="K33" i="11"/>
  <c r="AC3" i="13"/>
  <c r="AC7" i="13" a="1"/>
  <c r="AC7" i="13"/>
  <c r="AC43" i="13"/>
  <c r="AB37" i="13"/>
  <c r="AB39" i="13"/>
  <c r="AB41" i="13"/>
  <c r="AC35" i="13"/>
  <c r="L91" i="2"/>
  <c r="L92" i="2"/>
  <c r="K25" i="11"/>
  <c r="K28" i="11"/>
  <c r="K31" i="11"/>
  <c r="K34" i="11"/>
  <c r="I35" i="20"/>
  <c r="I58" i="20"/>
  <c r="J61" i="7"/>
  <c r="J59" i="7" a="1"/>
  <c r="J59" i="7"/>
  <c r="L24" i="11"/>
  <c r="J69" i="7"/>
  <c r="J67" i="7" a="1"/>
  <c r="J67" i="7"/>
  <c r="L27" i="11"/>
  <c r="J77" i="7"/>
  <c r="J75" i="7" a="1"/>
  <c r="J75" i="7"/>
  <c r="L30" i="11"/>
  <c r="J85" i="7"/>
  <c r="J83" i="7" a="1"/>
  <c r="J83" i="7"/>
  <c r="L33" i="11"/>
  <c r="AD7" i="13" a="1"/>
  <c r="AD7" i="13"/>
  <c r="AD43" i="13"/>
  <c r="AC37" i="13"/>
  <c r="AC39" i="13"/>
  <c r="AC41" i="13"/>
  <c r="AD35" i="13"/>
  <c r="M91" i="2"/>
  <c r="M92" i="2"/>
  <c r="L25" i="11"/>
  <c r="L28" i="11"/>
  <c r="L31" i="11"/>
  <c r="L34" i="11"/>
  <c r="J35" i="20"/>
  <c r="J58" i="20"/>
  <c r="K61" i="7"/>
  <c r="K59" i="7" a="1"/>
  <c r="K59" i="7"/>
  <c r="M24" i="11"/>
  <c r="K69" i="7"/>
  <c r="K67" i="7" a="1"/>
  <c r="K67" i="7"/>
  <c r="M27" i="11"/>
  <c r="K77" i="7"/>
  <c r="K75" i="7" a="1"/>
  <c r="K75" i="7"/>
  <c r="M30" i="11"/>
  <c r="K85" i="7"/>
  <c r="K83" i="7" a="1"/>
  <c r="K83" i="7"/>
  <c r="M33" i="11"/>
  <c r="AE7" i="13" a="1"/>
  <c r="AE7" i="13"/>
  <c r="AE43" i="13"/>
  <c r="AD37" i="13"/>
  <c r="AD39" i="13"/>
  <c r="AD41" i="13"/>
  <c r="AE35" i="13"/>
  <c r="N91" i="2"/>
  <c r="N92" i="2"/>
  <c r="M25" i="11"/>
  <c r="M28" i="11"/>
  <c r="M31" i="11"/>
  <c r="M34" i="11"/>
  <c r="K35" i="20"/>
  <c r="K58" i="20"/>
  <c r="L61" i="7"/>
  <c r="L59" i="7" a="1"/>
  <c r="L59" i="7"/>
  <c r="N24" i="11"/>
  <c r="L69" i="7"/>
  <c r="L67" i="7" a="1"/>
  <c r="L67" i="7"/>
  <c r="N27" i="11"/>
  <c r="L77" i="7"/>
  <c r="L75" i="7" a="1"/>
  <c r="L75" i="7"/>
  <c r="N30" i="11"/>
  <c r="L85" i="7"/>
  <c r="L83" i="7" a="1"/>
  <c r="L83" i="7"/>
  <c r="N33" i="11"/>
  <c r="AF7" i="13" a="1"/>
  <c r="AF7" i="13"/>
  <c r="AF43" i="13"/>
  <c r="AE37" i="13"/>
  <c r="AE39" i="13"/>
  <c r="AE41" i="13"/>
  <c r="AF35" i="13"/>
  <c r="O91" i="2"/>
  <c r="O92" i="2"/>
  <c r="N25" i="11"/>
  <c r="N28" i="11"/>
  <c r="N31" i="11"/>
  <c r="N34" i="11"/>
  <c r="L35" i="20"/>
  <c r="L58" i="20"/>
  <c r="M61" i="7"/>
  <c r="M59" i="7" a="1"/>
  <c r="M59" i="7"/>
  <c r="O24" i="11"/>
  <c r="M69" i="7"/>
  <c r="M67" i="7" a="1"/>
  <c r="M67" i="7"/>
  <c r="O27" i="11"/>
  <c r="M77" i="7"/>
  <c r="M75" i="7" a="1"/>
  <c r="M75" i="7"/>
  <c r="O30" i="11"/>
  <c r="M85" i="7"/>
  <c r="M83" i="7" a="1"/>
  <c r="M83" i="7"/>
  <c r="O33" i="11"/>
  <c r="AG7" i="13" a="1"/>
  <c r="AG7" i="13"/>
  <c r="AG43" i="13"/>
  <c r="AF37" i="13"/>
  <c r="AF39" i="13"/>
  <c r="AF41" i="13"/>
  <c r="AG35" i="13"/>
  <c r="P91" i="2"/>
  <c r="P92" i="2"/>
  <c r="O25" i="11"/>
  <c r="O28" i="11"/>
  <c r="O31" i="11"/>
  <c r="O34" i="11"/>
  <c r="M35" i="20"/>
  <c r="M58" i="20"/>
  <c r="N61" i="7"/>
  <c r="N59" i="7" a="1"/>
  <c r="N59" i="7"/>
  <c r="P24" i="11"/>
  <c r="N69" i="7"/>
  <c r="N67" i="7" a="1"/>
  <c r="N67" i="7"/>
  <c r="P27" i="11"/>
  <c r="N77" i="7"/>
  <c r="N75" i="7" a="1"/>
  <c r="N75" i="7"/>
  <c r="P30" i="11"/>
  <c r="N85" i="7"/>
  <c r="N83" i="7" a="1"/>
  <c r="N83" i="7"/>
  <c r="P33" i="11"/>
  <c r="AH7" i="13" a="1"/>
  <c r="AH7" i="13"/>
  <c r="AH43" i="13"/>
  <c r="AG37" i="13"/>
  <c r="AG39" i="13"/>
  <c r="AG41" i="13"/>
  <c r="AH35" i="13"/>
  <c r="Q91" i="2"/>
  <c r="Q92" i="2"/>
  <c r="P25" i="11"/>
  <c r="P28" i="11"/>
  <c r="P31" i="11"/>
  <c r="P34" i="11"/>
  <c r="N35" i="20"/>
  <c r="N58" i="20"/>
  <c r="O61" i="7"/>
  <c r="O59" i="7" a="1"/>
  <c r="O59" i="7"/>
  <c r="Q24" i="11"/>
  <c r="O69" i="7"/>
  <c r="O67" i="7" a="1"/>
  <c r="O67" i="7"/>
  <c r="Q27" i="11"/>
  <c r="O77" i="7"/>
  <c r="O75" i="7" a="1"/>
  <c r="O75" i="7"/>
  <c r="Q30" i="11"/>
  <c r="O85" i="7"/>
  <c r="O83" i="7" a="1"/>
  <c r="O83" i="7"/>
  <c r="Q33" i="11"/>
  <c r="AI7" i="13" a="1"/>
  <c r="AI7" i="13"/>
  <c r="AI43" i="13"/>
  <c r="AH37" i="13"/>
  <c r="AH39" i="13"/>
  <c r="AH41" i="13"/>
  <c r="AI35" i="13"/>
  <c r="R91" i="2"/>
  <c r="R92" i="2"/>
  <c r="Q25" i="11"/>
  <c r="Q28" i="11"/>
  <c r="Q31" i="11"/>
  <c r="Q34" i="11"/>
  <c r="D47" i="20"/>
  <c r="D49" i="20"/>
  <c r="L16" i="8"/>
  <c r="M16" i="8"/>
  <c r="N16" i="8"/>
  <c r="N15" i="8"/>
  <c r="O16" i="8"/>
  <c r="O15" i="8"/>
  <c r="P16" i="8"/>
  <c r="P15" i="8"/>
  <c r="Q16" i="8"/>
  <c r="Q15" i="8"/>
  <c r="R16" i="8"/>
  <c r="R15" i="8"/>
  <c r="N19" i="8"/>
  <c r="O19" i="8"/>
  <c r="P19" i="8"/>
  <c r="Q19" i="8"/>
  <c r="R19" i="8"/>
  <c r="M19" i="8"/>
  <c r="N20" i="8"/>
  <c r="O20" i="8"/>
  <c r="P20" i="8"/>
  <c r="Q20" i="8"/>
  <c r="R20" i="8"/>
  <c r="M12" i="8"/>
  <c r="L6" i="4"/>
  <c r="L5" i="4" a="1"/>
  <c r="L5" i="4"/>
  <c r="L7" i="4"/>
  <c r="G7" i="4"/>
  <c r="L4" i="4"/>
  <c r="L8" i="4"/>
  <c r="L9" i="4"/>
  <c r="G8" i="4"/>
  <c r="G4" i="4" a="1"/>
  <c r="G4" i="4"/>
  <c r="H4" i="13"/>
  <c r="H5" i="13"/>
  <c r="H6" i="13"/>
  <c r="H7" i="13"/>
  <c r="H8" i="13"/>
  <c r="H9" i="13"/>
  <c r="H10" i="13"/>
  <c r="H11" i="13"/>
  <c r="H12" i="13"/>
  <c r="H13" i="13"/>
  <c r="H14" i="13"/>
  <c r="H15" i="13"/>
  <c r="H16" i="13"/>
  <c r="H17" i="13"/>
  <c r="H18" i="13"/>
  <c r="H19" i="13"/>
  <c r="H20" i="13"/>
  <c r="H21" i="13"/>
  <c r="H22" i="13"/>
  <c r="H23" i="13"/>
  <c r="H25" i="13"/>
  <c r="Q4" i="13"/>
  <c r="Q5" i="13"/>
  <c r="Q6" i="13"/>
  <c r="Q7" i="13"/>
  <c r="Q8" i="13"/>
  <c r="Q9" i="13"/>
  <c r="Q10" i="13"/>
  <c r="Q11" i="13"/>
  <c r="Q12" i="13"/>
  <c r="Q13" i="13"/>
  <c r="Q14" i="13"/>
  <c r="Q15" i="13"/>
  <c r="Q16" i="13"/>
  <c r="Q17" i="13"/>
  <c r="Q18" i="13"/>
  <c r="Q19" i="13"/>
  <c r="Q20" i="13"/>
  <c r="Q21" i="13"/>
  <c r="Q22" i="13"/>
  <c r="Q23" i="13"/>
  <c r="Q25" i="13"/>
  <c r="G5" i="4"/>
  <c r="G6" i="4"/>
  <c r="D4" i="4"/>
  <c r="H11" i="8"/>
  <c r="N32" i="8"/>
  <c r="O32" i="8"/>
  <c r="P32" i="8"/>
  <c r="Q32" i="8"/>
  <c r="R32" i="8"/>
  <c r="C9" i="18"/>
  <c r="C10" i="18"/>
  <c r="H17" i="18"/>
  <c r="I17" i="18"/>
  <c r="J17" i="18"/>
  <c r="K17" i="18"/>
  <c r="L17" i="18"/>
  <c r="M17" i="18"/>
  <c r="N17" i="18"/>
  <c r="N16" i="18"/>
  <c r="O17" i="18"/>
  <c r="O16" i="18"/>
  <c r="P17" i="18"/>
  <c r="P16" i="18"/>
  <c r="Q17" i="18"/>
  <c r="Q16" i="18"/>
  <c r="R17" i="18"/>
  <c r="R16" i="18"/>
  <c r="C13" i="18"/>
  <c r="N20" i="18"/>
  <c r="O20" i="18"/>
  <c r="P20" i="18"/>
  <c r="Q20" i="18"/>
  <c r="R20" i="18"/>
  <c r="M20" i="18"/>
  <c r="N21" i="18"/>
  <c r="O21" i="18"/>
  <c r="P21" i="18"/>
  <c r="Q21" i="18"/>
  <c r="R21" i="18"/>
  <c r="H13" i="18"/>
  <c r="M13" i="18"/>
  <c r="C11" i="18"/>
  <c r="H11" i="18"/>
  <c r="N33" i="18"/>
  <c r="O33" i="18"/>
  <c r="P33" i="18"/>
  <c r="Q33" i="18"/>
  <c r="R33" i="18"/>
  <c r="M33" i="18"/>
  <c r="AB9" i="13" a="1"/>
  <c r="AB9" i="13"/>
  <c r="J20" i="14"/>
  <c r="AC9" i="13" a="1"/>
  <c r="AC9" i="13"/>
  <c r="K20" i="14"/>
  <c r="AD9" i="13" a="1"/>
  <c r="AD9" i="13"/>
  <c r="L20" i="14"/>
  <c r="AE9" i="13" a="1"/>
  <c r="AE9" i="13"/>
  <c r="M20" i="14"/>
  <c r="AF9" i="13" a="1"/>
  <c r="AF9" i="13"/>
  <c r="N20" i="14"/>
  <c r="AG9" i="13" a="1"/>
  <c r="AG9" i="13"/>
  <c r="O20" i="14"/>
  <c r="AH9" i="13" a="1"/>
  <c r="AH9" i="13"/>
  <c r="P20" i="14"/>
  <c r="AI9" i="13" a="1"/>
  <c r="AI9" i="13"/>
  <c r="Q20" i="14"/>
  <c r="R20" i="14"/>
  <c r="I8" i="2"/>
  <c r="J8" i="2"/>
  <c r="K8" i="2"/>
  <c r="L8" i="2"/>
  <c r="M8" i="2"/>
  <c r="N8" i="2"/>
  <c r="N7" i="2"/>
  <c r="O8" i="2"/>
  <c r="O7" i="2"/>
  <c r="P8" i="2"/>
  <c r="P7" i="2"/>
  <c r="Q8" i="2"/>
  <c r="Q7" i="2"/>
  <c r="R8" i="2"/>
  <c r="R7" i="2"/>
  <c r="N43" i="2"/>
  <c r="O43" i="2"/>
  <c r="P43" i="2"/>
  <c r="Q43" i="2"/>
  <c r="R43" i="2"/>
  <c r="N93" i="2"/>
  <c r="O93" i="2"/>
  <c r="P93" i="2"/>
  <c r="Q93" i="2"/>
  <c r="R93" i="2"/>
  <c r="D54" i="2"/>
  <c r="D11" i="14"/>
  <c r="H4" i="14"/>
  <c r="I4" i="14"/>
  <c r="J4" i="14"/>
  <c r="K4" i="14"/>
  <c r="L4" i="14"/>
  <c r="M4" i="14"/>
  <c r="N4" i="14"/>
  <c r="N3" i="14"/>
  <c r="O4" i="14"/>
  <c r="O3" i="14"/>
  <c r="P4" i="14"/>
  <c r="P3" i="14"/>
  <c r="Q4" i="14"/>
  <c r="Q3" i="14"/>
  <c r="R4" i="14"/>
  <c r="R3" i="14"/>
  <c r="J7" i="14"/>
  <c r="K7" i="14"/>
  <c r="L7" i="14"/>
  <c r="M7" i="14"/>
  <c r="N7" i="14"/>
  <c r="O7" i="14"/>
  <c r="P7" i="14"/>
  <c r="Q7" i="14"/>
  <c r="R7" i="14"/>
  <c r="D16" i="14"/>
  <c r="X4" i="13"/>
  <c r="W4" i="13"/>
  <c r="V4" i="13"/>
  <c r="U4" i="13"/>
  <c r="T4" i="13"/>
  <c r="Z9" i="13" a="1"/>
  <c r="Z9" i="13"/>
  <c r="AA9" i="13" a="1"/>
  <c r="AA9" i="13"/>
  <c r="Z13" i="13"/>
  <c r="AA13" i="13"/>
  <c r="AB13" i="13"/>
  <c r="AC13" i="13"/>
  <c r="AD13" i="13"/>
  <c r="AE13" i="13"/>
  <c r="AF13" i="13"/>
  <c r="AG13" i="13"/>
  <c r="AH13" i="13"/>
  <c r="AI13" i="13"/>
  <c r="AI37" i="13"/>
  <c r="AI39" i="13"/>
  <c r="AI41" i="13"/>
  <c r="Y32" i="13"/>
  <c r="Z32" i="13"/>
  <c r="AA32" i="13"/>
  <c r="AB32" i="13"/>
  <c r="AC32" i="13"/>
  <c r="AD32" i="13"/>
  <c r="AE32" i="13"/>
  <c r="AE31" i="13"/>
  <c r="AF32" i="13"/>
  <c r="AF31" i="13"/>
  <c r="AG32" i="13"/>
  <c r="AG31" i="13"/>
  <c r="AH32" i="13"/>
  <c r="AH31" i="13"/>
  <c r="AI32" i="13"/>
  <c r="AI31" i="13"/>
  <c r="H24" i="8"/>
  <c r="H25" i="8"/>
  <c r="H101" i="2"/>
  <c r="H26" i="8"/>
  <c r="H27" i="8"/>
  <c r="D50" i="20"/>
  <c r="N34" i="20"/>
  <c r="J34" i="20"/>
  <c r="K34" i="20"/>
  <c r="L34" i="20"/>
  <c r="M34" i="20"/>
  <c r="G22" i="14"/>
  <c r="H22" i="14"/>
  <c r="H23" i="14"/>
  <c r="H30" i="8"/>
  <c r="H28" i="8"/>
  <c r="H31" i="8"/>
  <c r="D39" i="20"/>
  <c r="G28" i="20"/>
  <c r="I34" i="20"/>
  <c r="H34" i="20"/>
  <c r="G34" i="20"/>
  <c r="F34" i="20"/>
  <c r="D34" i="20"/>
  <c r="B2" i="20"/>
  <c r="C12" i="18"/>
  <c r="I20" i="18"/>
  <c r="J20" i="18"/>
  <c r="K20" i="18"/>
  <c r="L20" i="18"/>
  <c r="E30" i="18"/>
  <c r="F30" i="18"/>
  <c r="G30" i="18"/>
  <c r="H30" i="18"/>
  <c r="D30" i="18"/>
  <c r="D20" i="18"/>
  <c r="I33" i="18"/>
  <c r="M9" i="18"/>
  <c r="T64" i="18"/>
  <c r="T65" i="18"/>
  <c r="T66" i="18"/>
  <c r="W41" i="18"/>
  <c r="W61" i="18"/>
  <c r="X61" i="18"/>
  <c r="Y61" i="18"/>
  <c r="C45" i="18"/>
  <c r="C46" i="18"/>
  <c r="H12" i="18"/>
  <c r="C59" i="18"/>
  <c r="C60" i="18"/>
  <c r="V61" i="18"/>
  <c r="U61" i="18"/>
  <c r="T73" i="18"/>
  <c r="T74" i="18"/>
  <c r="T75" i="18"/>
  <c r="T63" i="18"/>
  <c r="T72" i="18"/>
  <c r="T62" i="18"/>
  <c r="T71" i="18"/>
  <c r="W70" i="18"/>
  <c r="X70" i="18"/>
  <c r="Y70" i="18"/>
  <c r="V70" i="18"/>
  <c r="U70" i="18"/>
  <c r="T70" i="18"/>
  <c r="M10" i="18"/>
  <c r="C62" i="18"/>
  <c r="M11" i="18"/>
  <c r="T61" i="18"/>
  <c r="H23" i="18"/>
  <c r="H10" i="18"/>
  <c r="T44" i="18"/>
  <c r="T45" i="18"/>
  <c r="T46" i="18"/>
  <c r="X41" i="18"/>
  <c r="Y41" i="18"/>
  <c r="V41" i="18"/>
  <c r="U41" i="18"/>
  <c r="T53" i="18"/>
  <c r="T54" i="18"/>
  <c r="T55" i="18"/>
  <c r="C55" i="18"/>
  <c r="T43" i="18"/>
  <c r="T52" i="18"/>
  <c r="T42" i="18"/>
  <c r="T51" i="18"/>
  <c r="W50" i="18"/>
  <c r="X50" i="18"/>
  <c r="Y50" i="18"/>
  <c r="V50" i="18"/>
  <c r="U50" i="18"/>
  <c r="T50" i="18"/>
  <c r="C48" i="18"/>
  <c r="T41" i="18"/>
  <c r="C41" i="18"/>
  <c r="L33" i="18"/>
  <c r="K33" i="18"/>
  <c r="J33" i="18"/>
  <c r="C34" i="18"/>
  <c r="H25" i="18"/>
  <c r="H26" i="18"/>
  <c r="H27" i="18"/>
  <c r="H28" i="18"/>
  <c r="H29" i="18"/>
  <c r="H31" i="18"/>
  <c r="H32" i="18"/>
  <c r="G67" i="2"/>
  <c r="G72" i="2"/>
  <c r="G54" i="2"/>
  <c r="G76" i="2"/>
  <c r="G23" i="18"/>
  <c r="G25" i="18"/>
  <c r="G26" i="18"/>
  <c r="G101" i="2"/>
  <c r="G27" i="18"/>
  <c r="G28" i="18"/>
  <c r="G29" i="18"/>
  <c r="F22" i="14"/>
  <c r="G23" i="14"/>
  <c r="G31" i="18"/>
  <c r="G32" i="18"/>
  <c r="F67" i="2"/>
  <c r="F72" i="2"/>
  <c r="F54" i="2"/>
  <c r="F76" i="2"/>
  <c r="F23" i="18"/>
  <c r="F25" i="18"/>
  <c r="F26" i="18"/>
  <c r="F101" i="2"/>
  <c r="F27" i="18"/>
  <c r="F28" i="18"/>
  <c r="F29" i="18"/>
  <c r="E22" i="14"/>
  <c r="F23" i="14"/>
  <c r="F31" i="18"/>
  <c r="F32" i="18"/>
  <c r="E67" i="2"/>
  <c r="E72" i="2"/>
  <c r="E54" i="2"/>
  <c r="E76" i="2"/>
  <c r="E23" i="18"/>
  <c r="E25" i="18"/>
  <c r="E26" i="18"/>
  <c r="E101" i="2"/>
  <c r="E27" i="18"/>
  <c r="E28" i="18"/>
  <c r="E29" i="18"/>
  <c r="D22" i="14"/>
  <c r="E23" i="14"/>
  <c r="E31" i="18"/>
  <c r="E32" i="18"/>
  <c r="D72" i="2"/>
  <c r="D67" i="2"/>
  <c r="D76" i="2"/>
  <c r="D23" i="18"/>
  <c r="D25" i="18"/>
  <c r="D26" i="18"/>
  <c r="D101" i="2"/>
  <c r="D27" i="18"/>
  <c r="D28" i="18"/>
  <c r="D29" i="18"/>
  <c r="C22" i="14"/>
  <c r="D23" i="14"/>
  <c r="D31" i="18"/>
  <c r="D32" i="18"/>
  <c r="H20" i="18"/>
  <c r="H24" i="18"/>
  <c r="G20" i="18"/>
  <c r="G24" i="18"/>
  <c r="F20" i="18"/>
  <c r="F24" i="18"/>
  <c r="E20" i="18"/>
  <c r="E24" i="18"/>
  <c r="D24" i="18"/>
  <c r="M21" i="18"/>
  <c r="L21" i="18"/>
  <c r="K21" i="18"/>
  <c r="J21" i="18"/>
  <c r="I21" i="18"/>
  <c r="H21" i="18"/>
  <c r="G21" i="18"/>
  <c r="F21" i="18"/>
  <c r="E21" i="18"/>
  <c r="G17" i="18"/>
  <c r="F17" i="18"/>
  <c r="E17" i="18"/>
  <c r="D17" i="18"/>
  <c r="M16" i="18"/>
  <c r="L16" i="18"/>
  <c r="K16" i="18"/>
  <c r="J16" i="18"/>
  <c r="I16" i="18"/>
  <c r="H16" i="18"/>
  <c r="G16" i="18"/>
  <c r="F16" i="18"/>
  <c r="E16" i="18"/>
  <c r="D16" i="18"/>
  <c r="M12" i="18"/>
  <c r="H9" i="18"/>
  <c r="G4" i="18"/>
  <c r="B2" i="18"/>
  <c r="W7" i="13"/>
  <c r="U13" i="13"/>
  <c r="H61" i="16"/>
  <c r="H86" i="16"/>
  <c r="H10" i="8"/>
  <c r="R4" i="16"/>
  <c r="H87" i="16"/>
  <c r="J30" i="16"/>
  <c r="H89" i="16"/>
  <c r="H88" i="16"/>
  <c r="H82" i="16"/>
  <c r="D25" i="13"/>
  <c r="V7" i="13"/>
  <c r="X7" i="13"/>
  <c r="Y7" i="13"/>
  <c r="U7" i="13"/>
  <c r="V13" i="13"/>
  <c r="W13" i="13"/>
  <c r="X13" i="13"/>
  <c r="M9" i="8"/>
  <c r="G4" i="8"/>
  <c r="D82" i="16"/>
  <c r="V15" i="16"/>
  <c r="D69" i="16"/>
  <c r="R14" i="16"/>
  <c r="F82" i="16"/>
  <c r="B82" i="16"/>
  <c r="D78" i="16"/>
  <c r="H77" i="16"/>
  <c r="H76" i="16"/>
  <c r="D75" i="16"/>
  <c r="D76" i="16"/>
  <c r="D77" i="16"/>
  <c r="F77" i="16"/>
  <c r="B76" i="16"/>
  <c r="B77" i="16"/>
  <c r="B78" i="16"/>
  <c r="F76" i="16"/>
  <c r="B75" i="16"/>
  <c r="H64" i="16"/>
  <c r="H63" i="16"/>
  <c r="D65" i="16"/>
  <c r="D64" i="16"/>
  <c r="D63" i="16"/>
  <c r="D60" i="16"/>
  <c r="F64" i="16"/>
  <c r="F63" i="16"/>
  <c r="B65" i="16"/>
  <c r="B64" i="16"/>
  <c r="B63" i="16"/>
  <c r="D59" i="16"/>
  <c r="H60" i="16"/>
  <c r="H59" i="16"/>
  <c r="F61" i="16"/>
  <c r="F60" i="16"/>
  <c r="F59" i="16"/>
  <c r="B60" i="16"/>
  <c r="B59" i="16"/>
  <c r="B22" i="12"/>
  <c r="B21" i="12"/>
  <c r="B20" i="12"/>
  <c r="B19" i="12"/>
  <c r="B18" i="12"/>
  <c r="B13" i="12"/>
  <c r="B17" i="12"/>
  <c r="B16" i="12"/>
  <c r="B15" i="12"/>
  <c r="B14" i="12"/>
  <c r="B33" i="11"/>
  <c r="B30" i="11"/>
  <c r="B27" i="11"/>
  <c r="B24" i="11"/>
  <c r="B21" i="11"/>
  <c r="B18" i="11"/>
  <c r="B15" i="11"/>
  <c r="B12" i="11"/>
  <c r="B9" i="11"/>
  <c r="B6" i="11"/>
  <c r="G17" i="6" a="1"/>
  <c r="G17" i="6"/>
  <c r="G15" i="6"/>
  <c r="D7" i="16" a="1"/>
  <c r="D7" i="16"/>
  <c r="G16" i="6"/>
  <c r="D8" i="16" a="1"/>
  <c r="D8" i="16"/>
  <c r="V14" i="16" a="1"/>
  <c r="V14" i="16"/>
  <c r="V16" i="16" a="1"/>
  <c r="V16" i="16"/>
  <c r="R16" i="16" a="1"/>
  <c r="R16" i="16"/>
  <c r="C47" i="8"/>
  <c r="Q30" i="7"/>
  <c r="Q38" i="7"/>
  <c r="Q46" i="7"/>
  <c r="Q54" i="7"/>
  <c r="Q63" i="7"/>
  <c r="Q70" i="7"/>
  <c r="B81" i="7"/>
  <c r="B73" i="7"/>
  <c r="B65" i="7"/>
  <c r="B57" i="7"/>
  <c r="B49" i="7"/>
  <c r="B41" i="7"/>
  <c r="B33" i="7"/>
  <c r="B25" i="7"/>
  <c r="B17" i="7"/>
  <c r="B9" i="7"/>
  <c r="F40" i="16"/>
  <c r="F55" i="16"/>
  <c r="H55" i="16"/>
  <c r="F39" i="16"/>
  <c r="F54" i="16"/>
  <c r="H54" i="16"/>
  <c r="F38" i="16"/>
  <c r="F53" i="16"/>
  <c r="F37" i="16"/>
  <c r="F52" i="16"/>
  <c r="H52" i="16"/>
  <c r="F36" i="16"/>
  <c r="F51" i="16"/>
  <c r="B40" i="16"/>
  <c r="B55" i="16"/>
  <c r="D55" i="16"/>
  <c r="B39" i="16"/>
  <c r="B54" i="16"/>
  <c r="D54" i="16"/>
  <c r="B38" i="16"/>
  <c r="B53" i="16"/>
  <c r="D53" i="16"/>
  <c r="B37" i="16"/>
  <c r="B52" i="16"/>
  <c r="D52" i="16"/>
  <c r="B36" i="16"/>
  <c r="B51" i="16"/>
  <c r="D51" i="16"/>
  <c r="B11" i="16"/>
  <c r="C45" i="8"/>
  <c r="R15" i="16" a="1"/>
  <c r="R15" i="16"/>
  <c r="B4" i="17" a="1"/>
  <c r="B4" i="17"/>
  <c r="B24" i="16"/>
  <c r="B2" i="4"/>
  <c r="B2" i="17"/>
  <c r="B2" i="12"/>
  <c r="D2" i="6"/>
  <c r="Q14" i="7"/>
  <c r="Q71" i="7"/>
  <c r="Q62" i="7"/>
  <c r="Q39" i="7"/>
  <c r="Q31" i="7"/>
  <c r="Q22" i="7"/>
  <c r="Q86" i="7"/>
  <c r="Q78" i="7"/>
  <c r="Q87" i="7"/>
  <c r="Q55" i="7"/>
  <c r="Q23" i="7"/>
  <c r="Q79" i="7"/>
  <c r="Q47" i="7"/>
  <c r="Q15" i="7"/>
  <c r="G27" i="6" a="1"/>
  <c r="G27" i="6"/>
  <c r="G11" i="6"/>
  <c r="G4" i="14"/>
  <c r="Y15" i="13"/>
  <c r="D30" i="8"/>
  <c r="E30" i="8"/>
  <c r="D86" i="16"/>
  <c r="B87" i="16"/>
  <c r="G30" i="8"/>
  <c r="G3" i="14"/>
  <c r="F4" i="14"/>
  <c r="H3" i="14"/>
  <c r="C40" i="8"/>
  <c r="C58" i="8"/>
  <c r="C44" i="8"/>
  <c r="H12" i="8"/>
  <c r="F3" i="14"/>
  <c r="E4" i="14"/>
  <c r="I3" i="14"/>
  <c r="F30" i="8"/>
  <c r="E3" i="14"/>
  <c r="D4" i="14"/>
  <c r="J3" i="14"/>
  <c r="D3" i="14"/>
  <c r="C4" i="14"/>
  <c r="K3" i="14"/>
  <c r="D26" i="8"/>
  <c r="E26" i="8"/>
  <c r="F26" i="8"/>
  <c r="G26" i="8"/>
  <c r="C3" i="14"/>
  <c r="M3" i="14"/>
  <c r="L3" i="14"/>
  <c r="H66" i="2"/>
  <c r="G66" i="2"/>
  <c r="F66" i="2"/>
  <c r="E66" i="2"/>
  <c r="H63" i="2"/>
  <c r="G63" i="2"/>
  <c r="F63" i="2"/>
  <c r="E63" i="2"/>
  <c r="H60" i="2"/>
  <c r="G60" i="2"/>
  <c r="F60" i="2"/>
  <c r="E60" i="2"/>
  <c r="P85" i="7"/>
  <c r="P77" i="7"/>
  <c r="P69" i="7"/>
  <c r="P61" i="7"/>
  <c r="E92" i="2"/>
  <c r="F92" i="2"/>
  <c r="G92" i="2"/>
  <c r="H92" i="2"/>
  <c r="D92" i="2"/>
  <c r="E24" i="8"/>
  <c r="E28" i="8"/>
  <c r="F24" i="8"/>
  <c r="F28" i="8"/>
  <c r="G24" i="8"/>
  <c r="G28" i="8"/>
  <c r="D24" i="8"/>
  <c r="D28" i="8"/>
  <c r="E49" i="2"/>
  <c r="F49" i="2"/>
  <c r="G49" i="2"/>
  <c r="H49" i="2"/>
  <c r="E52" i="2"/>
  <c r="F52" i="2"/>
  <c r="G52" i="2"/>
  <c r="H52" i="2"/>
  <c r="H102" i="2"/>
  <c r="G102" i="2"/>
  <c r="F102" i="2"/>
  <c r="E102" i="2"/>
  <c r="H16" i="14"/>
  <c r="H11" i="14"/>
  <c r="E16" i="14"/>
  <c r="E11" i="14"/>
  <c r="G11" i="14"/>
  <c r="G16" i="14"/>
  <c r="F16" i="14"/>
  <c r="F11" i="14"/>
  <c r="D13" i="14"/>
  <c r="D9" i="14"/>
  <c r="D18" i="14"/>
  <c r="P14" i="7"/>
  <c r="F14" i="7"/>
  <c r="G14" i="7"/>
  <c r="H14" i="7"/>
  <c r="E68" i="2"/>
  <c r="E73" i="2"/>
  <c r="H93" i="2"/>
  <c r="F68" i="2"/>
  <c r="G68" i="2"/>
  <c r="G73" i="2"/>
  <c r="F73" i="2"/>
  <c r="H68" i="2"/>
  <c r="H73" i="2"/>
  <c r="G93" i="2"/>
  <c r="F93" i="2"/>
  <c r="E55" i="2"/>
  <c r="E93" i="2"/>
  <c r="D16" i="12"/>
  <c r="D15" i="12"/>
  <c r="D21" i="12"/>
  <c r="D14" i="12"/>
  <c r="D13" i="12"/>
  <c r="D22" i="12"/>
  <c r="D17" i="12"/>
  <c r="D18" i="12"/>
  <c r="D19" i="12"/>
  <c r="D20" i="12"/>
  <c r="H55" i="2"/>
  <c r="H84" i="2"/>
  <c r="G55" i="2"/>
  <c r="E84" i="2"/>
  <c r="F84" i="2"/>
  <c r="F55" i="2"/>
  <c r="X3" i="13"/>
  <c r="X32" i="13"/>
  <c r="Y31" i="13"/>
  <c r="I14" i="7"/>
  <c r="J14" i="7"/>
  <c r="K14" i="7"/>
  <c r="L14" i="7"/>
  <c r="M14" i="7"/>
  <c r="N14" i="7"/>
  <c r="O14" i="7"/>
  <c r="G84" i="2"/>
  <c r="W3" i="13"/>
  <c r="X31" i="13"/>
  <c r="W32" i="13"/>
  <c r="Z31" i="13"/>
  <c r="D32" i="12"/>
  <c r="D22" i="8"/>
  <c r="D87" i="2"/>
  <c r="D96" i="2"/>
  <c r="D105" i="2"/>
  <c r="B2" i="7"/>
  <c r="P87" i="7"/>
  <c r="F87" i="7"/>
  <c r="G87" i="7"/>
  <c r="H87" i="7"/>
  <c r="I87" i="7"/>
  <c r="J87" i="7"/>
  <c r="K87" i="7"/>
  <c r="L87" i="7"/>
  <c r="M87" i="7"/>
  <c r="N87" i="7"/>
  <c r="O87" i="7"/>
  <c r="G23" i="6" a="1"/>
  <c r="G23" i="6"/>
  <c r="G22" i="6" a="1"/>
  <c r="G22" i="6"/>
  <c r="P79" i="7"/>
  <c r="F79" i="7"/>
  <c r="G79" i="7"/>
  <c r="H79" i="7"/>
  <c r="I79" i="7"/>
  <c r="J79" i="7"/>
  <c r="K79" i="7"/>
  <c r="L79" i="7"/>
  <c r="M79" i="7"/>
  <c r="N79" i="7"/>
  <c r="O79" i="7"/>
  <c r="P55" i="7"/>
  <c r="F55" i="7"/>
  <c r="G55" i="7"/>
  <c r="H55" i="7"/>
  <c r="I55" i="7"/>
  <c r="J55" i="7"/>
  <c r="K55" i="7"/>
  <c r="L55" i="7"/>
  <c r="M55" i="7"/>
  <c r="N55" i="7"/>
  <c r="O55" i="7"/>
  <c r="P47" i="7"/>
  <c r="F47" i="7"/>
  <c r="G47" i="7"/>
  <c r="H47" i="7"/>
  <c r="I47" i="7"/>
  <c r="J47" i="7"/>
  <c r="K47" i="7"/>
  <c r="L47" i="7"/>
  <c r="M47" i="7"/>
  <c r="N47" i="7"/>
  <c r="O47" i="7"/>
  <c r="G63" i="6" a="1"/>
  <c r="G63" i="6"/>
  <c r="D83" i="7"/>
  <c r="G59" i="6" a="1"/>
  <c r="G59" i="6"/>
  <c r="D75" i="7"/>
  <c r="G55" i="6" a="1"/>
  <c r="G55" i="6"/>
  <c r="D67" i="7"/>
  <c r="G51" i="6" a="1"/>
  <c r="G51" i="6"/>
  <c r="D59" i="7"/>
  <c r="G39" i="6" a="1"/>
  <c r="G39" i="6"/>
  <c r="D35" i="7"/>
  <c r="G4" i="11"/>
  <c r="G3" i="11"/>
  <c r="E22" i="11"/>
  <c r="F22" i="11"/>
  <c r="D25" i="11"/>
  <c r="E25" i="11"/>
  <c r="F25" i="11"/>
  <c r="G25" i="11"/>
  <c r="D28" i="11"/>
  <c r="E28" i="11"/>
  <c r="F28" i="11"/>
  <c r="G28" i="11"/>
  <c r="D31" i="11"/>
  <c r="E31" i="11"/>
  <c r="F31" i="11"/>
  <c r="G31" i="11"/>
  <c r="D34" i="11"/>
  <c r="E34" i="11"/>
  <c r="F34" i="11"/>
  <c r="G34" i="11"/>
  <c r="D19" i="8"/>
  <c r="B2" i="2"/>
  <c r="D11" i="7"/>
  <c r="G18" i="6"/>
  <c r="G47" i="6" a="1"/>
  <c r="G47" i="6"/>
  <c r="D51" i="7"/>
  <c r="G43" i="6" a="1"/>
  <c r="G43" i="6"/>
  <c r="D43" i="7"/>
  <c r="G35" i="6" a="1"/>
  <c r="G35" i="6"/>
  <c r="D27" i="7"/>
  <c r="V3" i="13"/>
  <c r="AA31" i="13"/>
  <c r="W31" i="13"/>
  <c r="V32" i="13"/>
  <c r="H13" i="14"/>
  <c r="H18" i="14"/>
  <c r="H9" i="14"/>
  <c r="G9" i="14"/>
  <c r="G13" i="14"/>
  <c r="G18" i="14"/>
  <c r="E13" i="14"/>
  <c r="F9" i="14"/>
  <c r="G20" i="12"/>
  <c r="G14" i="12"/>
  <c r="G15" i="12"/>
  <c r="G13" i="12"/>
  <c r="G19" i="12"/>
  <c r="G22" i="12"/>
  <c r="G17" i="12"/>
  <c r="G21" i="12"/>
  <c r="G18" i="12"/>
  <c r="G16" i="12"/>
  <c r="G37" i="11"/>
  <c r="H17" i="12"/>
  <c r="H20" i="12"/>
  <c r="H14" i="12"/>
  <c r="H13" i="12"/>
  <c r="H18" i="12"/>
  <c r="H16" i="12"/>
  <c r="H21" i="12"/>
  <c r="H15" i="12"/>
  <c r="H19" i="12"/>
  <c r="H19" i="8"/>
  <c r="G19" i="8"/>
  <c r="H4" i="11"/>
  <c r="H3" i="11"/>
  <c r="P63" i="7"/>
  <c r="F63" i="7"/>
  <c r="G63" i="7"/>
  <c r="H63" i="7"/>
  <c r="I63" i="7"/>
  <c r="J63" i="7"/>
  <c r="K63" i="7"/>
  <c r="L63" i="7"/>
  <c r="M63" i="7"/>
  <c r="N63" i="7"/>
  <c r="O63" i="7"/>
  <c r="P54" i="7"/>
  <c r="F54" i="7"/>
  <c r="G54" i="7"/>
  <c r="H54" i="7"/>
  <c r="I54" i="7"/>
  <c r="J54" i="7"/>
  <c r="K54" i="7"/>
  <c r="L54" i="7"/>
  <c r="M54" i="7"/>
  <c r="N54" i="7"/>
  <c r="O54" i="7"/>
  <c r="P62" i="7"/>
  <c r="F62" i="7"/>
  <c r="G62" i="7"/>
  <c r="H62" i="7"/>
  <c r="I62" i="7"/>
  <c r="J62" i="7"/>
  <c r="K62" i="7"/>
  <c r="L62" i="7"/>
  <c r="M62" i="7"/>
  <c r="N62" i="7"/>
  <c r="O62" i="7"/>
  <c r="P46" i="7"/>
  <c r="F46" i="7"/>
  <c r="G46" i="7"/>
  <c r="H46" i="7"/>
  <c r="I46" i="7"/>
  <c r="J46" i="7"/>
  <c r="K46" i="7"/>
  <c r="L46" i="7"/>
  <c r="M46" i="7"/>
  <c r="N46" i="7"/>
  <c r="O46" i="7"/>
  <c r="P22" i="7"/>
  <c r="F22" i="7"/>
  <c r="G22" i="7"/>
  <c r="H22" i="7"/>
  <c r="I22" i="7"/>
  <c r="J22" i="7"/>
  <c r="K22" i="7"/>
  <c r="L22" i="7"/>
  <c r="M22" i="7"/>
  <c r="N22" i="7"/>
  <c r="O22" i="7"/>
  <c r="P70" i="7"/>
  <c r="F70" i="7"/>
  <c r="G70" i="7"/>
  <c r="H70" i="7"/>
  <c r="I70" i="7"/>
  <c r="J70" i="7"/>
  <c r="K70" i="7"/>
  <c r="L70" i="7"/>
  <c r="M70" i="7"/>
  <c r="N70" i="7"/>
  <c r="O70" i="7"/>
  <c r="P30" i="7"/>
  <c r="F30" i="7"/>
  <c r="G30" i="7"/>
  <c r="H30" i="7"/>
  <c r="I30" i="7"/>
  <c r="J30" i="7"/>
  <c r="K30" i="7"/>
  <c r="L30" i="7"/>
  <c r="M30" i="7"/>
  <c r="N30" i="7"/>
  <c r="O30" i="7"/>
  <c r="P71" i="7"/>
  <c r="F71" i="7"/>
  <c r="G71" i="7"/>
  <c r="H71" i="7"/>
  <c r="I71" i="7"/>
  <c r="J71" i="7"/>
  <c r="K71" i="7"/>
  <c r="L71" i="7"/>
  <c r="M71" i="7"/>
  <c r="N71" i="7"/>
  <c r="O71" i="7"/>
  <c r="P31" i="7"/>
  <c r="F31" i="7"/>
  <c r="G31" i="7"/>
  <c r="H31" i="7"/>
  <c r="I31" i="7"/>
  <c r="J31" i="7"/>
  <c r="K31" i="7"/>
  <c r="L31" i="7"/>
  <c r="M31" i="7"/>
  <c r="N31" i="7"/>
  <c r="O31" i="7"/>
  <c r="P78" i="7"/>
  <c r="F78" i="7"/>
  <c r="G78" i="7"/>
  <c r="H78" i="7"/>
  <c r="I78" i="7"/>
  <c r="J78" i="7"/>
  <c r="K78" i="7"/>
  <c r="L78" i="7"/>
  <c r="M78" i="7"/>
  <c r="N78" i="7"/>
  <c r="O78" i="7"/>
  <c r="P38" i="7"/>
  <c r="F38" i="7"/>
  <c r="G38" i="7"/>
  <c r="H38" i="7"/>
  <c r="I38" i="7"/>
  <c r="J38" i="7"/>
  <c r="K38" i="7"/>
  <c r="L38" i="7"/>
  <c r="M38" i="7"/>
  <c r="N38" i="7"/>
  <c r="O38" i="7"/>
  <c r="P23" i="7"/>
  <c r="F23" i="7"/>
  <c r="G23" i="7"/>
  <c r="H23" i="7"/>
  <c r="I23" i="7"/>
  <c r="J23" i="7"/>
  <c r="K23" i="7"/>
  <c r="L23" i="7"/>
  <c r="M23" i="7"/>
  <c r="N23" i="7"/>
  <c r="O23" i="7"/>
  <c r="P39" i="7"/>
  <c r="F39" i="7"/>
  <c r="G39" i="7"/>
  <c r="H39" i="7"/>
  <c r="I39" i="7"/>
  <c r="J39" i="7"/>
  <c r="K39" i="7"/>
  <c r="L39" i="7"/>
  <c r="M39" i="7"/>
  <c r="N39" i="7"/>
  <c r="O39" i="7"/>
  <c r="P86" i="7"/>
  <c r="F86" i="7"/>
  <c r="G86" i="7"/>
  <c r="H86" i="7"/>
  <c r="I86" i="7"/>
  <c r="J86" i="7"/>
  <c r="K86" i="7"/>
  <c r="L86" i="7"/>
  <c r="M86" i="7"/>
  <c r="N86" i="7"/>
  <c r="O86" i="7"/>
  <c r="P15" i="7"/>
  <c r="F15" i="7"/>
  <c r="G15" i="7"/>
  <c r="H15" i="7"/>
  <c r="I15" i="7"/>
  <c r="J15" i="7"/>
  <c r="K15" i="7"/>
  <c r="L15" i="7"/>
  <c r="M15" i="7"/>
  <c r="N15" i="7"/>
  <c r="O15" i="7"/>
  <c r="F4" i="11"/>
  <c r="T3" i="13"/>
  <c r="U3" i="13"/>
  <c r="V31" i="13"/>
  <c r="U32" i="13"/>
  <c r="AB31" i="13"/>
  <c r="E18" i="12"/>
  <c r="E17" i="12"/>
  <c r="E19" i="12"/>
  <c r="E16" i="12"/>
  <c r="E18" i="14"/>
  <c r="E22" i="12"/>
  <c r="E9" i="14"/>
  <c r="E15" i="12"/>
  <c r="E13" i="12"/>
  <c r="E19" i="8"/>
  <c r="E20" i="12"/>
  <c r="E14" i="12"/>
  <c r="E21" i="12"/>
  <c r="D37" i="11"/>
  <c r="F37" i="11"/>
  <c r="F21" i="12"/>
  <c r="F17" i="12"/>
  <c r="F22" i="12"/>
  <c r="F20" i="12"/>
  <c r="F18" i="14"/>
  <c r="F16" i="12"/>
  <c r="E37" i="11"/>
  <c r="F18" i="12"/>
  <c r="F19" i="8"/>
  <c r="F15" i="12"/>
  <c r="F13" i="14"/>
  <c r="F13" i="12"/>
  <c r="F19" i="12"/>
  <c r="F14" i="12"/>
  <c r="I4" i="11"/>
  <c r="J4" i="11"/>
  <c r="G43" i="2"/>
  <c r="H43" i="2"/>
  <c r="F43" i="2"/>
  <c r="E43" i="2"/>
  <c r="E4" i="11"/>
  <c r="F3" i="11"/>
  <c r="U31" i="13"/>
  <c r="T32" i="13"/>
  <c r="T31" i="13"/>
  <c r="AD31" i="13"/>
  <c r="AC31" i="13"/>
  <c r="G32" i="12"/>
  <c r="H87" i="2"/>
  <c r="H96" i="2"/>
  <c r="H105" i="2"/>
  <c r="G87" i="2"/>
  <c r="G22" i="8"/>
  <c r="G25" i="8"/>
  <c r="H77" i="2"/>
  <c r="F32" i="12"/>
  <c r="E32" i="12"/>
  <c r="F87" i="2"/>
  <c r="F22" i="8"/>
  <c r="F25" i="8"/>
  <c r="G77" i="2"/>
  <c r="E87" i="2"/>
  <c r="E22" i="8"/>
  <c r="E25" i="8"/>
  <c r="E77" i="2"/>
  <c r="F77" i="2"/>
  <c r="I3" i="11"/>
  <c r="J3" i="11"/>
  <c r="K4" i="11"/>
  <c r="E3" i="11"/>
  <c r="D4" i="11"/>
  <c r="I20" i="14"/>
  <c r="G96" i="2"/>
  <c r="H88" i="2"/>
  <c r="F96" i="2"/>
  <c r="G88" i="2"/>
  <c r="E96" i="2"/>
  <c r="F88" i="2"/>
  <c r="E88" i="2"/>
  <c r="L4" i="11"/>
  <c r="K3" i="11"/>
  <c r="C4" i="11"/>
  <c r="C3" i="11"/>
  <c r="D3" i="11"/>
  <c r="M93" i="2"/>
  <c r="H20" i="14"/>
  <c r="H97" i="2"/>
  <c r="G105" i="2"/>
  <c r="H106" i="2"/>
  <c r="F105" i="2"/>
  <c r="G97" i="2"/>
  <c r="E105" i="2"/>
  <c r="F97" i="2"/>
  <c r="E97" i="2"/>
  <c r="L3" i="11"/>
  <c r="M4" i="11"/>
  <c r="K93" i="2"/>
  <c r="L93" i="2"/>
  <c r="J93" i="2"/>
  <c r="I93" i="2"/>
  <c r="G106" i="2"/>
  <c r="E106" i="2"/>
  <c r="F106" i="2"/>
  <c r="K19" i="8"/>
  <c r="J19" i="8"/>
  <c r="J37" i="11"/>
  <c r="N4" i="11"/>
  <c r="M3" i="11"/>
  <c r="K43" i="2"/>
  <c r="K37" i="11"/>
  <c r="L19" i="8"/>
  <c r="N3" i="11"/>
  <c r="O4" i="11"/>
  <c r="L43" i="2"/>
  <c r="M43" i="2"/>
  <c r="L37" i="11"/>
  <c r="O3" i="11"/>
  <c r="P4" i="11"/>
  <c r="M37" i="11"/>
  <c r="P3" i="11"/>
  <c r="Q4" i="11"/>
  <c r="Q3" i="11"/>
  <c r="N37" i="11"/>
  <c r="C33" i="8"/>
  <c r="O37" i="11"/>
  <c r="I7" i="2"/>
  <c r="P37" i="11"/>
  <c r="Q37" i="11"/>
  <c r="J7" i="2"/>
  <c r="K7" i="2"/>
  <c r="L7" i="2"/>
  <c r="M7" i="2"/>
  <c r="U62" i="8"/>
  <c r="U63" i="8"/>
  <c r="U64" i="8"/>
  <c r="U42" i="8"/>
  <c r="U41" i="8"/>
  <c r="X39" i="8"/>
  <c r="X48" i="8"/>
  <c r="U68" i="8"/>
  <c r="U59" i="8"/>
  <c r="U48" i="8"/>
  <c r="U39" i="8"/>
  <c r="C61" i="8"/>
  <c r="C59" i="8"/>
  <c r="C54" i="8"/>
  <c r="F8" i="7"/>
  <c r="G8" i="7"/>
  <c r="H8" i="7"/>
  <c r="I8" i="7"/>
  <c r="J8" i="7"/>
  <c r="K8" i="7"/>
  <c r="L8" i="7"/>
  <c r="M8" i="7"/>
  <c r="N8" i="7"/>
  <c r="O8" i="7"/>
  <c r="F23" i="8"/>
  <c r="E23" i="8"/>
  <c r="D23" i="8"/>
  <c r="F20" i="8"/>
  <c r="G20" i="8"/>
  <c r="H20" i="8"/>
  <c r="K20" i="8"/>
  <c r="L20" i="8"/>
  <c r="M20" i="8"/>
  <c r="E20" i="8"/>
  <c r="W39" i="8"/>
  <c r="V39" i="8"/>
  <c r="Y39" i="8"/>
  <c r="Z39" i="8"/>
  <c r="U61" i="8"/>
  <c r="U60" i="8"/>
  <c r="H9" i="8"/>
  <c r="H23" i="8"/>
  <c r="G23" i="8"/>
  <c r="D25" i="8"/>
  <c r="I32" i="8"/>
  <c r="U43" i="8"/>
  <c r="U44" i="8"/>
  <c r="U40" i="8"/>
  <c r="U71" i="8"/>
  <c r="X59" i="8"/>
  <c r="X68" i="8"/>
  <c r="U51" i="8"/>
  <c r="G16" i="8"/>
  <c r="G15" i="8"/>
  <c r="J32" i="8"/>
  <c r="D27" i="8"/>
  <c r="D31" i="8"/>
  <c r="F27" i="8"/>
  <c r="F31" i="8"/>
  <c r="E27" i="8"/>
  <c r="E31" i="8"/>
  <c r="G27" i="8"/>
  <c r="G31" i="8"/>
  <c r="F16" i="8"/>
  <c r="E16" i="8"/>
  <c r="Y68" i="8"/>
  <c r="Z68" i="8"/>
  <c r="W68" i="8"/>
  <c r="V68" i="8"/>
  <c r="Y59" i="8"/>
  <c r="W59" i="8"/>
  <c r="Y48" i="8"/>
  <c r="Z48" i="8"/>
  <c r="W48" i="8"/>
  <c r="V48" i="8"/>
  <c r="U52" i="8"/>
  <c r="U53" i="8"/>
  <c r="U50" i="8"/>
  <c r="U49" i="8"/>
  <c r="U72" i="8"/>
  <c r="U73" i="8"/>
  <c r="U70" i="8"/>
  <c r="U69" i="8"/>
  <c r="K32" i="8"/>
  <c r="F15" i="8"/>
  <c r="V59" i="8"/>
  <c r="Z59" i="8"/>
  <c r="E15" i="8"/>
  <c r="D16" i="8"/>
  <c r="D15" i="8"/>
  <c r="L32" i="8"/>
  <c r="L15" i="8"/>
  <c r="M32" i="8"/>
  <c r="M15" i="8"/>
  <c r="I19" i="8"/>
  <c r="J20" i="8"/>
  <c r="H37" i="11"/>
  <c r="I37" i="11"/>
  <c r="I20" i="8"/>
  <c r="I71" i="2"/>
  <c r="J71" i="2"/>
  <c r="K71" i="2"/>
  <c r="L71" i="2"/>
  <c r="M71" i="2"/>
  <c r="M72" i="2"/>
  <c r="L72" i="2"/>
  <c r="N71" i="2"/>
  <c r="N72" i="2"/>
  <c r="O71" i="2"/>
  <c r="O72" i="2"/>
  <c r="P71" i="2"/>
  <c r="P72" i="2"/>
  <c r="Q71" i="2"/>
  <c r="Q72" i="2"/>
  <c r="R71" i="2"/>
  <c r="R72" i="2"/>
  <c r="N73" i="2"/>
  <c r="O73" i="2"/>
  <c r="P73" i="2"/>
  <c r="Q73" i="2"/>
  <c r="R73" i="2"/>
  <c r="M73" i="2"/>
  <c r="I35" i="25"/>
  <c r="J35" i="25"/>
  <c r="K35" i="25"/>
  <c r="L35" i="25"/>
  <c r="M35" i="25"/>
  <c r="N35" i="25"/>
  <c r="O35" i="25"/>
  <c r="P35" i="25"/>
  <c r="Q35" i="25"/>
  <c r="R35" i="25"/>
  <c r="I13" i="25"/>
  <c r="J13" i="25"/>
  <c r="K13" i="25"/>
  <c r="L13" i="25"/>
  <c r="M13" i="25"/>
  <c r="N13" i="25"/>
  <c r="O13" i="25"/>
  <c r="P13" i="25"/>
  <c r="Q13" i="25"/>
  <c r="R13" i="25"/>
  <c r="I39" i="25"/>
  <c r="J39" i="25"/>
  <c r="J36" i="25"/>
  <c r="J37" i="25"/>
  <c r="K39" i="25"/>
  <c r="K36" i="25"/>
  <c r="K37" i="25"/>
  <c r="L39" i="25"/>
  <c r="L36" i="25"/>
  <c r="L37" i="25"/>
  <c r="M39" i="25"/>
  <c r="M36" i="25"/>
  <c r="M37" i="25"/>
  <c r="N39" i="25"/>
  <c r="N36" i="25"/>
  <c r="N37" i="25"/>
  <c r="O39" i="25"/>
  <c r="O36" i="25"/>
  <c r="O37" i="25"/>
  <c r="P39" i="25"/>
  <c r="P36" i="25"/>
  <c r="P37" i="25"/>
  <c r="Q39" i="25"/>
  <c r="Q36" i="25"/>
  <c r="Q37" i="25"/>
  <c r="R39" i="25"/>
  <c r="R36" i="25"/>
  <c r="R37" i="25"/>
  <c r="N82" i="2"/>
  <c r="M82" i="2"/>
  <c r="O82" i="2"/>
  <c r="P82" i="2"/>
  <c r="Q82" i="2"/>
  <c r="K82" i="2"/>
  <c r="J82" i="2"/>
  <c r="L82" i="2"/>
  <c r="R82" i="2"/>
  <c r="R41" i="25"/>
  <c r="M41" i="25"/>
  <c r="L41" i="25"/>
  <c r="J41" i="25"/>
  <c r="K41" i="25"/>
  <c r="Q41" i="25"/>
  <c r="P41" i="25"/>
  <c r="O41" i="25"/>
  <c r="N41" i="25"/>
  <c r="O21" i="25"/>
  <c r="P21" i="25"/>
  <c r="Q21" i="25"/>
  <c r="R21" i="25"/>
  <c r="P22" i="25"/>
  <c r="Q22" i="25"/>
  <c r="R22" i="25"/>
  <c r="Q23" i="25"/>
  <c r="R23" i="25"/>
  <c r="R24" i="25"/>
  <c r="I20" i="25"/>
  <c r="J20" i="25"/>
  <c r="K20" i="25"/>
  <c r="L20" i="25"/>
  <c r="M20" i="25"/>
  <c r="N20" i="25"/>
  <c r="O20" i="25"/>
  <c r="P20" i="25"/>
  <c r="Q20" i="25"/>
  <c r="R20" i="25"/>
  <c r="I72" i="2"/>
  <c r="I73" i="2"/>
  <c r="K72" i="2"/>
  <c r="J72" i="2"/>
  <c r="J73" i="2"/>
  <c r="K73" i="2"/>
  <c r="L73" i="2"/>
  <c r="I30" i="12"/>
  <c r="J30" i="12"/>
  <c r="K30" i="12"/>
  <c r="L30" i="12"/>
  <c r="M30" i="12"/>
  <c r="N30" i="12"/>
  <c r="O30" i="12"/>
  <c r="P30" i="12"/>
  <c r="Q30" i="12"/>
  <c r="R30" i="12"/>
  <c r="M51" i="2"/>
  <c r="L51" i="2"/>
  <c r="Q51" i="2"/>
  <c r="J51" i="2"/>
  <c r="K51" i="2"/>
  <c r="N51" i="2"/>
  <c r="O51" i="2"/>
  <c r="P51" i="2"/>
  <c r="R51" i="2"/>
  <c r="M52" i="2"/>
  <c r="L52" i="2"/>
  <c r="K52" i="2"/>
  <c r="R52" i="2"/>
  <c r="Q52" i="2"/>
  <c r="P52" i="2"/>
  <c r="O52" i="2"/>
  <c r="N52" i="2"/>
  <c r="I9" i="14"/>
  <c r="I8" i="14"/>
  <c r="J9" i="14"/>
  <c r="K9" i="14"/>
  <c r="L9" i="14"/>
  <c r="M9" i="14"/>
  <c r="M8" i="14"/>
  <c r="J8" i="14"/>
  <c r="K8" i="14"/>
  <c r="N9" i="14"/>
  <c r="N8" i="14"/>
  <c r="O9" i="14"/>
  <c r="O8" i="14"/>
  <c r="P9" i="14"/>
  <c r="P8" i="14"/>
  <c r="Q9" i="14"/>
  <c r="Q8" i="14"/>
  <c r="R9" i="14"/>
  <c r="R8" i="14"/>
  <c r="L8" i="14"/>
  <c r="I11" i="14"/>
  <c r="J11" i="14"/>
  <c r="K11" i="14"/>
  <c r="L11" i="14"/>
  <c r="M11" i="14"/>
  <c r="N11" i="14"/>
  <c r="O11" i="14"/>
  <c r="P11" i="14"/>
  <c r="Q11" i="14"/>
  <c r="R11" i="14"/>
  <c r="I13" i="14"/>
  <c r="I12" i="14"/>
  <c r="I16" i="14"/>
  <c r="I18" i="14"/>
  <c r="I17" i="14"/>
  <c r="J13" i="14"/>
  <c r="K13" i="14"/>
  <c r="L13" i="14"/>
  <c r="M13" i="14"/>
  <c r="N13" i="14"/>
  <c r="O13" i="14"/>
  <c r="P13" i="14"/>
  <c r="Q13" i="14"/>
  <c r="R13" i="14"/>
  <c r="R12" i="14"/>
  <c r="P12" i="14"/>
  <c r="K12" i="14"/>
  <c r="L12" i="14"/>
  <c r="M12" i="14"/>
  <c r="N12" i="14"/>
  <c r="O12" i="14"/>
  <c r="J12" i="14"/>
  <c r="Q12" i="14"/>
  <c r="J16" i="14"/>
  <c r="K16" i="14"/>
  <c r="L16" i="14"/>
  <c r="M16" i="14"/>
  <c r="N16" i="14"/>
  <c r="O16" i="14"/>
  <c r="P16" i="14"/>
  <c r="Q16" i="14"/>
  <c r="R16" i="14"/>
  <c r="J18" i="14"/>
  <c r="K18" i="14"/>
  <c r="L18" i="14"/>
  <c r="M18" i="14"/>
  <c r="M17" i="14"/>
  <c r="K17" i="14"/>
  <c r="N18" i="14"/>
  <c r="N17" i="14"/>
  <c r="O18" i="14"/>
  <c r="O17" i="14"/>
  <c r="P18" i="14"/>
  <c r="P17" i="14"/>
  <c r="J17" i="14"/>
  <c r="Q18" i="14"/>
  <c r="Q17" i="14"/>
  <c r="R18" i="14"/>
  <c r="R17" i="14"/>
  <c r="L17" i="14"/>
  <c r="I11" i="25"/>
  <c r="J11" i="25"/>
  <c r="J10" i="25"/>
  <c r="K11" i="25"/>
  <c r="K10" i="25"/>
  <c r="L11" i="25"/>
  <c r="L10" i="25"/>
  <c r="M11" i="25"/>
  <c r="M10" i="25"/>
  <c r="N11" i="25"/>
  <c r="N10" i="25"/>
  <c r="O11" i="25"/>
  <c r="O10" i="25"/>
  <c r="O22" i="25"/>
  <c r="O23" i="25"/>
  <c r="O24" i="25"/>
  <c r="O25" i="25"/>
  <c r="O26" i="25"/>
  <c r="O27" i="25"/>
  <c r="O32" i="25"/>
  <c r="P11" i="25"/>
  <c r="P10" i="25"/>
  <c r="P23" i="25"/>
  <c r="P24" i="25"/>
  <c r="P25" i="25"/>
  <c r="P26" i="25"/>
  <c r="P27" i="25"/>
  <c r="P28" i="25"/>
  <c r="P32" i="25"/>
  <c r="Q11" i="25"/>
  <c r="Q10" i="25"/>
  <c r="Q24" i="25"/>
  <c r="Q25" i="25"/>
  <c r="Q26" i="25"/>
  <c r="Q27" i="25"/>
  <c r="Q28" i="25"/>
  <c r="Q29" i="25"/>
  <c r="Q32" i="25"/>
  <c r="R11" i="25"/>
  <c r="R10" i="25"/>
  <c r="R25" i="25"/>
  <c r="R26" i="25"/>
  <c r="R27" i="25"/>
  <c r="R28" i="25"/>
  <c r="R29" i="25"/>
  <c r="R30" i="25"/>
  <c r="R32" i="25"/>
  <c r="J43" i="25"/>
  <c r="J29" i="8"/>
  <c r="K43" i="25"/>
  <c r="K29" i="8"/>
  <c r="L43" i="25"/>
  <c r="L29" i="8"/>
  <c r="M43" i="25"/>
  <c r="M29" i="8"/>
  <c r="N43" i="25"/>
  <c r="N29" i="8"/>
  <c r="O81" i="2"/>
  <c r="O83" i="2"/>
  <c r="O24" i="8"/>
  <c r="O28" i="8"/>
  <c r="O43" i="25"/>
  <c r="O29" i="8"/>
  <c r="P81" i="2"/>
  <c r="P83" i="2"/>
  <c r="P24" i="8"/>
  <c r="P28" i="8"/>
  <c r="P43" i="25"/>
  <c r="P29" i="8"/>
  <c r="Q81" i="2"/>
  <c r="Q83" i="2"/>
  <c r="Q24" i="8"/>
  <c r="Q28" i="8"/>
  <c r="Q43" i="25"/>
  <c r="Q29" i="8"/>
  <c r="R81" i="2"/>
  <c r="R83" i="2"/>
  <c r="R24" i="8"/>
  <c r="R28" i="8"/>
  <c r="R43" i="25"/>
  <c r="R29" i="8"/>
  <c r="M30" i="18"/>
  <c r="L30" i="18"/>
  <c r="O25" i="18"/>
  <c r="O29" i="18"/>
  <c r="O30" i="18"/>
  <c r="P25" i="18"/>
  <c r="P29" i="18"/>
  <c r="P30" i="18"/>
  <c r="R25" i="18"/>
  <c r="R29" i="18"/>
  <c r="R30" i="18"/>
  <c r="Q25" i="18"/>
  <c r="Q29" i="18"/>
  <c r="Q30" i="18"/>
  <c r="K30" i="18"/>
  <c r="J30" i="18"/>
  <c r="N30" i="18"/>
  <c r="R44" i="25"/>
  <c r="R84" i="2"/>
  <c r="Q84" i="2"/>
  <c r="P84" i="2"/>
  <c r="Q44" i="25"/>
  <c r="P44" i="25"/>
  <c r="O44" i="25"/>
  <c r="R33" i="25"/>
  <c r="Q33" i="25"/>
  <c r="P33" i="25"/>
  <c r="O33" i="25"/>
  <c r="N26" i="25"/>
  <c r="N25" i="25"/>
  <c r="M25" i="25"/>
  <c r="N24" i="25"/>
  <c r="M24" i="25"/>
  <c r="L24" i="25"/>
  <c r="N23" i="25"/>
  <c r="M23" i="25"/>
  <c r="L23" i="25"/>
  <c r="K23" i="25"/>
  <c r="N22" i="25"/>
  <c r="M22" i="25"/>
  <c r="L22" i="25"/>
  <c r="K22" i="25"/>
  <c r="J22" i="25"/>
  <c r="I36" i="25"/>
  <c r="I37" i="25"/>
  <c r="I41" i="25"/>
  <c r="I10" i="25"/>
  <c r="I21" i="25"/>
  <c r="I32" i="25"/>
  <c r="I44" i="25"/>
  <c r="I81" i="2"/>
  <c r="I82" i="2"/>
  <c r="I83" i="2"/>
  <c r="I84" i="2"/>
  <c r="I8" i="25"/>
  <c r="J21" i="25"/>
  <c r="J32" i="25"/>
  <c r="J8" i="25"/>
  <c r="K21" i="25"/>
  <c r="K32" i="25"/>
  <c r="K8" i="25"/>
  <c r="L21" i="25"/>
  <c r="L32" i="25"/>
  <c r="L8" i="25"/>
  <c r="M21" i="25"/>
  <c r="M32" i="25"/>
  <c r="M8" i="25"/>
  <c r="N21" i="25"/>
  <c r="N32" i="25"/>
  <c r="N8" i="25"/>
  <c r="O8" i="25"/>
  <c r="P8" i="25"/>
  <c r="Q8" i="25"/>
  <c r="R8" i="25"/>
  <c r="J81" i="2"/>
  <c r="J83" i="2"/>
  <c r="J84" i="2"/>
  <c r="I25" i="18"/>
  <c r="I29" i="18"/>
  <c r="AL75" i="21"/>
  <c r="J24" i="8"/>
  <c r="I24" i="8"/>
  <c r="I28" i="8"/>
  <c r="I43" i="25"/>
  <c r="I29" i="8"/>
  <c r="J28" i="8"/>
  <c r="K81" i="2"/>
  <c r="K83" i="2"/>
  <c r="K24" i="8"/>
  <c r="K28" i="8"/>
  <c r="L81" i="2"/>
  <c r="L83" i="2"/>
  <c r="L24" i="8"/>
  <c r="L28" i="8"/>
  <c r="M81" i="2"/>
  <c r="M83" i="2"/>
  <c r="M24" i="8"/>
  <c r="M28" i="8"/>
  <c r="I30" i="18"/>
  <c r="J25" i="18"/>
  <c r="J29" i="18"/>
  <c r="K25" i="18"/>
  <c r="K29" i="18"/>
  <c r="L25" i="18"/>
  <c r="L29" i="18"/>
  <c r="M25" i="18"/>
  <c r="M29" i="18"/>
  <c r="N81" i="2"/>
  <c r="N83" i="2"/>
  <c r="N24" i="8"/>
  <c r="N28" i="8"/>
  <c r="N25" i="18"/>
  <c r="N29" i="18"/>
  <c r="AM75" i="21"/>
  <c r="AN75" i="21"/>
  <c r="M84" i="2"/>
  <c r="L84" i="2"/>
  <c r="K84" i="2"/>
  <c r="O84" i="2"/>
  <c r="N84" i="2"/>
  <c r="N44" i="25"/>
  <c r="M44" i="25"/>
  <c r="L44" i="25"/>
  <c r="K44" i="25"/>
  <c r="J44" i="25"/>
  <c r="N33" i="25"/>
  <c r="M33" i="25"/>
  <c r="L33" i="25"/>
  <c r="K33" i="25"/>
  <c r="J33" i="25"/>
  <c r="I33" i="25"/>
  <c r="I29" i="12"/>
  <c r="I32" i="12"/>
  <c r="J29" i="12"/>
  <c r="K29" i="12"/>
  <c r="L29" i="12"/>
  <c r="M29" i="12"/>
  <c r="N29" i="12"/>
  <c r="N48" i="2"/>
  <c r="N54" i="2"/>
  <c r="N10" i="14"/>
  <c r="N15" i="14"/>
  <c r="N22" i="14"/>
  <c r="M48" i="2"/>
  <c r="M54" i="2"/>
  <c r="M10" i="14"/>
  <c r="M15" i="14"/>
  <c r="M22" i="14"/>
  <c r="N23" i="14"/>
  <c r="N30" i="8"/>
  <c r="O29" i="12"/>
  <c r="O48" i="2"/>
  <c r="O54" i="2"/>
  <c r="O10" i="14"/>
  <c r="O15" i="14"/>
  <c r="O22" i="14"/>
  <c r="O23" i="14"/>
  <c r="O30" i="8"/>
  <c r="P29" i="12"/>
  <c r="P48" i="2"/>
  <c r="P54" i="2"/>
  <c r="P10" i="14"/>
  <c r="P15" i="14"/>
  <c r="P22" i="14"/>
  <c r="P23" i="14"/>
  <c r="P30" i="8"/>
  <c r="Q29" i="12"/>
  <c r="Q48" i="2"/>
  <c r="Q54" i="2"/>
  <c r="Q10" i="14"/>
  <c r="Q15" i="14"/>
  <c r="Q22" i="14"/>
  <c r="Q23" i="14"/>
  <c r="Q30" i="8"/>
  <c r="R29" i="12"/>
  <c r="R48" i="2"/>
  <c r="R54" i="2"/>
  <c r="R10" i="14"/>
  <c r="R15" i="14"/>
  <c r="R22" i="14"/>
  <c r="R23" i="14"/>
  <c r="R30" i="8"/>
  <c r="L32" i="12"/>
  <c r="K32" i="12"/>
  <c r="J32" i="12"/>
  <c r="L48" i="2"/>
  <c r="K48" i="2"/>
  <c r="L49" i="2"/>
  <c r="J48" i="2"/>
  <c r="K49" i="2"/>
  <c r="J54" i="2"/>
  <c r="K54" i="2"/>
  <c r="L54" i="2"/>
  <c r="L55" i="2"/>
  <c r="K55" i="2"/>
  <c r="J10" i="14"/>
  <c r="J15" i="14"/>
  <c r="J22" i="14"/>
  <c r="K10" i="14"/>
  <c r="K15" i="14"/>
  <c r="K22" i="14"/>
  <c r="K23" i="14"/>
  <c r="K30" i="8"/>
  <c r="L10" i="14"/>
  <c r="L15" i="14"/>
  <c r="L22" i="14"/>
  <c r="L23" i="14"/>
  <c r="L30" i="8"/>
  <c r="R32" i="12"/>
  <c r="Q32" i="12"/>
  <c r="P32" i="12"/>
  <c r="O32" i="12"/>
  <c r="N32" i="12"/>
  <c r="M32" i="12"/>
  <c r="R49" i="2"/>
  <c r="Q49" i="2"/>
  <c r="P49" i="2"/>
  <c r="O49" i="2"/>
  <c r="N49" i="2"/>
  <c r="M49" i="2"/>
  <c r="M55" i="2"/>
  <c r="Q55" i="2"/>
  <c r="P55" i="2"/>
  <c r="O55" i="2"/>
  <c r="N55" i="2"/>
  <c r="R55" i="2"/>
  <c r="O31" i="18"/>
  <c r="P31" i="18"/>
  <c r="R31" i="18"/>
  <c r="Q31" i="18"/>
  <c r="M23" i="14"/>
  <c r="M30" i="8"/>
  <c r="K31" i="18"/>
  <c r="L31" i="18"/>
  <c r="M31" i="18"/>
  <c r="N31" i="18"/>
  <c r="I42" i="2" a="1"/>
  <c r="I42" i="2"/>
  <c r="I48" i="2"/>
  <c r="I51" i="2"/>
  <c r="I54" i="2"/>
  <c r="I10" i="14"/>
  <c r="I15" i="14"/>
  <c r="I22" i="14"/>
  <c r="I23" i="14"/>
  <c r="I30" i="8"/>
  <c r="J23" i="14"/>
  <c r="J30" i="8"/>
  <c r="I31" i="18"/>
  <c r="J31" i="18"/>
  <c r="I65" i="2"/>
  <c r="I39" i="12"/>
  <c r="J65" i="2"/>
  <c r="J39" i="12"/>
  <c r="K65" i="2"/>
  <c r="K39" i="12"/>
  <c r="L65" i="2"/>
  <c r="L39" i="12"/>
  <c r="M65" i="2"/>
  <c r="M39" i="12"/>
  <c r="N65" i="2"/>
  <c r="N39" i="12"/>
  <c r="O65" i="2"/>
  <c r="O39" i="12"/>
  <c r="P65" i="2"/>
  <c r="P39" i="12"/>
  <c r="Q65" i="2"/>
  <c r="Q39" i="12"/>
  <c r="R65" i="2"/>
  <c r="R39" i="12"/>
  <c r="I43" i="2"/>
  <c r="J43" i="2"/>
  <c r="I49" i="2"/>
  <c r="J49" i="2"/>
  <c r="I52" i="2"/>
  <c r="J52" i="2"/>
  <c r="I55" i="2"/>
  <c r="J55" i="2"/>
  <c r="I66" i="2"/>
  <c r="J66" i="2"/>
  <c r="K66" i="2"/>
  <c r="L66" i="2"/>
  <c r="M66" i="2"/>
  <c r="N66" i="2"/>
  <c r="O66" i="2"/>
  <c r="P66" i="2"/>
  <c r="Q66" i="2"/>
  <c r="R66" i="2"/>
  <c r="I59" i="2"/>
  <c r="I37" i="12"/>
  <c r="J59" i="2"/>
  <c r="K59" i="2"/>
  <c r="L59" i="2"/>
  <c r="M59" i="2"/>
  <c r="N59" i="2"/>
  <c r="O59" i="2"/>
  <c r="P59" i="2"/>
  <c r="Q59" i="2"/>
  <c r="R59" i="2"/>
  <c r="J37" i="12"/>
  <c r="K37" i="12"/>
  <c r="L37" i="12"/>
  <c r="M37" i="12"/>
  <c r="N37" i="12"/>
  <c r="O37" i="12"/>
  <c r="P37" i="12"/>
  <c r="Q37" i="12"/>
  <c r="R37" i="12"/>
  <c r="J60" i="2"/>
  <c r="K60" i="2"/>
  <c r="L60" i="2"/>
  <c r="M60" i="2"/>
  <c r="N60" i="2"/>
  <c r="O60" i="2"/>
  <c r="P60" i="2"/>
  <c r="Q60" i="2"/>
  <c r="R60" i="2"/>
  <c r="I60" i="2"/>
  <c r="I62" i="2"/>
  <c r="J62" i="2"/>
  <c r="J63" i="2"/>
  <c r="K62" i="2"/>
  <c r="K63" i="2"/>
  <c r="L62" i="2"/>
  <c r="L63" i="2"/>
  <c r="M62" i="2"/>
  <c r="M63" i="2"/>
  <c r="N62" i="2"/>
  <c r="N63" i="2"/>
  <c r="O62" i="2"/>
  <c r="O63" i="2"/>
  <c r="P62" i="2"/>
  <c r="P63" i="2"/>
  <c r="Q62" i="2"/>
  <c r="Q63" i="2"/>
  <c r="R62" i="2"/>
  <c r="R63" i="2"/>
  <c r="I63" i="2"/>
  <c r="I67" i="2"/>
  <c r="I76" i="2"/>
  <c r="I87" i="2"/>
  <c r="I96" i="2"/>
  <c r="I100" i="2"/>
  <c r="I101" i="2"/>
  <c r="I105" i="2"/>
  <c r="I106" i="2"/>
  <c r="I102" i="2"/>
  <c r="I97" i="2"/>
  <c r="I88" i="2"/>
  <c r="I77" i="2"/>
  <c r="I68" i="2"/>
  <c r="I22" i="8"/>
  <c r="P27" i="21"/>
  <c r="P28" i="21"/>
  <c r="P31" i="21"/>
  <c r="P39" i="21"/>
  <c r="Z48" i="21"/>
  <c r="AM90" i="21"/>
  <c r="AN90" i="21"/>
  <c r="AN92" i="21"/>
  <c r="AM94" i="21"/>
  <c r="AN94" i="21"/>
  <c r="AN95" i="21"/>
  <c r="AM92" i="21"/>
  <c r="AM95" i="21"/>
  <c r="AL71" i="21"/>
  <c r="I23" i="18"/>
  <c r="AL72" i="21"/>
  <c r="AL74" i="21"/>
  <c r="AL76" i="21"/>
  <c r="AL77" i="21"/>
  <c r="AL78" i="21"/>
  <c r="AL80" i="21"/>
  <c r="Z49" i="21"/>
  <c r="AG54" i="21"/>
  <c r="AG55" i="21"/>
  <c r="AG61" i="21"/>
  <c r="AG63" i="21"/>
  <c r="AL81" i="21"/>
  <c r="AL82" i="21"/>
  <c r="AL84" i="21"/>
  <c r="AL85" i="21"/>
  <c r="AG56" i="21"/>
  <c r="I25" i="8"/>
  <c r="I26" i="8"/>
  <c r="I27" i="8"/>
  <c r="E50" i="20"/>
  <c r="I31" i="8"/>
  <c r="E39" i="20"/>
  <c r="E37" i="20"/>
  <c r="E42" i="20"/>
  <c r="E43" i="20"/>
  <c r="E45" i="20"/>
  <c r="E47" i="20"/>
  <c r="E49" i="20"/>
  <c r="E51" i="20"/>
  <c r="I38" i="12"/>
  <c r="I41" i="12"/>
  <c r="I24" i="18"/>
  <c r="I23" i="8"/>
  <c r="J67" i="2"/>
  <c r="J76" i="2"/>
  <c r="J22" i="8"/>
  <c r="J23" i="8"/>
  <c r="K67" i="2"/>
  <c r="K76" i="2"/>
  <c r="K22" i="8"/>
  <c r="K23" i="8"/>
  <c r="L67" i="2"/>
  <c r="L76" i="2"/>
  <c r="L22" i="8"/>
  <c r="L23" i="8"/>
  <c r="M67" i="2"/>
  <c r="M76" i="2"/>
  <c r="M22" i="8"/>
  <c r="M23" i="8"/>
  <c r="N67" i="2"/>
  <c r="N76" i="2"/>
  <c r="N22" i="8"/>
  <c r="N23" i="8"/>
  <c r="O67" i="2"/>
  <c r="O76" i="2"/>
  <c r="O22" i="8"/>
  <c r="O23" i="8"/>
  <c r="P67" i="2"/>
  <c r="P76" i="2"/>
  <c r="P22" i="8"/>
  <c r="P23" i="8"/>
  <c r="Q67" i="2"/>
  <c r="Q76" i="2"/>
  <c r="Q22" i="8"/>
  <c r="Q23" i="8"/>
  <c r="R67" i="2"/>
  <c r="R76" i="2"/>
  <c r="R22" i="8"/>
  <c r="R23" i="8"/>
  <c r="N25" i="8"/>
  <c r="N87" i="2"/>
  <c r="N96" i="2"/>
  <c r="N100" i="2"/>
  <c r="N101" i="2"/>
  <c r="N26" i="8"/>
  <c r="N27" i="8"/>
  <c r="N31" i="8"/>
  <c r="N34" i="8"/>
  <c r="O25" i="8"/>
  <c r="O87" i="2"/>
  <c r="O96" i="2"/>
  <c r="O100" i="2"/>
  <c r="O101" i="2"/>
  <c r="O26" i="8"/>
  <c r="O27" i="8"/>
  <c r="O31" i="8"/>
  <c r="O34" i="8"/>
  <c r="P25" i="8"/>
  <c r="P87" i="2"/>
  <c r="P96" i="2"/>
  <c r="P100" i="2"/>
  <c r="P101" i="2"/>
  <c r="P26" i="8"/>
  <c r="P27" i="8"/>
  <c r="P31" i="8"/>
  <c r="P34" i="8"/>
  <c r="Q25" i="8"/>
  <c r="Q87" i="2"/>
  <c r="Q96" i="2"/>
  <c r="Q100" i="2"/>
  <c r="Q101" i="2"/>
  <c r="Q26" i="8"/>
  <c r="Q27" i="8"/>
  <c r="Q31" i="8"/>
  <c r="Q34" i="8"/>
  <c r="R25" i="8"/>
  <c r="R87" i="2"/>
  <c r="R96" i="2"/>
  <c r="R100" i="2"/>
  <c r="R101" i="2"/>
  <c r="R26" i="8"/>
  <c r="R27" i="8"/>
  <c r="R31" i="8"/>
  <c r="R34" i="8"/>
  <c r="C41" i="8"/>
  <c r="C42" i="8"/>
  <c r="I34" i="8"/>
  <c r="J25" i="8"/>
  <c r="J87" i="2"/>
  <c r="J96" i="2"/>
  <c r="J100" i="2"/>
  <c r="J101" i="2"/>
  <c r="J26" i="8"/>
  <c r="J27" i="8"/>
  <c r="J31" i="8"/>
  <c r="J34" i="8"/>
  <c r="K25" i="8"/>
  <c r="K87" i="2"/>
  <c r="K96" i="2"/>
  <c r="K100" i="2"/>
  <c r="K101" i="2"/>
  <c r="K26" i="8"/>
  <c r="K27" i="8"/>
  <c r="K31" i="8"/>
  <c r="K34" i="8"/>
  <c r="L25" i="8"/>
  <c r="L87" i="2"/>
  <c r="L96" i="2"/>
  <c r="L100" i="2"/>
  <c r="L101" i="2"/>
  <c r="L26" i="8"/>
  <c r="L27" i="8"/>
  <c r="L31" i="8"/>
  <c r="L34" i="8"/>
  <c r="M25" i="8"/>
  <c r="M87" i="2"/>
  <c r="M96" i="2"/>
  <c r="M100" i="2"/>
  <c r="M101" i="2"/>
  <c r="M26" i="8"/>
  <c r="M27" i="8"/>
  <c r="M31" i="8"/>
  <c r="M34" i="8"/>
  <c r="C37" i="8"/>
  <c r="C43" i="8"/>
  <c r="C46" i="8"/>
  <c r="C48" i="8"/>
  <c r="C49" i="8"/>
  <c r="V40" i="8"/>
  <c r="V49" i="8"/>
  <c r="W40" i="8"/>
  <c r="W49" i="8"/>
  <c r="X40" i="8"/>
  <c r="X49" i="8"/>
  <c r="Y40" i="8"/>
  <c r="Y49" i="8"/>
  <c r="Z40" i="8"/>
  <c r="Z49" i="8"/>
  <c r="V41" i="8"/>
  <c r="V50" i="8"/>
  <c r="W41" i="8"/>
  <c r="W50" i="8"/>
  <c r="X41" i="8"/>
  <c r="X50" i="8"/>
  <c r="Y41" i="8"/>
  <c r="Y50" i="8"/>
  <c r="Z41" i="8"/>
  <c r="Z50" i="8"/>
  <c r="V42" i="8"/>
  <c r="V51" i="8"/>
  <c r="W42" i="8"/>
  <c r="W51" i="8"/>
  <c r="X42" i="8"/>
  <c r="X51" i="8"/>
  <c r="Y42" i="8"/>
  <c r="Y51" i="8"/>
  <c r="Z42" i="8"/>
  <c r="Z51" i="8"/>
  <c r="V43" i="8"/>
  <c r="V52" i="8"/>
  <c r="W43" i="8"/>
  <c r="W52" i="8"/>
  <c r="X43" i="8"/>
  <c r="X52" i="8"/>
  <c r="Y43" i="8"/>
  <c r="Y52" i="8"/>
  <c r="Z43" i="8"/>
  <c r="Z52" i="8"/>
  <c r="V44" i="8"/>
  <c r="V53" i="8"/>
  <c r="W44" i="8"/>
  <c r="W53" i="8"/>
  <c r="X44" i="8"/>
  <c r="X53" i="8"/>
  <c r="Y44" i="8"/>
  <c r="Y53" i="8"/>
  <c r="Z44" i="8"/>
  <c r="Z53" i="8"/>
  <c r="C55" i="8"/>
  <c r="C56" i="8"/>
  <c r="C57" i="8"/>
  <c r="C60" i="8"/>
  <c r="C62" i="8"/>
  <c r="C63" i="8"/>
  <c r="V60" i="8"/>
  <c r="V69" i="8"/>
  <c r="W60" i="8"/>
  <c r="W69" i="8"/>
  <c r="X60" i="8"/>
  <c r="X69" i="8"/>
  <c r="Y60" i="8"/>
  <c r="Y69" i="8"/>
  <c r="Z60" i="8"/>
  <c r="Z69" i="8"/>
  <c r="V61" i="8"/>
  <c r="V70" i="8"/>
  <c r="W61" i="8"/>
  <c r="W70" i="8"/>
  <c r="X61" i="8"/>
  <c r="X70" i="8"/>
  <c r="Y61" i="8"/>
  <c r="Y70" i="8"/>
  <c r="Z61" i="8"/>
  <c r="Z70" i="8"/>
  <c r="V62" i="8"/>
  <c r="V71" i="8"/>
  <c r="W62" i="8"/>
  <c r="W71" i="8"/>
  <c r="X62" i="8"/>
  <c r="X71" i="8"/>
  <c r="Y62" i="8"/>
  <c r="Y71" i="8"/>
  <c r="Z62" i="8"/>
  <c r="Z71" i="8"/>
  <c r="V63" i="8"/>
  <c r="V72" i="8"/>
  <c r="W63" i="8"/>
  <c r="W72" i="8"/>
  <c r="X63" i="8"/>
  <c r="X72" i="8"/>
  <c r="Y63" i="8"/>
  <c r="Y72" i="8"/>
  <c r="Z63" i="8"/>
  <c r="Z72" i="8"/>
  <c r="V64" i="8"/>
  <c r="V73" i="8"/>
  <c r="W64" i="8"/>
  <c r="W73" i="8"/>
  <c r="X64" i="8"/>
  <c r="X73" i="8"/>
  <c r="Y64" i="8"/>
  <c r="Y73" i="8"/>
  <c r="Z64" i="8"/>
  <c r="Z73" i="8"/>
  <c r="J23" i="18"/>
  <c r="J24" i="18"/>
  <c r="K23" i="18"/>
  <c r="K24" i="18"/>
  <c r="L23" i="18"/>
  <c r="L24" i="18"/>
  <c r="M23" i="18"/>
  <c r="M24" i="18"/>
  <c r="N23" i="18"/>
  <c r="N24" i="18"/>
  <c r="O23" i="18"/>
  <c r="O24" i="18"/>
  <c r="P23" i="18"/>
  <c r="P24" i="18"/>
  <c r="Q23" i="18"/>
  <c r="Q24" i="18"/>
  <c r="R23" i="18"/>
  <c r="R24" i="18"/>
  <c r="N26" i="18"/>
  <c r="N27" i="18"/>
  <c r="N28" i="18"/>
  <c r="N32" i="18"/>
  <c r="N35" i="18"/>
  <c r="O26" i="18"/>
  <c r="O27" i="18"/>
  <c r="O28" i="18"/>
  <c r="O32" i="18"/>
  <c r="O35" i="18"/>
  <c r="P26" i="18"/>
  <c r="P27" i="18"/>
  <c r="P28" i="18"/>
  <c r="P32" i="18"/>
  <c r="P35" i="18"/>
  <c r="Q26" i="18"/>
  <c r="Q27" i="18"/>
  <c r="Q28" i="18"/>
  <c r="Q32" i="18"/>
  <c r="Q35" i="18"/>
  <c r="R26" i="18"/>
  <c r="R27" i="18"/>
  <c r="R28" i="18"/>
  <c r="R32" i="18"/>
  <c r="R35" i="18"/>
  <c r="C42" i="18"/>
  <c r="C43" i="18"/>
  <c r="I26" i="18"/>
  <c r="I27" i="18"/>
  <c r="I28" i="18"/>
  <c r="I32" i="18"/>
  <c r="I35" i="18"/>
  <c r="J26" i="18"/>
  <c r="J27" i="18"/>
  <c r="J28" i="18"/>
  <c r="J32" i="18"/>
  <c r="J35" i="18"/>
  <c r="K26" i="18"/>
  <c r="K27" i="18"/>
  <c r="K28" i="18"/>
  <c r="K32" i="18"/>
  <c r="K35" i="18"/>
  <c r="L26" i="18"/>
  <c r="L27" i="18"/>
  <c r="L28" i="18"/>
  <c r="L32" i="18"/>
  <c r="L35" i="18"/>
  <c r="M26" i="18"/>
  <c r="M27" i="18"/>
  <c r="M28" i="18"/>
  <c r="M32" i="18"/>
  <c r="M35" i="18"/>
  <c r="C38" i="18"/>
  <c r="C44" i="18"/>
  <c r="C47" i="18"/>
  <c r="C49" i="18"/>
  <c r="C50" i="18"/>
  <c r="U42" i="18"/>
  <c r="U51" i="18"/>
  <c r="V42" i="18"/>
  <c r="V51" i="18"/>
  <c r="W42" i="18"/>
  <c r="W51" i="18"/>
  <c r="X42" i="18"/>
  <c r="X51" i="18"/>
  <c r="Y42" i="18"/>
  <c r="Y51" i="18"/>
  <c r="U43" i="18"/>
  <c r="U52" i="18"/>
  <c r="V43" i="18"/>
  <c r="V52" i="18"/>
  <c r="W43" i="18"/>
  <c r="W52" i="18"/>
  <c r="X43" i="18"/>
  <c r="X52" i="18"/>
  <c r="Y43" i="18"/>
  <c r="Y52" i="18"/>
  <c r="U44" i="18"/>
  <c r="U53" i="18"/>
  <c r="V44" i="18"/>
  <c r="V53" i="18"/>
  <c r="W44" i="18"/>
  <c r="W53" i="18"/>
  <c r="X44" i="18"/>
  <c r="X53" i="18"/>
  <c r="Y44" i="18"/>
  <c r="Y53" i="18"/>
  <c r="U45" i="18"/>
  <c r="U54" i="18"/>
  <c r="V45" i="18"/>
  <c r="V54" i="18"/>
  <c r="W45" i="18"/>
  <c r="W54" i="18"/>
  <c r="X45" i="18"/>
  <c r="X54" i="18"/>
  <c r="Y45" i="18"/>
  <c r="Y54" i="18"/>
  <c r="U46" i="18"/>
  <c r="U55" i="18"/>
  <c r="V46" i="18"/>
  <c r="V55" i="18"/>
  <c r="W46" i="18"/>
  <c r="W55" i="18"/>
  <c r="X46" i="18"/>
  <c r="X55" i="18"/>
  <c r="Y46" i="18"/>
  <c r="Y55" i="18"/>
  <c r="C56" i="18"/>
  <c r="C57" i="18"/>
  <c r="C58" i="18"/>
  <c r="C61" i="18"/>
  <c r="C63" i="18"/>
  <c r="C64" i="18"/>
  <c r="U62" i="18"/>
  <c r="U71" i="18"/>
  <c r="V62" i="18"/>
  <c r="V71" i="18"/>
  <c r="W62" i="18"/>
  <c r="W71" i="18"/>
  <c r="X62" i="18"/>
  <c r="X71" i="18"/>
  <c r="Y62" i="18"/>
  <c r="Y71" i="18"/>
  <c r="U63" i="18"/>
  <c r="U72" i="18"/>
  <c r="V63" i="18"/>
  <c r="V72" i="18"/>
  <c r="W63" i="18"/>
  <c r="W72" i="18"/>
  <c r="X63" i="18"/>
  <c r="X72" i="18"/>
  <c r="Y63" i="18"/>
  <c r="Y72" i="18"/>
  <c r="U64" i="18"/>
  <c r="U73" i="18"/>
  <c r="V64" i="18"/>
  <c r="V73" i="18"/>
  <c r="W64" i="18"/>
  <c r="W73" i="18"/>
  <c r="X64" i="18"/>
  <c r="X73" i="18"/>
  <c r="Y64" i="18"/>
  <c r="Y73" i="18"/>
  <c r="U65" i="18"/>
  <c r="U74" i="18"/>
  <c r="V65" i="18"/>
  <c r="V74" i="18"/>
  <c r="W65" i="18"/>
  <c r="W74" i="18"/>
  <c r="X65" i="18"/>
  <c r="X74" i="18"/>
  <c r="Y65" i="18"/>
  <c r="Y74" i="18"/>
  <c r="U66" i="18"/>
  <c r="U75" i="18"/>
  <c r="V66" i="18"/>
  <c r="V75" i="18"/>
  <c r="W66" i="18"/>
  <c r="W75" i="18"/>
  <c r="X66" i="18"/>
  <c r="X75" i="18"/>
  <c r="Y66" i="18"/>
  <c r="Y75" i="18"/>
  <c r="J38" i="12"/>
  <c r="J41" i="12"/>
  <c r="K38" i="12"/>
  <c r="K41" i="12"/>
  <c r="L38" i="12"/>
  <c r="L41" i="12"/>
  <c r="M38" i="12"/>
  <c r="M41" i="12"/>
  <c r="N38" i="12"/>
  <c r="N41" i="12"/>
  <c r="O38" i="12"/>
  <c r="O41" i="12"/>
  <c r="P38" i="12"/>
  <c r="P41" i="12"/>
  <c r="Q38" i="12"/>
  <c r="Q41" i="12"/>
  <c r="R38" i="12"/>
  <c r="R41" i="12"/>
  <c r="F50" i="20"/>
  <c r="F39" i="20"/>
  <c r="E46" i="20"/>
  <c r="F41" i="20"/>
  <c r="F37" i="20"/>
  <c r="F42" i="20"/>
  <c r="F43" i="20"/>
  <c r="F45" i="20"/>
  <c r="J105" i="2"/>
  <c r="F47" i="20"/>
  <c r="F49" i="20"/>
  <c r="F51" i="20"/>
  <c r="G50" i="20"/>
  <c r="G39" i="20"/>
  <c r="F46" i="20"/>
  <c r="G41" i="20"/>
  <c r="G37" i="20"/>
  <c r="G42" i="20"/>
  <c r="G43" i="20"/>
  <c r="G45" i="20"/>
  <c r="K105" i="2"/>
  <c r="G47" i="20"/>
  <c r="G49" i="20"/>
  <c r="G51" i="20"/>
  <c r="H50" i="20"/>
  <c r="H39" i="20"/>
  <c r="G46" i="20"/>
  <c r="H41" i="20"/>
  <c r="H37" i="20"/>
  <c r="H42" i="20"/>
  <c r="H43" i="20"/>
  <c r="H45" i="20"/>
  <c r="L105" i="2"/>
  <c r="H47" i="20"/>
  <c r="H49" i="20"/>
  <c r="H51" i="20"/>
  <c r="I50" i="20"/>
  <c r="I39" i="20"/>
  <c r="H46" i="20"/>
  <c r="I41" i="20"/>
  <c r="I37" i="20"/>
  <c r="I42" i="20"/>
  <c r="I43" i="20"/>
  <c r="I45" i="20"/>
  <c r="M105" i="2"/>
  <c r="I47" i="20"/>
  <c r="I49" i="20"/>
  <c r="I51" i="20"/>
  <c r="J50" i="20"/>
  <c r="J39" i="20"/>
  <c r="I46" i="20"/>
  <c r="J41" i="20"/>
  <c r="J37" i="20"/>
  <c r="J42" i="20"/>
  <c r="J43" i="20"/>
  <c r="J45" i="20"/>
  <c r="N105" i="2"/>
  <c r="J47" i="20"/>
  <c r="J49" i="20"/>
  <c r="J51" i="20"/>
  <c r="K50" i="20"/>
  <c r="K39" i="20"/>
  <c r="J46" i="20"/>
  <c r="K41" i="20"/>
  <c r="K37" i="20"/>
  <c r="K42" i="20"/>
  <c r="K43" i="20"/>
  <c r="K45" i="20"/>
  <c r="O105" i="2"/>
  <c r="K47" i="20"/>
  <c r="K49" i="20"/>
  <c r="K51" i="20"/>
  <c r="L50" i="20"/>
  <c r="L39" i="20"/>
  <c r="K46" i="20"/>
  <c r="L41" i="20"/>
  <c r="L37" i="20"/>
  <c r="L42" i="20"/>
  <c r="L43" i="20"/>
  <c r="L45" i="20"/>
  <c r="P105" i="2"/>
  <c r="L47" i="20"/>
  <c r="L49" i="20"/>
  <c r="L51" i="20"/>
  <c r="M50" i="20"/>
  <c r="M39" i="20"/>
  <c r="L46" i="20"/>
  <c r="M41" i="20"/>
  <c r="M37" i="20"/>
  <c r="M42" i="20"/>
  <c r="M43" i="20"/>
  <c r="M45" i="20"/>
  <c r="Q105" i="2"/>
  <c r="M47" i="20"/>
  <c r="M49" i="20"/>
  <c r="M51" i="20"/>
  <c r="N50" i="20"/>
  <c r="N39" i="20"/>
  <c r="M46" i="20"/>
  <c r="N41" i="20"/>
  <c r="N37" i="20"/>
  <c r="N42" i="20"/>
  <c r="N43" i="20"/>
  <c r="N45" i="20"/>
  <c r="R105" i="2"/>
  <c r="N47" i="20"/>
  <c r="N49" i="20"/>
  <c r="N51" i="20"/>
  <c r="G53" i="20"/>
  <c r="G54" i="20"/>
  <c r="G55" i="20"/>
  <c r="G56" i="20"/>
  <c r="F53" i="20"/>
  <c r="F54" i="20"/>
  <c r="F55" i="20"/>
  <c r="F56" i="20"/>
  <c r="G59" i="20"/>
  <c r="H53" i="20"/>
  <c r="H54" i="20"/>
  <c r="H55" i="20"/>
  <c r="H56" i="20"/>
  <c r="H59" i="20"/>
  <c r="I53" i="20"/>
  <c r="I54" i="20"/>
  <c r="I55" i="20"/>
  <c r="I56" i="20"/>
  <c r="I59" i="20"/>
  <c r="J53" i="20"/>
  <c r="J54" i="20"/>
  <c r="J55" i="20"/>
  <c r="J56" i="20"/>
  <c r="J59" i="20"/>
  <c r="K53" i="20"/>
  <c r="K54" i="20"/>
  <c r="K55" i="20"/>
  <c r="K56" i="20"/>
  <c r="K59" i="20"/>
  <c r="L53" i="20"/>
  <c r="L54" i="20"/>
  <c r="L55" i="20"/>
  <c r="L56" i="20"/>
  <c r="L59" i="20"/>
  <c r="M53" i="20"/>
  <c r="M54" i="20"/>
  <c r="M55" i="20"/>
  <c r="M56" i="20"/>
  <c r="M59" i="20"/>
  <c r="N53" i="20"/>
  <c r="N54" i="20"/>
  <c r="N46" i="20"/>
  <c r="N55" i="20"/>
  <c r="N56" i="20"/>
  <c r="N59" i="20"/>
  <c r="E53" i="20"/>
  <c r="E54" i="20"/>
  <c r="E55" i="20"/>
  <c r="E56" i="20"/>
  <c r="N61" i="20"/>
  <c r="E59" i="20"/>
  <c r="F59" i="20"/>
  <c r="N62" i="20"/>
  <c r="AM71" i="21"/>
  <c r="AM72" i="21"/>
  <c r="AM74" i="21"/>
  <c r="AM76" i="21"/>
  <c r="AM77" i="21"/>
  <c r="AM78" i="21"/>
  <c r="AM80" i="21"/>
  <c r="AM81" i="21"/>
  <c r="AM82" i="21"/>
  <c r="AM84" i="21"/>
  <c r="AM85" i="21"/>
  <c r="AN71" i="21"/>
  <c r="AN72" i="21"/>
  <c r="AN74" i="21"/>
  <c r="AN76" i="21"/>
  <c r="AN77" i="21"/>
  <c r="AN78" i="21"/>
  <c r="AN80" i="21"/>
  <c r="AN81" i="21"/>
  <c r="AN82" i="21"/>
  <c r="AN84" i="21"/>
  <c r="AN85" i="21"/>
  <c r="AL100" i="21"/>
  <c r="AK100" i="21"/>
  <c r="AJ100" i="21"/>
  <c r="AJ101" i="21"/>
  <c r="AK101" i="21"/>
  <c r="AL101" i="21"/>
  <c r="AM100" i="21"/>
  <c r="AM101" i="21"/>
  <c r="AN100" i="21"/>
  <c r="AN101" i="21"/>
  <c r="AJ102" i="21"/>
  <c r="AK102" i="21"/>
  <c r="AL102" i="21"/>
  <c r="AM102" i="21"/>
  <c r="AN102" i="21"/>
  <c r="AJ103" i="21"/>
  <c r="AK103" i="21"/>
  <c r="AL103" i="21"/>
  <c r="AM103" i="21"/>
  <c r="AN103" i="21"/>
  <c r="AJ104" i="21"/>
  <c r="AK104" i="21"/>
  <c r="AL104" i="21"/>
  <c r="AM104" i="21"/>
  <c r="AN104" i="21"/>
  <c r="AJ105" i="21"/>
  <c r="AK105" i="21"/>
  <c r="AL105" i="21"/>
  <c r="AM105" i="21"/>
  <c r="AN105" i="21"/>
  <c r="J68" i="2"/>
  <c r="K68" i="2"/>
  <c r="L68" i="2"/>
  <c r="M68" i="2"/>
  <c r="N68" i="2"/>
  <c r="O68" i="2"/>
  <c r="P68" i="2"/>
  <c r="Q68" i="2"/>
  <c r="R68" i="2"/>
  <c r="J77" i="2"/>
  <c r="K77" i="2"/>
  <c r="L77" i="2"/>
  <c r="M77" i="2"/>
  <c r="N77" i="2"/>
  <c r="O77" i="2"/>
  <c r="P77" i="2"/>
  <c r="Q77" i="2"/>
  <c r="R77" i="2"/>
  <c r="J88" i="2"/>
  <c r="K88" i="2"/>
  <c r="L88" i="2"/>
  <c r="M88" i="2"/>
  <c r="N88" i="2"/>
  <c r="O88" i="2"/>
  <c r="P88" i="2"/>
  <c r="Q88" i="2"/>
  <c r="R88" i="2"/>
  <c r="J97" i="2"/>
  <c r="K97" i="2"/>
  <c r="L97" i="2"/>
  <c r="M97" i="2"/>
  <c r="N97" i="2"/>
  <c r="O97" i="2"/>
  <c r="P97" i="2"/>
  <c r="Q97" i="2"/>
  <c r="R97" i="2"/>
  <c r="J102" i="2"/>
  <c r="K102" i="2"/>
  <c r="L102" i="2"/>
  <c r="M102" i="2"/>
  <c r="N102" i="2"/>
  <c r="O102" i="2"/>
  <c r="P102" i="2"/>
  <c r="Q102" i="2"/>
  <c r="R102" i="2"/>
  <c r="J106" i="2"/>
  <c r="K106" i="2"/>
  <c r="L106" i="2"/>
  <c r="M106" i="2"/>
  <c r="N106" i="2"/>
  <c r="O106" i="2"/>
  <c r="P106" i="2"/>
  <c r="Q106" i="2"/>
  <c r="R10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3" authorId="0" shapeId="0" xr:uid="{95D7DF37-CBCF-4B09-B119-D32B11007317}">
      <text>
        <r>
          <rPr>
            <b/>
            <sz val="9"/>
            <color indexed="81"/>
            <rFont val="Tahoma"/>
            <family val="2"/>
          </rPr>
          <t>Author:</t>
        </r>
        <r>
          <rPr>
            <sz val="9"/>
            <color indexed="81"/>
            <rFont val="Tahoma"/>
            <family val="2"/>
          </rPr>
          <t xml:space="preserve">
AVG Q2 &amp; Q3 2023</t>
        </r>
      </text>
    </comment>
    <comment ref="F14" authorId="0" shapeId="0" xr:uid="{85238E46-5252-4E79-9039-7575BBD75B74}">
      <text>
        <r>
          <rPr>
            <b/>
            <sz val="9"/>
            <color indexed="81"/>
            <rFont val="Tahoma"/>
            <family val="2"/>
          </rPr>
          <t>Author:</t>
        </r>
        <r>
          <rPr>
            <sz val="9"/>
            <color indexed="81"/>
            <rFont val="Tahoma"/>
            <family val="2"/>
          </rPr>
          <t xml:space="preserve">
Q4 2022</t>
        </r>
      </text>
    </comment>
    <comment ref="F15" authorId="0" shapeId="0" xr:uid="{F36E9EF0-F8B1-42F4-B1C8-08D992496FAB}">
      <text>
        <r>
          <rPr>
            <b/>
            <sz val="9"/>
            <color indexed="81"/>
            <rFont val="Tahoma"/>
            <family val="2"/>
          </rPr>
          <t>Author:</t>
        </r>
        <r>
          <rPr>
            <sz val="9"/>
            <color indexed="81"/>
            <rFont val="Tahoma"/>
            <family val="2"/>
          </rPr>
          <t xml:space="preserve">
Q1 2023</t>
        </r>
      </text>
    </comment>
    <comment ref="F21" authorId="0" shapeId="0" xr:uid="{BF7E0729-F252-4786-901A-99A45D88C16A}">
      <text>
        <r>
          <rPr>
            <b/>
            <sz val="9"/>
            <color indexed="81"/>
            <rFont val="Tahoma"/>
            <family val="2"/>
          </rPr>
          <t>Author:</t>
        </r>
        <r>
          <rPr>
            <sz val="9"/>
            <color indexed="81"/>
            <rFont val="Tahoma"/>
            <family val="2"/>
          </rPr>
          <t xml:space="preserve">
AVG Q2 &amp; Q3 2023</t>
        </r>
      </text>
    </comment>
    <comment ref="F22" authorId="0" shapeId="0" xr:uid="{A0354BAD-87D5-4129-A413-CAF8BD867CC0}">
      <text>
        <r>
          <rPr>
            <b/>
            <sz val="9"/>
            <color indexed="81"/>
            <rFont val="Tahoma"/>
            <family val="2"/>
          </rPr>
          <t>Author:</t>
        </r>
        <r>
          <rPr>
            <sz val="9"/>
            <color indexed="81"/>
            <rFont val="Tahoma"/>
            <family val="2"/>
          </rPr>
          <t xml:space="preserve">
Q4 2022</t>
        </r>
      </text>
    </comment>
    <comment ref="F23" authorId="0" shapeId="0" xr:uid="{EDFCDBED-83AC-4A30-9C6B-4FB5B23915B3}">
      <text>
        <r>
          <rPr>
            <b/>
            <sz val="9"/>
            <color indexed="81"/>
            <rFont val="Tahoma"/>
            <family val="2"/>
          </rPr>
          <t>Author:</t>
        </r>
        <r>
          <rPr>
            <sz val="9"/>
            <color indexed="81"/>
            <rFont val="Tahoma"/>
            <family val="2"/>
          </rPr>
          <t xml:space="preserve">
Q1 2023</t>
        </r>
      </text>
    </comment>
    <comment ref="F29" authorId="0" shapeId="0" xr:uid="{AACAB804-2FAF-4DEE-BCB0-1C0070D1D9A8}">
      <text>
        <r>
          <rPr>
            <b/>
            <sz val="9"/>
            <color indexed="81"/>
            <rFont val="Tahoma"/>
            <family val="2"/>
          </rPr>
          <t>Author:</t>
        </r>
        <r>
          <rPr>
            <sz val="9"/>
            <color indexed="81"/>
            <rFont val="Tahoma"/>
            <family val="2"/>
          </rPr>
          <t xml:space="preserve">
AVG Q2 &amp; Q3 2023</t>
        </r>
      </text>
    </comment>
    <comment ref="F30" authorId="0" shapeId="0" xr:uid="{CA681658-0F54-4062-9936-D33D2B89B305}">
      <text>
        <r>
          <rPr>
            <b/>
            <sz val="9"/>
            <color indexed="81"/>
            <rFont val="Tahoma"/>
            <family val="2"/>
          </rPr>
          <t>Author:</t>
        </r>
        <r>
          <rPr>
            <sz val="9"/>
            <color indexed="81"/>
            <rFont val="Tahoma"/>
            <family val="2"/>
          </rPr>
          <t xml:space="preserve">
Q4 2022</t>
        </r>
      </text>
    </comment>
    <comment ref="F31" authorId="0" shapeId="0" xr:uid="{797E9575-09FD-47DB-951E-ACD9CC0F6A2D}">
      <text>
        <r>
          <rPr>
            <b/>
            <sz val="9"/>
            <color indexed="81"/>
            <rFont val="Tahoma"/>
            <family val="2"/>
          </rPr>
          <t>Author:</t>
        </r>
        <r>
          <rPr>
            <sz val="9"/>
            <color indexed="81"/>
            <rFont val="Tahoma"/>
            <family val="2"/>
          </rPr>
          <t xml:space="preserve">
Q1 2023</t>
        </r>
      </text>
    </comment>
    <comment ref="F37" authorId="0" shapeId="0" xr:uid="{29BD233A-3DA3-47CF-8DEB-61C337310066}">
      <text>
        <r>
          <rPr>
            <b/>
            <sz val="9"/>
            <color indexed="81"/>
            <rFont val="Tahoma"/>
            <family val="2"/>
          </rPr>
          <t>Author:</t>
        </r>
        <r>
          <rPr>
            <sz val="9"/>
            <color indexed="81"/>
            <rFont val="Tahoma"/>
            <family val="2"/>
          </rPr>
          <t xml:space="preserve">
AVG Q2 &amp; Q3 2023</t>
        </r>
      </text>
    </comment>
    <comment ref="F38" authorId="0" shapeId="0" xr:uid="{A870F937-88FD-44A4-8977-DE5D80BF6159}">
      <text>
        <r>
          <rPr>
            <b/>
            <sz val="9"/>
            <color indexed="81"/>
            <rFont val="Tahoma"/>
            <family val="2"/>
          </rPr>
          <t>Author:</t>
        </r>
        <r>
          <rPr>
            <sz val="9"/>
            <color indexed="81"/>
            <rFont val="Tahoma"/>
            <family val="2"/>
          </rPr>
          <t xml:space="preserve">
Q4 2022</t>
        </r>
      </text>
    </comment>
    <comment ref="F39" authorId="0" shapeId="0" xr:uid="{2837D226-60EC-43E5-B7DC-706241615BE3}">
      <text>
        <r>
          <rPr>
            <b/>
            <sz val="9"/>
            <color indexed="81"/>
            <rFont val="Tahoma"/>
            <family val="2"/>
          </rPr>
          <t>Author:</t>
        </r>
        <r>
          <rPr>
            <sz val="9"/>
            <color indexed="81"/>
            <rFont val="Tahoma"/>
            <family val="2"/>
          </rPr>
          <t xml:space="preserve">
Q1 2023</t>
        </r>
      </text>
    </comment>
    <comment ref="F45" authorId="0" shapeId="0" xr:uid="{FF3BC3F3-D654-4EA1-9A4E-488BA0D17464}">
      <text>
        <r>
          <rPr>
            <b/>
            <sz val="9"/>
            <color indexed="81"/>
            <rFont val="Tahoma"/>
            <family val="2"/>
          </rPr>
          <t>Author:</t>
        </r>
        <r>
          <rPr>
            <sz val="9"/>
            <color indexed="81"/>
            <rFont val="Tahoma"/>
            <family val="2"/>
          </rPr>
          <t xml:space="preserve">
AVG Q2 &amp; Q3 2023</t>
        </r>
      </text>
    </comment>
    <comment ref="F46" authorId="0" shapeId="0" xr:uid="{86E3B3C0-7B57-40DF-B0FD-765850670682}">
      <text>
        <r>
          <rPr>
            <b/>
            <sz val="9"/>
            <color indexed="81"/>
            <rFont val="Tahoma"/>
            <family val="2"/>
          </rPr>
          <t>Author:</t>
        </r>
        <r>
          <rPr>
            <sz val="9"/>
            <color indexed="81"/>
            <rFont val="Tahoma"/>
            <family val="2"/>
          </rPr>
          <t xml:space="preserve">
Q4 2022</t>
        </r>
      </text>
    </comment>
    <comment ref="F47" authorId="0" shapeId="0" xr:uid="{7C0E9743-DF9C-403E-84D3-90B15BBEAF4F}">
      <text>
        <r>
          <rPr>
            <b/>
            <sz val="9"/>
            <color indexed="81"/>
            <rFont val="Tahoma"/>
            <family val="2"/>
          </rPr>
          <t>Author:</t>
        </r>
        <r>
          <rPr>
            <sz val="9"/>
            <color indexed="81"/>
            <rFont val="Tahoma"/>
            <family val="2"/>
          </rPr>
          <t xml:space="preserve">
Q1 2023</t>
        </r>
      </text>
    </comment>
    <comment ref="F53" authorId="0" shapeId="0" xr:uid="{F6056CC8-84F9-41CD-BFB8-507AF017D3D4}">
      <text>
        <r>
          <rPr>
            <b/>
            <sz val="9"/>
            <color indexed="81"/>
            <rFont val="Tahoma"/>
            <family val="2"/>
          </rPr>
          <t>Author:</t>
        </r>
        <r>
          <rPr>
            <sz val="9"/>
            <color indexed="81"/>
            <rFont val="Tahoma"/>
            <family val="2"/>
          </rPr>
          <t xml:space="preserve">
AVG Q2 &amp; Q3 2023</t>
        </r>
      </text>
    </comment>
    <comment ref="F54" authorId="0" shapeId="0" xr:uid="{074D0FE6-A812-4491-B704-A4A7DA234E50}">
      <text>
        <r>
          <rPr>
            <b/>
            <sz val="9"/>
            <color indexed="81"/>
            <rFont val="Tahoma"/>
            <family val="2"/>
          </rPr>
          <t>Author:</t>
        </r>
        <r>
          <rPr>
            <sz val="9"/>
            <color indexed="81"/>
            <rFont val="Tahoma"/>
            <family val="2"/>
          </rPr>
          <t xml:space="preserve">
Q4 2022</t>
        </r>
      </text>
    </comment>
    <comment ref="F55" authorId="0" shapeId="0" xr:uid="{62F9CE03-BB1C-44E3-82F8-88339FC7EB9D}">
      <text>
        <r>
          <rPr>
            <b/>
            <sz val="9"/>
            <color indexed="81"/>
            <rFont val="Tahoma"/>
            <family val="2"/>
          </rPr>
          <t>Author:</t>
        </r>
        <r>
          <rPr>
            <sz val="9"/>
            <color indexed="81"/>
            <rFont val="Tahoma"/>
            <family val="2"/>
          </rPr>
          <t xml:space="preserve">
Q1 2023</t>
        </r>
      </text>
    </comment>
    <comment ref="F61" authorId="0" shapeId="0" xr:uid="{436F2276-06A9-4D71-B2B4-7C4CBDB2891D}">
      <text>
        <r>
          <rPr>
            <b/>
            <sz val="9"/>
            <color indexed="81"/>
            <rFont val="Tahoma"/>
            <family val="2"/>
          </rPr>
          <t>Author:</t>
        </r>
        <r>
          <rPr>
            <sz val="9"/>
            <color indexed="81"/>
            <rFont val="Tahoma"/>
            <family val="2"/>
          </rPr>
          <t xml:space="preserve">
AVG Q2 &amp; Q3 2023</t>
        </r>
      </text>
    </comment>
    <comment ref="F62" authorId="0" shapeId="0" xr:uid="{7B872F9C-7F96-4F04-814E-80906BC99EDC}">
      <text>
        <r>
          <rPr>
            <b/>
            <sz val="9"/>
            <color indexed="81"/>
            <rFont val="Tahoma"/>
            <family val="2"/>
          </rPr>
          <t>Author:</t>
        </r>
        <r>
          <rPr>
            <sz val="9"/>
            <color indexed="81"/>
            <rFont val="Tahoma"/>
            <family val="2"/>
          </rPr>
          <t xml:space="preserve">
Q4 2022</t>
        </r>
      </text>
    </comment>
    <comment ref="F63" authorId="0" shapeId="0" xr:uid="{8032058B-2158-4DF7-B968-A2A92A952AB1}">
      <text>
        <r>
          <rPr>
            <b/>
            <sz val="9"/>
            <color indexed="81"/>
            <rFont val="Tahoma"/>
            <family val="2"/>
          </rPr>
          <t>Author:</t>
        </r>
        <r>
          <rPr>
            <sz val="9"/>
            <color indexed="81"/>
            <rFont val="Tahoma"/>
            <family val="2"/>
          </rPr>
          <t xml:space="preserve">
Q1 2023</t>
        </r>
      </text>
    </comment>
    <comment ref="F69" authorId="0" shapeId="0" xr:uid="{0D308753-2E28-46A5-8AA9-7295B65B4CFF}">
      <text>
        <r>
          <rPr>
            <b/>
            <sz val="9"/>
            <color indexed="81"/>
            <rFont val="Tahoma"/>
            <family val="2"/>
          </rPr>
          <t>Author:</t>
        </r>
        <r>
          <rPr>
            <sz val="9"/>
            <color indexed="81"/>
            <rFont val="Tahoma"/>
            <family val="2"/>
          </rPr>
          <t xml:space="preserve">
AVG Q2 &amp; Q3 2023</t>
        </r>
      </text>
    </comment>
    <comment ref="F70" authorId="0" shapeId="0" xr:uid="{A0A64098-0149-4CBC-B8BC-442FCE35CBE9}">
      <text>
        <r>
          <rPr>
            <b/>
            <sz val="9"/>
            <color indexed="81"/>
            <rFont val="Tahoma"/>
            <family val="2"/>
          </rPr>
          <t>Author:</t>
        </r>
        <r>
          <rPr>
            <sz val="9"/>
            <color indexed="81"/>
            <rFont val="Tahoma"/>
            <family val="2"/>
          </rPr>
          <t xml:space="preserve">
Q4 2022</t>
        </r>
      </text>
    </comment>
    <comment ref="F71" authorId="0" shapeId="0" xr:uid="{94288B40-2BDD-4BDB-87C6-A5F6F22D9142}">
      <text>
        <r>
          <rPr>
            <b/>
            <sz val="9"/>
            <color indexed="81"/>
            <rFont val="Tahoma"/>
            <family val="2"/>
          </rPr>
          <t>Author:</t>
        </r>
        <r>
          <rPr>
            <sz val="9"/>
            <color indexed="81"/>
            <rFont val="Tahoma"/>
            <family val="2"/>
          </rPr>
          <t xml:space="preserve">
Q1 2023</t>
        </r>
      </text>
    </comment>
    <comment ref="F77" authorId="0" shapeId="0" xr:uid="{7633B73A-8FF2-4612-B80F-D797CAF0FECC}">
      <text>
        <r>
          <rPr>
            <b/>
            <sz val="9"/>
            <color indexed="81"/>
            <rFont val="Tahoma"/>
            <family val="2"/>
          </rPr>
          <t>Author:</t>
        </r>
        <r>
          <rPr>
            <sz val="9"/>
            <color indexed="81"/>
            <rFont val="Tahoma"/>
            <family val="2"/>
          </rPr>
          <t xml:space="preserve">
AVG Q2 &amp; Q3 2023</t>
        </r>
      </text>
    </comment>
    <comment ref="F78" authorId="0" shapeId="0" xr:uid="{87FE73A9-FEF7-4772-AB81-D47B22D65AC3}">
      <text>
        <r>
          <rPr>
            <b/>
            <sz val="9"/>
            <color indexed="81"/>
            <rFont val="Tahoma"/>
            <family val="2"/>
          </rPr>
          <t>Author:</t>
        </r>
        <r>
          <rPr>
            <sz val="9"/>
            <color indexed="81"/>
            <rFont val="Tahoma"/>
            <family val="2"/>
          </rPr>
          <t xml:space="preserve">
Q4 2022</t>
        </r>
      </text>
    </comment>
    <comment ref="F79" authorId="0" shapeId="0" xr:uid="{D19C6AB1-04D4-42AB-B6EC-A9972E6289F6}">
      <text>
        <r>
          <rPr>
            <b/>
            <sz val="9"/>
            <color indexed="81"/>
            <rFont val="Tahoma"/>
            <family val="2"/>
          </rPr>
          <t>Author:</t>
        </r>
        <r>
          <rPr>
            <sz val="9"/>
            <color indexed="81"/>
            <rFont val="Tahoma"/>
            <family val="2"/>
          </rPr>
          <t xml:space="preserve">
Q1 2023</t>
        </r>
      </text>
    </comment>
    <comment ref="F85" authorId="0" shapeId="0" xr:uid="{A258C22B-9543-4594-9640-D983013EDCBD}">
      <text>
        <r>
          <rPr>
            <b/>
            <sz val="9"/>
            <color indexed="81"/>
            <rFont val="Tahoma"/>
            <family val="2"/>
          </rPr>
          <t>Author:</t>
        </r>
        <r>
          <rPr>
            <sz val="9"/>
            <color indexed="81"/>
            <rFont val="Tahoma"/>
            <family val="2"/>
          </rPr>
          <t xml:space="preserve">
AVG Q2 &amp; Q3 2023</t>
        </r>
      </text>
    </comment>
    <comment ref="F86" authorId="0" shapeId="0" xr:uid="{818416EB-CB80-4B70-8718-422FD02F02FE}">
      <text>
        <r>
          <rPr>
            <b/>
            <sz val="9"/>
            <color indexed="81"/>
            <rFont val="Tahoma"/>
            <family val="2"/>
          </rPr>
          <t>Author:</t>
        </r>
        <r>
          <rPr>
            <sz val="9"/>
            <color indexed="81"/>
            <rFont val="Tahoma"/>
            <family val="2"/>
          </rPr>
          <t xml:space="preserve">
Q4 2022</t>
        </r>
      </text>
    </comment>
    <comment ref="F87" authorId="0" shapeId="0" xr:uid="{BB013050-13E7-494A-ACFE-7F757426F393}">
      <text>
        <r>
          <rPr>
            <b/>
            <sz val="9"/>
            <color indexed="81"/>
            <rFont val="Tahoma"/>
            <family val="2"/>
          </rPr>
          <t>Author:</t>
        </r>
        <r>
          <rPr>
            <sz val="9"/>
            <color indexed="81"/>
            <rFont val="Tahoma"/>
            <family val="2"/>
          </rPr>
          <t xml:space="preserve">
Q1 2023</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<sst xmlns="http://schemas.openxmlformats.org/spreadsheetml/2006/main" count="1167" uniqueCount="407">
  <si>
    <t>All rights Reserved by Valentino Magniette-Bosseboeuf</t>
  </si>
  <si>
    <t>© 2024</t>
  </si>
  <si>
    <t>Version:</t>
  </si>
  <si>
    <t>Due Diligence from the user is still required as the model can be wrong</t>
  </si>
  <si>
    <t>Main Information</t>
  </si>
  <si>
    <t>Stock Information Override</t>
  </si>
  <si>
    <t>Use Excel stock information tool?</t>
  </si>
  <si>
    <t>Yes</t>
  </si>
  <si>
    <t>Official Name</t>
  </si>
  <si>
    <t>Share Price</t>
  </si>
  <si>
    <t>Ticker</t>
  </si>
  <si>
    <t>Outstanding Shares</t>
  </si>
  <si>
    <t>Currency</t>
  </si>
  <si>
    <t>Beta</t>
  </si>
  <si>
    <t>Valuation Date if not today</t>
  </si>
  <si>
    <t>Tax Rate</t>
  </si>
  <si>
    <t>Master Check</t>
  </si>
  <si>
    <t>Division 1 Name</t>
  </si>
  <si>
    <t>Division 6 Name</t>
  </si>
  <si>
    <t>Division 2 Name</t>
  </si>
  <si>
    <t>Division 7 Name</t>
  </si>
  <si>
    <t>DCF</t>
  </si>
  <si>
    <t>NWC Schedule</t>
  </si>
  <si>
    <t>Division 3 Name</t>
  </si>
  <si>
    <t>Division 8 Name</t>
  </si>
  <si>
    <t>Revenue Build</t>
  </si>
  <si>
    <t>D&amp;A Schedule</t>
  </si>
  <si>
    <t>Division 4 Name</t>
  </si>
  <si>
    <t>Division 9 Name</t>
  </si>
  <si>
    <t>Operating Model</t>
  </si>
  <si>
    <t>Debt Schedule</t>
  </si>
  <si>
    <t>Division 5 Name</t>
  </si>
  <si>
    <t>Division 10 Name</t>
  </si>
  <si>
    <t>Main Assumptions</t>
  </si>
  <si>
    <t>Terminal EBITDA Multiple</t>
  </si>
  <si>
    <t>Equity Premium</t>
  </si>
  <si>
    <t>Perpetual Growth Rate</t>
  </si>
  <si>
    <t>Risk Free Rate</t>
  </si>
  <si>
    <t>5-Year IR</t>
  </si>
  <si>
    <t>Debt Schedule Set Up</t>
  </si>
  <si>
    <t>(Necessary)</t>
  </si>
  <si>
    <t>Does the company have detailed debts?</t>
  </si>
  <si>
    <t>Do they have bonds?</t>
  </si>
  <si>
    <t>Bank loans?</t>
  </si>
  <si>
    <t>Main Overrides</t>
  </si>
  <si>
    <t>Revenue CAGR Overrides</t>
  </si>
  <si>
    <t>(Leave blank for no override)</t>
  </si>
  <si>
    <t>WACC Override</t>
  </si>
  <si>
    <t>WACC</t>
  </si>
  <si>
    <t>Terminal Year WACC</t>
  </si>
  <si>
    <t>Checklist</t>
  </si>
  <si>
    <t>Revenue Build Checklist</t>
  </si>
  <si>
    <t>Operating Model Checklist</t>
  </si>
  <si>
    <t>DCF Checklist</t>
  </si>
  <si>
    <t>CapEx</t>
  </si>
  <si>
    <t>Balance Sheet Checklist</t>
  </si>
  <si>
    <t>In Net Working Capital</t>
  </si>
  <si>
    <t>(AKA Currents)</t>
  </si>
  <si>
    <t>In Depreciation Schedule</t>
  </si>
  <si>
    <t>(AKA Assets)</t>
  </si>
  <si>
    <t>In Debt Schedule</t>
  </si>
  <si>
    <t>(AKA Debts)</t>
  </si>
  <si>
    <t>Main Schedule Balance</t>
  </si>
  <si>
    <t>Bonds</t>
  </si>
  <si>
    <t>Loans</t>
  </si>
  <si>
    <t>Debt Repayments</t>
  </si>
  <si>
    <t>Cash From Debts</t>
  </si>
  <si>
    <t>Dashboard</t>
  </si>
  <si>
    <t>Enable Master Override?</t>
  </si>
  <si>
    <t>No</t>
  </si>
  <si>
    <t>5-Year Average Inflation Rate</t>
  </si>
  <si>
    <t>PGG</t>
  </si>
  <si>
    <t>Outstanding shares</t>
  </si>
  <si>
    <t>EBITDA Exit Multiple</t>
  </si>
  <si>
    <t>Share price at Valuation</t>
  </si>
  <si>
    <t>Discounted Cash Flow Analysis</t>
  </si>
  <si>
    <t>All Figures in USD$ Millions, expect for per share data</t>
  </si>
  <si>
    <t>Fiscal Year Ending December 31</t>
  </si>
  <si>
    <t>Assumptions &amp; Inputs</t>
  </si>
  <si>
    <t>Valuation Date</t>
  </si>
  <si>
    <t>Latest Yearly EBITDA</t>
  </si>
  <si>
    <t>Latest Fiscal Year Date</t>
  </si>
  <si>
    <t>Terminal EBITDA multiple</t>
  </si>
  <si>
    <t>Share Price at Valuation</t>
  </si>
  <si>
    <t>Average Inflation Rate</t>
  </si>
  <si>
    <t>Actuals</t>
  </si>
  <si>
    <t>Forecast</t>
  </si>
  <si>
    <t>Discounted Cash Flow</t>
  </si>
  <si>
    <t>Revenue</t>
  </si>
  <si>
    <t>YoY Growth</t>
  </si>
  <si>
    <t>-</t>
  </si>
  <si>
    <t>Adj. EBIDTA</t>
  </si>
  <si>
    <t>%Margin</t>
  </si>
  <si>
    <t>LESS: D&amp;A - Other</t>
  </si>
  <si>
    <t>Adj. EBIT</t>
  </si>
  <si>
    <t>Income Taxes</t>
  </si>
  <si>
    <t>Adj. Unlevered Net Income</t>
  </si>
  <si>
    <t>ADD: D&amp;A -Other</t>
  </si>
  <si>
    <t>LESS: CapEx</t>
  </si>
  <si>
    <r>
      <t xml:space="preserve">LESS: </t>
    </r>
    <r>
      <rPr>
        <sz val="11"/>
        <color theme="1"/>
        <rFont val="Calibri"/>
        <family val="2"/>
        <scheme val="minor"/>
      </rPr>
      <t>Δ</t>
    </r>
    <r>
      <rPr>
        <sz val="9"/>
        <color theme="1"/>
        <rFont val="Calibri"/>
        <family val="2"/>
        <scheme val="minor"/>
      </rPr>
      <t>NWC</t>
    </r>
  </si>
  <si>
    <t>Unlevered Free Cash Flow</t>
  </si>
  <si>
    <t>Valuation Timing Factor</t>
  </si>
  <si>
    <t>Discount Rate</t>
  </si>
  <si>
    <t>PV of Unlevered Free Cash Flow</t>
  </si>
  <si>
    <t>Exit Multiple Sensitivities</t>
  </si>
  <si>
    <t>SUM of PV of Unlevered FCF</t>
  </si>
  <si>
    <t>Implied Equity Value</t>
  </si>
  <si>
    <t>Implied Share Price - Exit Multiple</t>
  </si>
  <si>
    <t>Exit Multiple</t>
  </si>
  <si>
    <t>Terminal Value</t>
  </si>
  <si>
    <t>PV of Terminal Value</t>
  </si>
  <si>
    <t>Terminal</t>
  </si>
  <si>
    <t>Implied Enterprise Value</t>
  </si>
  <si>
    <t>Multiple</t>
  </si>
  <si>
    <t>LESS: Debt</t>
  </si>
  <si>
    <t>(x)</t>
  </si>
  <si>
    <t>ADD: Cash</t>
  </si>
  <si>
    <t>F.D. Share O/S</t>
  </si>
  <si>
    <t>Implied Equity Value Change</t>
  </si>
  <si>
    <t>Implied Share Value</t>
  </si>
  <si>
    <t>Implied Upside/(Downside)</t>
  </si>
  <si>
    <t>Implied Share Price - PGG</t>
  </si>
  <si>
    <t>Sum of PV of Unlevered FCF</t>
  </si>
  <si>
    <t>Perpetual Growth Rate Sensitivities</t>
  </si>
  <si>
    <t>Perpetual</t>
  </si>
  <si>
    <t xml:space="preserve">Growth </t>
  </si>
  <si>
    <t>Rate</t>
  </si>
  <si>
    <t>Global Revenue</t>
  </si>
  <si>
    <t>Division 1</t>
  </si>
  <si>
    <t>Division 2</t>
  </si>
  <si>
    <t>Division 3</t>
  </si>
  <si>
    <t>Division 4</t>
  </si>
  <si>
    <t>Division 5</t>
  </si>
  <si>
    <t>Division 6</t>
  </si>
  <si>
    <t>Division 7</t>
  </si>
  <si>
    <t>Division 8</t>
  </si>
  <si>
    <t>Division 9</t>
  </si>
  <si>
    <t>Division 10</t>
  </si>
  <si>
    <t>COGS</t>
  </si>
  <si>
    <t>Cost of Goods Sold</t>
  </si>
  <si>
    <t>Cost of Services Sold</t>
  </si>
  <si>
    <t>Fixed Expenses</t>
  </si>
  <si>
    <t>SG&amp;A</t>
  </si>
  <si>
    <t>Other Fixed Costs</t>
  </si>
  <si>
    <t>Other Income</t>
  </si>
  <si>
    <t>Global EBITDA</t>
  </si>
  <si>
    <t>Depreciation &amp; Amortisation</t>
  </si>
  <si>
    <t>Depreciation</t>
  </si>
  <si>
    <t>Amortisation</t>
  </si>
  <si>
    <t>D&amp;A</t>
  </si>
  <si>
    <t>Global EBIT</t>
  </si>
  <si>
    <t>Interest Expenses</t>
  </si>
  <si>
    <t>Global EBT</t>
  </si>
  <si>
    <t>Taxes</t>
  </si>
  <si>
    <t>Global Net Income</t>
  </si>
  <si>
    <t>WACC Calculator</t>
  </si>
  <si>
    <t>Calc WACC</t>
  </si>
  <si>
    <t>Market Cap</t>
  </si>
  <si>
    <t>Market Value of Debt</t>
  </si>
  <si>
    <t>Cost of Capital</t>
  </si>
  <si>
    <t>Cost of Equity</t>
  </si>
  <si>
    <t>Equity Risk Premium</t>
  </si>
  <si>
    <t>Cost of Debt</t>
  </si>
  <si>
    <t>Total Debt</t>
  </si>
  <si>
    <t>Change in Net Working Capital</t>
  </si>
  <si>
    <t>Cash</t>
  </si>
  <si>
    <t>Account Receivable</t>
  </si>
  <si>
    <t>DSO Ratio</t>
  </si>
  <si>
    <t>Inventory</t>
  </si>
  <si>
    <t>DIH Ratio</t>
  </si>
  <si>
    <t>Other Current Assets</t>
  </si>
  <si>
    <t>% of Revenue</t>
  </si>
  <si>
    <t>Accounts Payable</t>
  </si>
  <si>
    <t>DPO Ratio</t>
  </si>
  <si>
    <t>Other Liabilities excluding debts</t>
  </si>
  <si>
    <t>LT Debt principal into Current Debt</t>
  </si>
  <si>
    <t>NWC</t>
  </si>
  <si>
    <t>ΔNWC</t>
  </si>
  <si>
    <t> </t>
  </si>
  <si>
    <t>Scenario Manager</t>
  </si>
  <si>
    <t>Scenario Chooser</t>
  </si>
  <si>
    <t>Case 1</t>
  </si>
  <si>
    <t>Case 2</t>
  </si>
  <si>
    <t>Case 3</t>
  </si>
  <si>
    <t>Case 4</t>
  </si>
  <si>
    <t>Case 5</t>
  </si>
  <si>
    <t>Case 6</t>
  </si>
  <si>
    <t>Case 7</t>
  </si>
  <si>
    <t>Case 8</t>
  </si>
  <si>
    <t>Case 9</t>
  </si>
  <si>
    <t>Case 10</t>
  </si>
  <si>
    <t>Base</t>
  </si>
  <si>
    <t>Bull</t>
  </si>
  <si>
    <t>Bear</t>
  </si>
  <si>
    <t>[Case 4]</t>
  </si>
  <si>
    <t>[Case 5]</t>
  </si>
  <si>
    <t>[Case 6]</t>
  </si>
  <si>
    <t>[Case 7]</t>
  </si>
  <si>
    <t>[Case 8]</t>
  </si>
  <si>
    <t>[Case 9]</t>
  </si>
  <si>
    <t>[Case 10]</t>
  </si>
  <si>
    <t>1. Company Details</t>
  </si>
  <si>
    <t>Company</t>
  </si>
  <si>
    <t>Location</t>
  </si>
  <si>
    <t>2. CAGR Change Control</t>
  </si>
  <si>
    <t>CAGR positive for division</t>
  </si>
  <si>
    <t>CAGR negative for division</t>
  </si>
  <si>
    <t>Division revenue</t>
  </si>
  <si>
    <t>Time Series</t>
  </si>
  <si>
    <t>Operating Assumptions</t>
  </si>
  <si>
    <t>Year</t>
  </si>
  <si>
    <t>Chosen Scenario</t>
  </si>
  <si>
    <t>CAGR</t>
  </si>
  <si>
    <t>Override</t>
  </si>
  <si>
    <t>In Millions of $USD</t>
  </si>
  <si>
    <t>Revenue Segments</t>
  </si>
  <si>
    <t>Total revenue</t>
  </si>
  <si>
    <t>Historicals</t>
  </si>
  <si>
    <t>As % of Revenue</t>
  </si>
  <si>
    <t>Other Fixed Expenses</t>
  </si>
  <si>
    <t>D&amp;A, PP&amp;E, CapEx Schedules</t>
  </si>
  <si>
    <t>PP&amp;E</t>
  </si>
  <si>
    <t>PP&amp;E CapEx</t>
  </si>
  <si>
    <t>&amp; of Revenue</t>
  </si>
  <si>
    <t>Useful life (Years)</t>
  </si>
  <si>
    <t>Depreciation Schedule</t>
  </si>
  <si>
    <t>Total Depreciation</t>
  </si>
  <si>
    <t>Intangible assets</t>
  </si>
  <si>
    <t>Amortisation expense</t>
  </si>
  <si>
    <t>Useful Life (Years)</t>
  </si>
  <si>
    <t>Intangible Assets CapEx</t>
  </si>
  <si>
    <t>Total CapEx</t>
  </si>
  <si>
    <t>Total D&amp;A</t>
  </si>
  <si>
    <t>Year Due</t>
  </si>
  <si>
    <t>Yearly Coupon Rate</t>
  </si>
  <si>
    <t>Estimated Coupon Rate?</t>
  </si>
  <si>
    <t>Principal</t>
  </si>
  <si>
    <t>Market Value</t>
  </si>
  <si>
    <t>Interest Rate</t>
  </si>
  <si>
    <t>Estimated Interest Rate?</t>
  </si>
  <si>
    <t>Amount left</t>
  </si>
  <si>
    <t>Bond 1</t>
  </si>
  <si>
    <t>Loan 1</t>
  </si>
  <si>
    <t>Bond 2</t>
  </si>
  <si>
    <t>Loan 2</t>
  </si>
  <si>
    <t>Main Debt Schedule</t>
  </si>
  <si>
    <t>Bond 3</t>
  </si>
  <si>
    <t>Loan 3</t>
  </si>
  <si>
    <t>Bond 4</t>
  </si>
  <si>
    <t>Loan 4</t>
  </si>
  <si>
    <t>Interest</t>
  </si>
  <si>
    <t>Bond 5</t>
  </si>
  <si>
    <t>Loan 5</t>
  </si>
  <si>
    <t>For both, add if statements to see if calculators disabled or enabled</t>
  </si>
  <si>
    <t>Bond 6</t>
  </si>
  <si>
    <t>Loan 6</t>
  </si>
  <si>
    <t>Repayments of Debts</t>
  </si>
  <si>
    <t>Bond 7</t>
  </si>
  <si>
    <t>Loan 7</t>
  </si>
  <si>
    <t>Bond 8</t>
  </si>
  <si>
    <t>Loan 8</t>
  </si>
  <si>
    <t>Cash from Debt</t>
  </si>
  <si>
    <t>Debt taken here estimated to only be bank loans (no bonds issued)</t>
  </si>
  <si>
    <t>Bond 9</t>
  </si>
  <si>
    <t>Loan 9</t>
  </si>
  <si>
    <t>Bond 10</t>
  </si>
  <si>
    <t>Loan 10</t>
  </si>
  <si>
    <t>Total Debts</t>
  </si>
  <si>
    <t>Bond 11</t>
  </si>
  <si>
    <t>Loan 11</t>
  </si>
  <si>
    <t>Bond 12</t>
  </si>
  <si>
    <t>Loan 12</t>
  </si>
  <si>
    <t>Bond 13</t>
  </si>
  <si>
    <t>Loan 13</t>
  </si>
  <si>
    <t>Bond 14</t>
  </si>
  <si>
    <t>Loan 14</t>
  </si>
  <si>
    <t>IR</t>
  </si>
  <si>
    <t>Amount</t>
  </si>
  <si>
    <t>Years</t>
  </si>
  <si>
    <t>Bond 15</t>
  </si>
  <si>
    <t>Loan 15</t>
  </si>
  <si>
    <t>Cash From Debt</t>
  </si>
  <si>
    <t>Bond 16</t>
  </si>
  <si>
    <t>Loan 16</t>
  </si>
  <si>
    <t>Bond 17</t>
  </si>
  <si>
    <t>Loan 17</t>
  </si>
  <si>
    <t>Bond 18</t>
  </si>
  <si>
    <t>Loan 18</t>
  </si>
  <si>
    <t>Bond 19</t>
  </si>
  <si>
    <t>Loan 19</t>
  </si>
  <si>
    <t>Bond 20</t>
  </si>
  <si>
    <t>Loan 20</t>
  </si>
  <si>
    <t>Total Loans</t>
  </si>
  <si>
    <t>Debt Schedule Backup</t>
  </si>
  <si>
    <t>Revenue Synergy Increase</t>
  </si>
  <si>
    <t>COGS Synergy Decrease</t>
  </si>
  <si>
    <t>FE Synergy Decrease</t>
  </si>
  <si>
    <t>LBO Assumptions</t>
  </si>
  <si>
    <t>DCF Synergy Assumptions</t>
  </si>
  <si>
    <t>Premium Paid</t>
  </si>
  <si>
    <t>Holding Period (Years)</t>
  </si>
  <si>
    <t>Advisory Fee (%EV)</t>
  </si>
  <si>
    <t>Debt Issuance Fee (%EV)</t>
  </si>
  <si>
    <t>Legal &amp; Other Fees</t>
  </si>
  <si>
    <t>Leverage Multiple</t>
  </si>
  <si>
    <t>Interest Rate Premium</t>
  </si>
  <si>
    <t>Premium Paid (%)</t>
  </si>
  <si>
    <t>Transaction Assumptions</t>
  </si>
  <si>
    <t>Current Share price</t>
  </si>
  <si>
    <t>Diluted Share Count</t>
  </si>
  <si>
    <t>Purchase Equity Value</t>
  </si>
  <si>
    <t>Purchase EV</t>
  </si>
  <si>
    <t>EBITDA Purchase Multiple</t>
  </si>
  <si>
    <t>Minimum Cash as % of EBITDA</t>
  </si>
  <si>
    <t>Interest Rate on Issued Debt</t>
  </si>
  <si>
    <t>Total Debt Used</t>
  </si>
  <si>
    <t>Exit Date</t>
  </si>
  <si>
    <t>Minimum Cash as % EBITDA</t>
  </si>
  <si>
    <t>Sources and Uses</t>
  </si>
  <si>
    <t>Uses</t>
  </si>
  <si>
    <t>Sources</t>
  </si>
  <si>
    <t>New Debt Issued</t>
  </si>
  <si>
    <t>Cash on Hand</t>
  </si>
  <si>
    <t>Investor Equity</t>
  </si>
  <si>
    <t>Existing Debt Paydown</t>
  </si>
  <si>
    <t>Transaction Fees</t>
  </si>
  <si>
    <t>Minimum Cash Balance</t>
  </si>
  <si>
    <t>Equity Purchase Price</t>
  </si>
  <si>
    <t>Total Sources</t>
  </si>
  <si>
    <t>Total Uses</t>
  </si>
  <si>
    <t>Actual</t>
  </si>
  <si>
    <t>LESS: Cash</t>
  </si>
  <si>
    <t>ADD: Debt</t>
  </si>
  <si>
    <t>ADD: Beginning Cash Balance</t>
  </si>
  <si>
    <t>LESS: Minimum Cash Balance</t>
  </si>
  <si>
    <t>CF for Debt Service</t>
  </si>
  <si>
    <t>Debt Balance</t>
  </si>
  <si>
    <t>Cash Balance</t>
  </si>
  <si>
    <t>Equity Balance</t>
  </si>
  <si>
    <t>Invested Capital</t>
  </si>
  <si>
    <t>EBI</t>
  </si>
  <si>
    <t>ROIC</t>
  </si>
  <si>
    <t>EBITDA</t>
  </si>
  <si>
    <t>Exit Enterprise Value</t>
  </si>
  <si>
    <t>Exit Equity Value</t>
  </si>
  <si>
    <t>Exit Year</t>
  </si>
  <si>
    <t>MOIC</t>
  </si>
  <si>
    <t>IRR</t>
  </si>
  <si>
    <t>Leverage Buyout Model</t>
  </si>
  <si>
    <t>LBO and Merger Optional Parts</t>
  </si>
  <si>
    <t>Discounted Cash Flow Analysis (With Synergies)</t>
  </si>
  <si>
    <t>General Information</t>
  </si>
  <si>
    <t>Transaction Costs</t>
  </si>
  <si>
    <t>Target leverage</t>
  </si>
  <si>
    <t>All-In Interest Rate</t>
  </si>
  <si>
    <t>Purchase Price</t>
  </si>
  <si>
    <t>Take-Out Price</t>
  </si>
  <si>
    <t>Shares Outstanding</t>
  </si>
  <si>
    <t>Take-Out Equity Value</t>
  </si>
  <si>
    <t>Debt</t>
  </si>
  <si>
    <t>Take-Out Enterprise Value</t>
  </si>
  <si>
    <t>Take-Out EV/LTM EBITDA</t>
  </si>
  <si>
    <t>Premium</t>
  </si>
  <si>
    <t>Combined Debt Capacity</t>
  </si>
  <si>
    <t>Pro Forma EBITDA</t>
  </si>
  <si>
    <t>Maximum Leverage</t>
  </si>
  <si>
    <t>Total Net Debt Capacity</t>
  </si>
  <si>
    <t>Combined Debt</t>
  </si>
  <si>
    <t>Maximum External Debt Capacity</t>
  </si>
  <si>
    <t>New Debt</t>
  </si>
  <si>
    <t>% of Total Cash</t>
  </si>
  <si>
    <t>Stock Exchange</t>
  </si>
  <si>
    <t>Total Share Consideration</t>
  </si>
  <si>
    <t>Total Cash Consideration</t>
  </si>
  <si>
    <t>Offer Price</t>
  </si>
  <si>
    <t>Exchange Ratio</t>
  </si>
  <si>
    <t>Actual Exchange Ratio</t>
  </si>
  <si>
    <t>Accretion/Dilution</t>
  </si>
  <si>
    <t>Acquirer Net Income</t>
  </si>
  <si>
    <t>Synergies</t>
  </si>
  <si>
    <t>Integration Costs</t>
  </si>
  <si>
    <t>Increased Interest Expense</t>
  </si>
  <si>
    <t>Incremental EBT</t>
  </si>
  <si>
    <t>Incremental Net Income</t>
  </si>
  <si>
    <t>Pro Forma Net Income</t>
  </si>
  <si>
    <t>Pro Forma Acquirer Diluted S/O</t>
  </si>
  <si>
    <t>Pro Forma EPS</t>
  </si>
  <si>
    <t>Pro Forma Balance Sheet (Excluding Synergies)</t>
  </si>
  <si>
    <t>Net Debt/EBITDA</t>
  </si>
  <si>
    <t>Acquirer</t>
  </si>
  <si>
    <t>Adj.</t>
  </si>
  <si>
    <t>Accretion/(Dilution) - $</t>
  </si>
  <si>
    <t>Accretion/(Dilution) - %</t>
  </si>
  <si>
    <t>Take</t>
  </si>
  <si>
    <t>Out</t>
  </si>
  <si>
    <t>Price</t>
  </si>
  <si>
    <t>PF</t>
  </si>
  <si>
    <t>Acquirer Name</t>
  </si>
  <si>
    <t>Merger Assumptions</t>
  </si>
  <si>
    <t>Target Leverage</t>
  </si>
  <si>
    <t>Search Company</t>
  </si>
  <si>
    <t>If TY WACC same as WACC, do not override TY WACC</t>
  </si>
  <si>
    <t>DCF, LBO and M&amp;A model</t>
  </si>
  <si>
    <t>R&amp;D</t>
  </si>
  <si>
    <t>Research and Development</t>
  </si>
  <si>
    <t>0.0.2</t>
  </si>
  <si>
    <t>(19th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</si>
</sst>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_(* \(#,##0.00\);_(* &quot;-&quot;??_);_(@_)"/>
    <numFmt numFmtId="164" formatCode="_-&quot;£&quot;* #,##0.00_-;\-&quot;£&quot;* #,##0.00_-;_-&quot;£&quot;* &quot;-&quot;??_-;_-@_-"/>
    <numFmt numFmtId="165" formatCode="&quot;FY&quot;General&quot;A&quot;"/>
    <numFmt numFmtId="166" formatCode="[$-409]dd\-mmm\-yy"/>
    <numFmt numFmtId="167" formatCode="&quot;FY&quot;General&quot;E&quot;"/>
    <numFmt numFmtId="168" formatCode="0\x"/>
    <numFmt numFmtId="169" formatCode="_-[$$-409]* #,##0.00_ ;_-[$$-409]* \-#,##0.00\ ;_-[$$-409]* &quot;-&quot;??_ ;_-@_ "/>
    <numFmt numFmtId="170" formatCode="0.00\x"/>
    <numFmt numFmtId="171" formatCode="yyyy\-mm\-dd"/>
    <numFmt numFmtId="172" formatCode="0.0%"/>
    <numFmt numFmtId="173" formatCode="#,##0.0;[Red]#,##0.0"/>
    <numFmt numFmtId="174" formatCode="_([$$-409]* #,##0.00_);_([$$-409]* \(#,##0.00\);_([$$-409]* &quot;-&quot;??_);_(@_)"/>
    <numFmt numFmtId="175" formatCode="General\ &quot;Years&quot;"/>
    <numFmt numFmtId="176" formatCode="0_);\(0\)"/>
    <numFmt numFmtId="177" formatCode="_-[$$-1009]* #,##0.00_-;\-[$$-1009]* #,##0.00_-;_-[$$-1009]* &quot;-&quot;??_-;_-@_-"/>
    <numFmt numFmtId="178" formatCode="0.000%"/>
    <numFmt numFmtId="179" formatCode="_(* #,##0.0_);_(* \(#,##0.0\);_(* &quot;-&quot;??_);_(@_)"/>
  </numFmts>
  <fonts count="3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9"/>
      <color theme="1"/>
      <name val="Calibri"/>
      <family val="2"/>
      <scheme val="minor"/>
    </font>
    <font>
      <b/>
      <sz val="10"/>
      <color rgb="FFFFFFFF"/>
      <name val="Calibri"/>
      <family val="2"/>
      <scheme val="minor"/>
    </font>
    <font>
      <sz val="10"/>
      <color theme="0"/>
      <name val="Calibri"/>
      <family val="2"/>
      <scheme val="minor"/>
    </font>
    <font>
      <sz val="10"/>
      <color theme="1"/>
      <name val="Calibri"/>
      <family val="2"/>
      <scheme val="minor"/>
    </font>
    <font>
      <b/>
      <sz val="10"/>
      <color rgb="FF000000"/>
      <name val="Calibri"/>
      <family val="2"/>
      <scheme val="minor"/>
    </font>
    <font>
      <sz val="10"/>
      <color rgb="FF0000FF"/>
      <name val="Calibri"/>
      <family val="2"/>
      <scheme val="minor"/>
    </font>
    <font>
      <sz val="10"/>
      <color rgb="FF000000"/>
      <name val="Calibri"/>
      <family val="2"/>
      <scheme val="minor"/>
    </font>
    <font>
      <b/>
      <sz val="11"/>
      <color rgb="FFFFFFFF"/>
      <name val="Calibri"/>
      <family val="2"/>
      <scheme val="minor"/>
    </font>
    <font>
      <b/>
      <sz val="11"/>
      <color rgb="FFFCF7F0"/>
      <name val="Calibri"/>
      <family val="2"/>
      <scheme val="minor"/>
    </font>
    <font>
      <sz val="11"/>
      <color rgb="FF002140"/>
      <name val="Calibri"/>
      <family val="2"/>
      <scheme val="minor"/>
    </font>
    <font>
      <sz val="11"/>
      <color rgb="FFFFFFFF"/>
      <name val="Calibri"/>
      <family val="2"/>
      <scheme val="minor"/>
    </font>
    <font>
      <b/>
      <sz val="11"/>
      <color rgb="FF002140"/>
      <name val="Calibri"/>
      <family val="2"/>
      <scheme val="minor"/>
    </font>
    <font>
      <b/>
      <sz val="11"/>
      <color rgb="FF000000"/>
      <name val="Calibri"/>
      <family val="2"/>
      <scheme val="minor"/>
    </font>
    <font>
      <b/>
      <sz val="11"/>
      <color rgb="FF0000FF"/>
      <name val="Calibri"/>
      <family val="2"/>
      <scheme val="minor"/>
    </font>
    <font>
      <sz val="9"/>
      <color indexed="81"/>
      <name val="Tahoma"/>
      <family val="2"/>
    </font>
    <font>
      <b/>
      <sz val="9"/>
      <color indexed="81"/>
      <name val="Tahoma"/>
      <family val="2"/>
    </font>
    <font>
      <b/>
      <i/>
      <sz val="11"/>
      <color theme="1"/>
      <name val="Calibri"/>
      <family val="2"/>
      <scheme val="minor"/>
    </font>
    <font>
      <b/>
      <u/>
      <sz val="11"/>
      <color theme="1"/>
      <name val="Calibri"/>
      <family val="2"/>
      <scheme val="minor"/>
    </font>
    <font>
      <sz val="11"/>
      <color rgb="FF0000FF"/>
      <name val="Calibri"/>
      <family val="2"/>
      <scheme val="minor"/>
    </font>
    <font>
      <b/>
      <sz val="11"/>
      <color rgb="FF595959"/>
      <name val="Calibri"/>
      <family val="2"/>
      <scheme val="minor"/>
    </font>
    <font>
      <sz val="11"/>
      <color rgb="FF000000"/>
      <name val="Calibri"/>
      <family val="2"/>
      <scheme val="minor"/>
    </font>
    <font>
      <i/>
      <sz val="11"/>
      <name val="Calibri"/>
      <family val="2"/>
      <scheme val="minor"/>
    </font>
    <font>
      <sz val="8"/>
      <name val="Calibri"/>
      <family val="2"/>
      <scheme val="minor"/>
    </font>
    <font>
      <b/>
      <sz val="11"/>
      <color rgb="FFFF0000"/>
      <name val="Calibri"/>
      <family val="2"/>
      <scheme val="minor"/>
    </font>
    <font>
      <u/>
      <sz val="11"/>
      <color theme="1"/>
      <name val="Calibri"/>
      <family val="2"/>
      <scheme val="minor"/>
    </font>
    <font>
      <i/>
      <sz val="11"/>
      <color rgb="FF0000FF"/>
      <name val="Calibri"/>
      <family val="2"/>
      <scheme val="minor"/>
    </font>
  </fonts>
  <fills count="21">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00324D"/>
        <bgColor rgb="FF00324D"/>
      </patternFill>
    </fill>
    <fill>
      <patternFill patternType="solid">
        <fgColor theme="3" tint="0.79998168889431442"/>
        <bgColor indexed="64"/>
      </patternFill>
    </fill>
    <fill>
      <patternFill patternType="solid">
        <fgColor theme="1"/>
        <bgColor theme="1"/>
      </patternFill>
    </fill>
    <fill>
      <patternFill patternType="solid">
        <fgColor rgb="FFD9D9D9"/>
        <bgColor rgb="FFD9D9D9"/>
      </patternFill>
    </fill>
    <fill>
      <patternFill patternType="solid">
        <fgColor rgb="FFF2F2F2"/>
        <bgColor rgb="FFF2F2F2"/>
      </patternFill>
    </fill>
    <fill>
      <patternFill patternType="solid">
        <fgColor rgb="FFDEEAF6"/>
        <bgColor rgb="FFDEEAF6"/>
      </patternFill>
    </fill>
    <fill>
      <patternFill patternType="solid">
        <fgColor rgb="FFFAFFCC"/>
        <bgColor rgb="FFFAFFCC"/>
      </patternFill>
    </fill>
    <fill>
      <patternFill patternType="solid">
        <fgColor theme="0" tint="-0.249977111117893"/>
        <bgColor indexed="64"/>
      </patternFill>
    </fill>
    <fill>
      <patternFill patternType="solid">
        <fgColor theme="1"/>
        <bgColor indexed="64"/>
      </patternFill>
    </fill>
    <fill>
      <patternFill patternType="solid">
        <fgColor rgb="FF002060"/>
        <bgColor rgb="FF1F3864"/>
      </patternFill>
    </fill>
    <fill>
      <patternFill patternType="solid">
        <fgColor theme="8" tint="-0.249977111117893"/>
        <bgColor indexed="64"/>
      </patternFill>
    </fill>
    <fill>
      <patternFill patternType="solid">
        <fgColor theme="8" tint="0.39997558519241921"/>
        <bgColor indexed="64"/>
      </patternFill>
    </fill>
    <fill>
      <patternFill patternType="solid">
        <fgColor rgb="FFFF0000"/>
        <bgColor indexed="64"/>
      </patternFill>
    </fill>
    <fill>
      <patternFill patternType="solid">
        <fgColor rgb="FFFAFFCC"/>
        <bgColor indexed="64"/>
      </patternFill>
    </fill>
  </fills>
  <borders count="36">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dotted">
        <color indexed="64"/>
      </left>
      <right style="dotted">
        <color indexed="64"/>
      </right>
      <top style="dotted">
        <color indexed="64"/>
      </top>
      <bottom style="thin">
        <color indexed="64"/>
      </bottom>
      <diagonal/>
    </border>
    <border>
      <left/>
      <right/>
      <top style="thin">
        <color rgb="FF000000"/>
      </top>
      <bottom style="thin">
        <color rgb="FF000000"/>
      </bottom>
      <diagonal/>
    </border>
    <border>
      <left/>
      <right/>
      <top/>
      <bottom style="thin">
        <color rgb="FF000000"/>
      </bottom>
      <diagonal/>
    </border>
    <border>
      <left/>
      <right style="thin">
        <color rgb="FF000000"/>
      </right>
      <top/>
      <bottom/>
      <diagonal/>
    </border>
    <border>
      <left style="hair">
        <color rgb="FF000000"/>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top style="thin">
        <color rgb="FF000000"/>
      </top>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diagonal/>
    </border>
  </borders>
  <cellStyleXfs count="4">
    <xf numFmtId="0" fontId="0" fillId="0" borderId="0"/>
    <xf numFmtId="9"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cellStyleXfs>
  <cellXfs count="331">
    <xf numFmtId="0" fontId="0" fillId="0" borderId="0" xfId="0"/>
    <xf numFmtId="0" fontId="0" fillId="2" borderId="0" xfId="0" applyFill="1"/>
    <xf numFmtId="0" fontId="2" fillId="2" borderId="0" xfId="0" applyFont="1" applyFill="1"/>
    <xf numFmtId="0" fontId="2" fillId="3" borderId="0" xfId="0" applyFont="1" applyFill="1"/>
    <xf numFmtId="0" fontId="5" fillId="3" borderId="0" xfId="0" applyFont="1" applyFill="1"/>
    <xf numFmtId="0" fontId="5" fillId="2" borderId="0" xfId="0" applyFont="1" applyFill="1"/>
    <xf numFmtId="0" fontId="3" fillId="0" borderId="2" xfId="0" applyFont="1" applyBorder="1"/>
    <xf numFmtId="165" fontId="6" fillId="0" borderId="1" xfId="0" applyNumberFormat="1" applyFont="1" applyBorder="1"/>
    <xf numFmtId="167" fontId="6" fillId="0" borderId="1" xfId="0" applyNumberFormat="1" applyFont="1" applyBorder="1"/>
    <xf numFmtId="166" fontId="3" fillId="0" borderId="0" xfId="0" applyNumberFormat="1" applyFont="1"/>
    <xf numFmtId="0" fontId="3" fillId="0" borderId="0" xfId="0" applyFont="1"/>
    <xf numFmtId="0" fontId="7" fillId="0" borderId="0" xfId="0" applyFont="1"/>
    <xf numFmtId="0" fontId="3" fillId="0" borderId="3" xfId="0" applyFont="1" applyBorder="1"/>
    <xf numFmtId="0" fontId="3" fillId="5" borderId="3" xfId="0" applyFont="1" applyFill="1" applyBorder="1"/>
    <xf numFmtId="9" fontId="7" fillId="0" borderId="0" xfId="1" applyFont="1"/>
    <xf numFmtId="10" fontId="7" fillId="0" borderId="0" xfId="0" applyNumberFormat="1" applyFont="1"/>
    <xf numFmtId="0" fontId="4" fillId="2" borderId="0" xfId="0" applyFont="1" applyFill="1"/>
    <xf numFmtId="10" fontId="0" fillId="0" borderId="0" xfId="1" applyNumberFormat="1" applyFont="1"/>
    <xf numFmtId="0" fontId="3" fillId="6" borderId="3" xfId="0" applyFont="1" applyFill="1" applyBorder="1"/>
    <xf numFmtId="0" fontId="0" fillId="0" borderId="2" xfId="0" applyBorder="1"/>
    <xf numFmtId="166" fontId="0" fillId="4" borderId="0" xfId="0" applyNumberFormat="1" applyFill="1"/>
    <xf numFmtId="0" fontId="0" fillId="4" borderId="0" xfId="0" applyFill="1"/>
    <xf numFmtId="168" fontId="0" fillId="4" borderId="0" xfId="0" applyNumberFormat="1" applyFill="1"/>
    <xf numFmtId="0" fontId="0" fillId="0" borderId="3" xfId="0" applyBorder="1"/>
    <xf numFmtId="0" fontId="0" fillId="5" borderId="3" xfId="0" applyFill="1" applyBorder="1"/>
    <xf numFmtId="2" fontId="0" fillId="0" borderId="0" xfId="0" applyNumberFormat="1"/>
    <xf numFmtId="0" fontId="9" fillId="7" borderId="0" xfId="0" applyFont="1" applyFill="1"/>
    <xf numFmtId="0" fontId="10" fillId="7" borderId="0" xfId="0" applyFont="1" applyFill="1"/>
    <xf numFmtId="0" fontId="11" fillId="0" borderId="0" xfId="0" applyFont="1"/>
    <xf numFmtId="0" fontId="12" fillId="0" borderId="0" xfId="0" applyFont="1" applyAlignment="1">
      <alignment horizontal="center"/>
    </xf>
    <xf numFmtId="0" fontId="10" fillId="0" borderId="0" xfId="0" applyFont="1"/>
    <xf numFmtId="0" fontId="11" fillId="0" borderId="5" xfId="0" applyFont="1" applyBorder="1"/>
    <xf numFmtId="0" fontId="12" fillId="0" borderId="5" xfId="0" applyFont="1" applyBorder="1" applyAlignment="1">
      <alignment horizontal="center"/>
    </xf>
    <xf numFmtId="168" fontId="0" fillId="0" borderId="0" xfId="0" applyNumberFormat="1"/>
    <xf numFmtId="2" fontId="10" fillId="0" borderId="0" xfId="0" applyNumberFormat="1" applyFont="1"/>
    <xf numFmtId="10" fontId="11" fillId="0" borderId="6" xfId="0" applyNumberFormat="1" applyFont="1" applyBorder="1" applyAlignment="1">
      <alignment horizontal="center"/>
    </xf>
    <xf numFmtId="10" fontId="13" fillId="0" borderId="6" xfId="0" applyNumberFormat="1" applyFont="1" applyBorder="1" applyAlignment="1">
      <alignment horizontal="center"/>
    </xf>
    <xf numFmtId="0" fontId="14" fillId="0" borderId="7" xfId="0" applyFont="1" applyBorder="1" applyAlignment="1">
      <alignment horizontal="center" vertical="center"/>
    </xf>
    <xf numFmtId="170" fontId="11" fillId="0" borderId="0" xfId="0" applyNumberFormat="1" applyFont="1" applyAlignment="1">
      <alignment horizontal="center"/>
    </xf>
    <xf numFmtId="0" fontId="12" fillId="0" borderId="7" xfId="0" applyFont="1" applyBorder="1" applyAlignment="1">
      <alignment horizontal="center" vertical="center"/>
    </xf>
    <xf numFmtId="170" fontId="13" fillId="0" borderId="0" xfId="0" applyNumberFormat="1" applyFont="1" applyAlignment="1">
      <alignment horizontal="center"/>
    </xf>
    <xf numFmtId="0" fontId="11" fillId="0" borderId="7" xfId="0" applyFont="1" applyBorder="1" applyAlignment="1">
      <alignment horizontal="center" vertical="center"/>
    </xf>
    <xf numFmtId="10" fontId="10" fillId="0" borderId="0" xfId="0" applyNumberFormat="1" applyFont="1"/>
    <xf numFmtId="10" fontId="0" fillId="0" borderId="0" xfId="0" applyNumberFormat="1"/>
    <xf numFmtId="10" fontId="11" fillId="0" borderId="0" xfId="0" applyNumberFormat="1" applyFont="1" applyAlignment="1">
      <alignment horizontal="center"/>
    </xf>
    <xf numFmtId="10" fontId="13" fillId="0" borderId="0" xfId="0" applyNumberFormat="1" applyFont="1" applyAlignment="1">
      <alignment horizontal="center"/>
    </xf>
    <xf numFmtId="10" fontId="11" fillId="0" borderId="0" xfId="1" applyNumberFormat="1" applyFont="1" applyFill="1" applyBorder="1"/>
    <xf numFmtId="10" fontId="11" fillId="8" borderId="0" xfId="1" applyNumberFormat="1" applyFont="1" applyFill="1" applyBorder="1"/>
    <xf numFmtId="10" fontId="0" fillId="0" borderId="4" xfId="0" applyNumberFormat="1" applyBorder="1"/>
    <xf numFmtId="0" fontId="17" fillId="0" borderId="0" xfId="0" applyFont="1"/>
    <xf numFmtId="0" fontId="17" fillId="0" borderId="0" xfId="0" applyFont="1" applyAlignment="1">
      <alignment horizontal="center"/>
    </xf>
    <xf numFmtId="0" fontId="15" fillId="9" borderId="0" xfId="0" applyFont="1" applyFill="1"/>
    <xf numFmtId="0" fontId="18" fillId="9" borderId="0" xfId="0" applyFont="1" applyFill="1"/>
    <xf numFmtId="0" fontId="18" fillId="9" borderId="0" xfId="0" applyFont="1" applyFill="1" applyAlignment="1">
      <alignment horizontal="center"/>
    </xf>
    <xf numFmtId="0" fontId="16" fillId="0" borderId="0" xfId="0" applyFont="1"/>
    <xf numFmtId="0" fontId="0" fillId="0" borderId="8" xfId="0" applyBorder="1" applyAlignment="1">
      <alignment horizontal="center"/>
    </xf>
    <xf numFmtId="0" fontId="19" fillId="0" borderId="0" xfId="0" applyFont="1"/>
    <xf numFmtId="0" fontId="20" fillId="10" borderId="9" xfId="0" applyFont="1" applyFill="1" applyBorder="1" applyAlignment="1">
      <alignment horizontal="center"/>
    </xf>
    <xf numFmtId="0" fontId="19" fillId="0" borderId="0" xfId="0" applyFont="1" applyAlignment="1">
      <alignment horizontal="center"/>
    </xf>
    <xf numFmtId="0" fontId="20" fillId="0" borderId="0" xfId="0" applyFont="1"/>
    <xf numFmtId="0" fontId="20" fillId="11" borderId="10" xfId="0" applyFont="1" applyFill="1" applyBorder="1" applyAlignment="1">
      <alignment horizontal="center" vertical="center" wrapText="1"/>
    </xf>
    <xf numFmtId="0" fontId="17" fillId="0" borderId="0" xfId="0" applyFont="1" applyAlignment="1">
      <alignment horizontal="center" vertical="center"/>
    </xf>
    <xf numFmtId="0" fontId="19" fillId="0" borderId="9" xfId="0" applyFont="1" applyBorder="1" applyAlignment="1">
      <alignment horizontal="center" vertical="center"/>
    </xf>
    <xf numFmtId="0" fontId="19" fillId="0" borderId="11" xfId="0" applyFont="1" applyBorder="1" applyAlignment="1">
      <alignment horizontal="center" vertical="center"/>
    </xf>
    <xf numFmtId="0" fontId="19" fillId="0" borderId="9" xfId="0" applyFont="1" applyBorder="1" applyAlignment="1">
      <alignment horizontal="center" vertical="center" wrapText="1"/>
    </xf>
    <xf numFmtId="0" fontId="3" fillId="12" borderId="0" xfId="0" applyFont="1" applyFill="1"/>
    <xf numFmtId="0" fontId="15" fillId="12" borderId="0" xfId="0" applyFont="1" applyFill="1"/>
    <xf numFmtId="0" fontId="18" fillId="12" borderId="0" xfId="0" applyFont="1" applyFill="1"/>
    <xf numFmtId="0" fontId="18" fillId="12" borderId="0" xfId="0" applyFont="1" applyFill="1" applyAlignment="1">
      <alignment horizontal="center"/>
    </xf>
    <xf numFmtId="0" fontId="0" fillId="0" borderId="0" xfId="0" applyAlignment="1">
      <alignment horizontal="center"/>
    </xf>
    <xf numFmtId="0" fontId="21" fillId="13" borderId="9" xfId="0" applyFont="1" applyFill="1" applyBorder="1" applyAlignment="1">
      <alignment horizontal="center"/>
    </xf>
    <xf numFmtId="0" fontId="21" fillId="13" borderId="10" xfId="0" applyFont="1" applyFill="1" applyBorder="1" applyAlignment="1">
      <alignment horizontal="center"/>
    </xf>
    <xf numFmtId="171" fontId="21" fillId="13" borderId="10" xfId="0" applyNumberFormat="1" applyFont="1" applyFill="1" applyBorder="1" applyAlignment="1">
      <alignment horizontal="center"/>
    </xf>
    <xf numFmtId="1" fontId="20" fillId="11" borderId="9" xfId="0" applyNumberFormat="1" applyFont="1" applyFill="1" applyBorder="1" applyAlignment="1">
      <alignment horizontal="center"/>
    </xf>
    <xf numFmtId="0" fontId="21" fillId="13" borderId="8" xfId="0" applyFont="1" applyFill="1" applyBorder="1" applyAlignment="1">
      <alignment horizontal="center"/>
    </xf>
    <xf numFmtId="0" fontId="5" fillId="0" borderId="0" xfId="0" applyFont="1"/>
    <xf numFmtId="0" fontId="2" fillId="9" borderId="0" xfId="0" applyFont="1" applyFill="1"/>
    <xf numFmtId="0" fontId="3" fillId="12" borderId="12" xfId="0" applyFont="1" applyFill="1" applyBorder="1"/>
    <xf numFmtId="0" fontId="7" fillId="12" borderId="13" xfId="0" applyFont="1" applyFill="1" applyBorder="1"/>
    <xf numFmtId="0" fontId="0" fillId="12" borderId="13" xfId="0" applyFill="1" applyBorder="1"/>
    <xf numFmtId="0" fontId="21" fillId="12" borderId="13" xfId="0" applyFont="1" applyFill="1" applyBorder="1"/>
    <xf numFmtId="0" fontId="3" fillId="12" borderId="13" xfId="0" applyFont="1" applyFill="1" applyBorder="1"/>
    <xf numFmtId="0" fontId="24" fillId="0" borderId="0" xfId="0" applyFont="1"/>
    <xf numFmtId="0" fontId="25" fillId="0" borderId="0" xfId="0" applyFont="1"/>
    <xf numFmtId="0" fontId="3" fillId="0" borderId="0" xfId="0" applyFont="1" applyAlignment="1">
      <alignment vertical="center"/>
    </xf>
    <xf numFmtId="0" fontId="3" fillId="0" borderId="5" xfId="0" applyFont="1" applyBorder="1" applyAlignment="1">
      <alignment vertical="center"/>
    </xf>
    <xf numFmtId="1" fontId="26" fillId="13" borderId="9" xfId="0" applyNumberFormat="1" applyFont="1" applyFill="1" applyBorder="1" applyAlignment="1">
      <alignment horizontal="center" vertical="center"/>
    </xf>
    <xf numFmtId="0" fontId="0" fillId="0" borderId="5" xfId="0" applyBorder="1" applyAlignment="1">
      <alignment vertical="center"/>
    </xf>
    <xf numFmtId="0" fontId="0" fillId="0" borderId="0" xfId="0" applyAlignment="1">
      <alignment horizontal="center" vertical="center"/>
    </xf>
    <xf numFmtId="0" fontId="28" fillId="0" borderId="0" xfId="0" applyFont="1"/>
    <xf numFmtId="10" fontId="0" fillId="0" borderId="0" xfId="0" applyNumberFormat="1" applyAlignment="1">
      <alignment horizontal="center"/>
    </xf>
    <xf numFmtId="0" fontId="5" fillId="0" borderId="0" xfId="0" applyFont="1" applyAlignment="1">
      <alignment horizontal="center"/>
    </xf>
    <xf numFmtId="172" fontId="29" fillId="0" borderId="0" xfId="1" applyNumberFormat="1" applyFont="1" applyAlignment="1">
      <alignment horizontal="center"/>
    </xf>
    <xf numFmtId="0" fontId="5" fillId="0" borderId="0" xfId="0" applyFont="1" applyAlignment="1">
      <alignment horizontal="right"/>
    </xf>
    <xf numFmtId="0" fontId="5" fillId="0" borderId="0" xfId="0" applyFont="1" applyAlignment="1">
      <alignment horizontal="center" vertical="center"/>
    </xf>
    <xf numFmtId="165" fontId="3" fillId="0" borderId="0" xfId="0" applyNumberFormat="1" applyFont="1" applyAlignment="1">
      <alignment horizontal="center"/>
    </xf>
    <xf numFmtId="166" fontId="3" fillId="0" borderId="0" xfId="0" applyNumberFormat="1" applyFont="1" applyAlignment="1">
      <alignment horizontal="center"/>
    </xf>
    <xf numFmtId="0" fontId="6" fillId="0" borderId="0" xfId="0" applyFont="1"/>
    <xf numFmtId="0" fontId="29" fillId="0" borderId="0" xfId="0" applyFont="1"/>
    <xf numFmtId="10" fontId="5" fillId="0" borderId="0" xfId="1" applyNumberFormat="1" applyFont="1"/>
    <xf numFmtId="173" fontId="5" fillId="0" borderId="0" xfId="0" applyNumberFormat="1" applyFont="1"/>
    <xf numFmtId="173" fontId="6" fillId="0" borderId="0" xfId="0" applyNumberFormat="1" applyFont="1"/>
    <xf numFmtId="167" fontId="3" fillId="0" borderId="0" xfId="0" applyNumberFormat="1" applyFont="1" applyAlignment="1">
      <alignment horizontal="center"/>
    </xf>
    <xf numFmtId="9" fontId="0" fillId="0" borderId="0" xfId="1" applyFont="1"/>
    <xf numFmtId="9" fontId="20" fillId="11" borderId="9" xfId="1" applyFont="1" applyFill="1" applyBorder="1" applyAlignment="1">
      <alignment horizontal="center"/>
    </xf>
    <xf numFmtId="0" fontId="3" fillId="14" borderId="3" xfId="0" applyFont="1" applyFill="1" applyBorder="1"/>
    <xf numFmtId="0" fontId="3" fillId="14" borderId="3" xfId="0" applyFont="1" applyFill="1" applyBorder="1" applyAlignment="1">
      <alignment horizontal="center"/>
    </xf>
    <xf numFmtId="9" fontId="7" fillId="0" borderId="0" xfId="1" applyFont="1" applyAlignment="1">
      <alignment horizontal="center"/>
    </xf>
    <xf numFmtId="9" fontId="0" fillId="4" borderId="0" xfId="1" applyFont="1" applyFill="1"/>
    <xf numFmtId="0" fontId="0" fillId="14" borderId="3" xfId="0" applyFill="1" applyBorder="1"/>
    <xf numFmtId="0" fontId="0" fillId="0" borderId="0" xfId="1" applyNumberFormat="1" applyFont="1"/>
    <xf numFmtId="9" fontId="0" fillId="0" borderId="0" xfId="0" applyNumberFormat="1"/>
    <xf numFmtId="0" fontId="0" fillId="14" borderId="0" xfId="0" applyFill="1"/>
    <xf numFmtId="0" fontId="3" fillId="14" borderId="0" xfId="0" applyFont="1" applyFill="1"/>
    <xf numFmtId="0" fontId="0" fillId="15" borderId="0" xfId="0" applyFill="1"/>
    <xf numFmtId="0" fontId="15" fillId="16" borderId="0" xfId="0" applyFont="1" applyFill="1"/>
    <xf numFmtId="0" fontId="15" fillId="16" borderId="0" xfId="0" applyFont="1" applyFill="1" applyAlignment="1">
      <alignment horizontal="center"/>
    </xf>
    <xf numFmtId="0" fontId="16" fillId="16" borderId="0" xfId="0" applyFont="1" applyFill="1"/>
    <xf numFmtId="0" fontId="16" fillId="16" borderId="0" xfId="0" applyFont="1" applyFill="1" applyAlignment="1">
      <alignment horizontal="center"/>
    </xf>
    <xf numFmtId="0" fontId="3" fillId="16" borderId="0" xfId="0" applyFont="1" applyFill="1"/>
    <xf numFmtId="10" fontId="7" fillId="0" borderId="0" xfId="1" applyNumberFormat="1" applyFont="1"/>
    <xf numFmtId="0" fontId="31" fillId="0" borderId="0" xfId="0" applyFont="1" applyAlignment="1">
      <alignment horizontal="center"/>
    </xf>
    <xf numFmtId="169" fontId="0" fillId="0" borderId="0" xfId="0" applyNumberFormat="1"/>
    <xf numFmtId="169" fontId="0" fillId="14" borderId="3" xfId="0" applyNumberFormat="1" applyFill="1" applyBorder="1"/>
    <xf numFmtId="0" fontId="7" fillId="15" borderId="0" xfId="0" applyFont="1" applyFill="1"/>
    <xf numFmtId="10" fontId="0" fillId="4" borderId="0" xfId="1" applyNumberFormat="1" applyFont="1" applyFill="1"/>
    <xf numFmtId="0" fontId="0" fillId="14" borderId="14" xfId="0" applyFill="1" applyBorder="1"/>
    <xf numFmtId="169" fontId="0" fillId="14" borderId="14" xfId="0" applyNumberFormat="1" applyFill="1" applyBorder="1"/>
    <xf numFmtId="0" fontId="0" fillId="0" borderId="0" xfId="0" applyAlignment="1">
      <alignment wrapText="1"/>
    </xf>
    <xf numFmtId="0" fontId="0" fillId="3" borderId="0" xfId="0" applyFill="1"/>
    <xf numFmtId="0" fontId="0" fillId="17" borderId="0" xfId="0" applyFill="1"/>
    <xf numFmtId="0" fontId="2" fillId="17" borderId="0" xfId="0" applyFont="1" applyFill="1"/>
    <xf numFmtId="9" fontId="0" fillId="3" borderId="0" xfId="1" applyFont="1" applyFill="1"/>
    <xf numFmtId="10" fontId="5" fillId="0" borderId="0" xfId="1" applyNumberFormat="1" applyFont="1" applyAlignment="1">
      <alignment horizontal="center"/>
    </xf>
    <xf numFmtId="0" fontId="4" fillId="17" borderId="0" xfId="0" applyFont="1" applyFill="1"/>
    <xf numFmtId="15" fontId="0" fillId="3" borderId="0" xfId="0" applyNumberFormat="1" applyFill="1"/>
    <xf numFmtId="169" fontId="0" fillId="3" borderId="0" xfId="0" applyNumberFormat="1" applyFill="1"/>
    <xf numFmtId="4" fontId="0" fillId="0" borderId="0" xfId="0" applyNumberFormat="1"/>
    <xf numFmtId="3" fontId="0" fillId="0" borderId="0" xfId="0" applyNumberFormat="1"/>
    <xf numFmtId="3" fontId="0" fillId="3" borderId="0" xfId="0" applyNumberFormat="1" applyFill="1"/>
    <xf numFmtId="0" fontId="0" fillId="0" borderId="15" xfId="0" applyBorder="1"/>
    <xf numFmtId="3" fontId="0" fillId="4" borderId="0" xfId="0" applyNumberFormat="1" applyFill="1"/>
    <xf numFmtId="0" fontId="0" fillId="18" borderId="0" xfId="0" applyFill="1"/>
    <xf numFmtId="0" fontId="31" fillId="0" borderId="0" xfId="0" applyFont="1"/>
    <xf numFmtId="174" fontId="0" fillId="4" borderId="0" xfId="0" applyNumberFormat="1" applyFill="1"/>
    <xf numFmtId="9" fontId="26" fillId="0" borderId="0" xfId="1" applyFont="1" applyAlignment="1">
      <alignment horizontal="center"/>
    </xf>
    <xf numFmtId="0" fontId="3" fillId="0" borderId="0" xfId="0" applyFont="1" applyAlignment="1">
      <alignment horizontal="center"/>
    </xf>
    <xf numFmtId="0" fontId="2" fillId="18" borderId="0" xfId="0" applyFont="1" applyFill="1"/>
    <xf numFmtId="0" fontId="4" fillId="18" borderId="0" xfId="0" applyFont="1" applyFill="1"/>
    <xf numFmtId="0" fontId="26" fillId="0" borderId="0" xfId="0" applyFont="1"/>
    <xf numFmtId="0" fontId="0" fillId="0" borderId="0" xfId="0" applyAlignment="1">
      <alignment vertical="center"/>
    </xf>
    <xf numFmtId="0" fontId="0" fillId="3" borderId="0" xfId="0" applyFill="1" applyAlignment="1">
      <alignment horizontal="center" vertical="center"/>
    </xf>
    <xf numFmtId="0" fontId="31" fillId="0" borderId="2" xfId="0" applyFont="1" applyBorder="1" applyAlignment="1">
      <alignment horizontal="center"/>
    </xf>
    <xf numFmtId="0" fontId="31" fillId="2" borderId="0" xfId="0" applyFont="1" applyFill="1"/>
    <xf numFmtId="0" fontId="3" fillId="19" borderId="0" xfId="0" applyFont="1" applyFill="1" applyAlignment="1">
      <alignment horizontal="center"/>
    </xf>
    <xf numFmtId="168" fontId="0" fillId="3" borderId="0" xfId="0" applyNumberFormat="1" applyFill="1"/>
    <xf numFmtId="1" fontId="0" fillId="0" borderId="0" xfId="0" applyNumberFormat="1"/>
    <xf numFmtId="0" fontId="5" fillId="15" borderId="0" xfId="0" applyFont="1" applyFill="1"/>
    <xf numFmtId="0" fontId="2" fillId="2" borderId="0" xfId="0" applyFont="1" applyFill="1" applyAlignment="1">
      <alignment horizontal="center"/>
    </xf>
    <xf numFmtId="10" fontId="3" fillId="14" borderId="3" xfId="1" applyNumberFormat="1" applyFont="1" applyFill="1" applyBorder="1"/>
    <xf numFmtId="167" fontId="0" fillId="0" borderId="0" xfId="0" applyNumberFormat="1"/>
    <xf numFmtId="9" fontId="0" fillId="0" borderId="0" xfId="1" applyFont="1" applyFill="1"/>
    <xf numFmtId="168" fontId="26" fillId="20" borderId="0" xfId="0" applyNumberFormat="1" applyFont="1" applyFill="1"/>
    <xf numFmtId="174" fontId="26" fillId="20" borderId="0" xfId="2" applyNumberFormat="1" applyFont="1" applyFill="1"/>
    <xf numFmtId="0" fontId="0" fillId="20" borderId="0" xfId="0" applyFill="1"/>
    <xf numFmtId="175" fontId="0" fillId="3" borderId="0" xfId="0" applyNumberFormat="1" applyFill="1"/>
    <xf numFmtId="3" fontId="0" fillId="0" borderId="3" xfId="0" applyNumberFormat="1" applyBorder="1"/>
    <xf numFmtId="174" fontId="0" fillId="0" borderId="0" xfId="2" applyNumberFormat="1" applyFont="1"/>
    <xf numFmtId="166" fontId="0" fillId="0" borderId="0" xfId="0" applyNumberFormat="1"/>
    <xf numFmtId="9" fontId="5" fillId="0" borderId="0" xfId="0" applyNumberFormat="1" applyFont="1"/>
    <xf numFmtId="1" fontId="0" fillId="0" borderId="0" xfId="3" applyNumberFormat="1" applyFont="1"/>
    <xf numFmtId="3" fontId="0" fillId="14" borderId="3" xfId="0" applyNumberFormat="1" applyFill="1" applyBorder="1"/>
    <xf numFmtId="2" fontId="3" fillId="14" borderId="3" xfId="0" applyNumberFormat="1" applyFont="1" applyFill="1" applyBorder="1"/>
    <xf numFmtId="3" fontId="3" fillId="14" borderId="3" xfId="0" applyNumberFormat="1" applyFont="1" applyFill="1" applyBorder="1"/>
    <xf numFmtId="0" fontId="3" fillId="14" borderId="17" xfId="0" applyFont="1" applyFill="1" applyBorder="1"/>
    <xf numFmtId="0" fontId="3" fillId="14" borderId="18" xfId="0" applyFont="1" applyFill="1" applyBorder="1"/>
    <xf numFmtId="0" fontId="3" fillId="14" borderId="19" xfId="0" applyFont="1" applyFill="1" applyBorder="1"/>
    <xf numFmtId="0" fontId="3" fillId="14" borderId="20" xfId="0" applyFont="1" applyFill="1" applyBorder="1"/>
    <xf numFmtId="0" fontId="3" fillId="14" borderId="21" xfId="0" applyFont="1" applyFill="1" applyBorder="1"/>
    <xf numFmtId="170" fontId="0" fillId="0" borderId="0" xfId="0" applyNumberFormat="1"/>
    <xf numFmtId="170" fontId="3" fillId="14" borderId="22" xfId="0" applyNumberFormat="1" applyFont="1" applyFill="1" applyBorder="1"/>
    <xf numFmtId="0" fontId="2" fillId="15" borderId="0" xfId="0" applyFont="1" applyFill="1" applyAlignment="1">
      <alignment horizontal="center"/>
    </xf>
    <xf numFmtId="165" fontId="6" fillId="0" borderId="0" xfId="0" applyNumberFormat="1" applyFont="1"/>
    <xf numFmtId="0" fontId="0" fillId="0" borderId="23" xfId="0" applyBorder="1"/>
    <xf numFmtId="0" fontId="2" fillId="2" borderId="17" xfId="0" applyFont="1" applyFill="1" applyBorder="1"/>
    <xf numFmtId="0" fontId="4" fillId="2" borderId="18" xfId="0" applyFont="1" applyFill="1" applyBorder="1"/>
    <xf numFmtId="0" fontId="4" fillId="2" borderId="19" xfId="0" applyFont="1" applyFill="1" applyBorder="1"/>
    <xf numFmtId="0" fontId="0" fillId="0" borderId="24" xfId="0" applyBorder="1"/>
    <xf numFmtId="0" fontId="0" fillId="0" borderId="25" xfId="0" applyBorder="1"/>
    <xf numFmtId="174" fontId="0" fillId="0" borderId="25" xfId="2" applyNumberFormat="1" applyFont="1" applyBorder="1"/>
    <xf numFmtId="0" fontId="0" fillId="20" borderId="25" xfId="0" applyFill="1" applyBorder="1"/>
    <xf numFmtId="0" fontId="0" fillId="0" borderId="20" xfId="0" applyBorder="1"/>
    <xf numFmtId="0" fontId="0" fillId="0" borderId="21" xfId="0" applyBorder="1"/>
    <xf numFmtId="10" fontId="0" fillId="0" borderId="22" xfId="0" applyNumberFormat="1" applyBorder="1"/>
    <xf numFmtId="0" fontId="7" fillId="0" borderId="24" xfId="0" applyFont="1" applyBorder="1"/>
    <xf numFmtId="9" fontId="7" fillId="0" borderId="25" xfId="1" applyFont="1" applyBorder="1"/>
    <xf numFmtId="3" fontId="0" fillId="0" borderId="25" xfId="0" applyNumberFormat="1" applyBorder="1"/>
    <xf numFmtId="0" fontId="3" fillId="14" borderId="26" xfId="0" applyFont="1" applyFill="1" applyBorder="1"/>
    <xf numFmtId="0" fontId="0" fillId="14" borderId="27" xfId="0" applyFill="1" applyBorder="1"/>
    <xf numFmtId="1" fontId="0" fillId="0" borderId="25" xfId="0" applyNumberFormat="1" applyBorder="1"/>
    <xf numFmtId="0" fontId="7" fillId="0" borderId="20" xfId="0" applyFont="1" applyBorder="1"/>
    <xf numFmtId="0" fontId="7" fillId="0" borderId="22" xfId="0" applyFont="1" applyBorder="1"/>
    <xf numFmtId="0" fontId="2" fillId="2" borderId="18" xfId="0" applyFont="1" applyFill="1" applyBorder="1"/>
    <xf numFmtId="0" fontId="2" fillId="2" borderId="19" xfId="0" applyFont="1" applyFill="1" applyBorder="1"/>
    <xf numFmtId="0" fontId="3" fillId="0" borderId="26" xfId="0" applyFont="1" applyBorder="1"/>
    <xf numFmtId="0" fontId="0" fillId="0" borderId="27" xfId="0" applyBorder="1"/>
    <xf numFmtId="170" fontId="0" fillId="0" borderId="25" xfId="0" applyNumberFormat="1" applyBorder="1"/>
    <xf numFmtId="0" fontId="3" fillId="0" borderId="28" xfId="0" applyFont="1" applyBorder="1"/>
    <xf numFmtId="0" fontId="0" fillId="0" borderId="29" xfId="0" applyBorder="1"/>
    <xf numFmtId="0" fontId="3" fillId="14" borderId="30" xfId="0" applyFont="1" applyFill="1" applyBorder="1"/>
    <xf numFmtId="0" fontId="0" fillId="14" borderId="31" xfId="0" applyFill="1" applyBorder="1"/>
    <xf numFmtId="0" fontId="0" fillId="14" borderId="32" xfId="0" applyFill="1" applyBorder="1"/>
    <xf numFmtId="0" fontId="32" fillId="0" borderId="24" xfId="0" applyFont="1" applyBorder="1"/>
    <xf numFmtId="0" fontId="32" fillId="0" borderId="0" xfId="0" applyFont="1"/>
    <xf numFmtId="9" fontId="33" fillId="20" borderId="25" xfId="1" applyFont="1" applyFill="1" applyBorder="1"/>
    <xf numFmtId="0" fontId="3" fillId="14" borderId="31" xfId="0" applyFont="1" applyFill="1" applyBorder="1"/>
    <xf numFmtId="0" fontId="3" fillId="0" borderId="24" xfId="0" applyFont="1" applyBorder="1"/>
    <xf numFmtId="0" fontId="3" fillId="0" borderId="25" xfId="0" applyFont="1" applyBorder="1"/>
    <xf numFmtId="9" fontId="0" fillId="0" borderId="25" xfId="1" applyFont="1" applyBorder="1"/>
    <xf numFmtId="174" fontId="0" fillId="0" borderId="25" xfId="0" applyNumberFormat="1" applyBorder="1"/>
    <xf numFmtId="0" fontId="0" fillId="0" borderId="28" xfId="0" applyBorder="1"/>
    <xf numFmtId="9" fontId="24" fillId="14" borderId="0" xfId="1" applyFont="1" applyFill="1" applyBorder="1"/>
    <xf numFmtId="167" fontId="0" fillId="0" borderId="25" xfId="0" applyNumberFormat="1" applyBorder="1"/>
    <xf numFmtId="0" fontId="3" fillId="0" borderId="27" xfId="0" applyFont="1" applyBorder="1"/>
    <xf numFmtId="0" fontId="3" fillId="14" borderId="24" xfId="0" applyFont="1" applyFill="1" applyBorder="1"/>
    <xf numFmtId="176" fontId="3" fillId="14" borderId="25" xfId="0" applyNumberFormat="1" applyFont="1" applyFill="1" applyBorder="1"/>
    <xf numFmtId="0" fontId="24" fillId="14" borderId="24" xfId="0" applyFont="1" applyFill="1" applyBorder="1"/>
    <xf numFmtId="9" fontId="24" fillId="14" borderId="25" xfId="1" applyFont="1" applyFill="1" applyBorder="1"/>
    <xf numFmtId="0" fontId="2" fillId="2" borderId="24" xfId="0" applyFont="1" applyFill="1" applyBorder="1"/>
    <xf numFmtId="0" fontId="4" fillId="2" borderId="25" xfId="0" applyFont="1" applyFill="1" applyBorder="1"/>
    <xf numFmtId="0" fontId="3" fillId="14" borderId="27" xfId="0" applyFont="1" applyFill="1" applyBorder="1"/>
    <xf numFmtId="170" fontId="3" fillId="14" borderId="25" xfId="0" applyNumberFormat="1" applyFont="1" applyFill="1" applyBorder="1"/>
    <xf numFmtId="0" fontId="3" fillId="0" borderId="24" xfId="0" applyFont="1" applyBorder="1" applyAlignment="1">
      <alignment horizontal="center"/>
    </xf>
    <xf numFmtId="174" fontId="0" fillId="0" borderId="21" xfId="0" applyNumberFormat="1" applyBorder="1"/>
    <xf numFmtId="0" fontId="0" fillId="0" borderId="22" xfId="0" applyBorder="1"/>
    <xf numFmtId="0" fontId="3" fillId="0" borderId="25" xfId="0" applyFont="1" applyBorder="1" applyAlignment="1">
      <alignment horizontal="center"/>
    </xf>
    <xf numFmtId="0" fontId="0" fillId="0" borderId="33" xfId="0" applyBorder="1"/>
    <xf numFmtId="0" fontId="0" fillId="0" borderId="34" xfId="0" applyBorder="1"/>
    <xf numFmtId="0" fontId="0" fillId="0" borderId="35" xfId="0" applyBorder="1"/>
    <xf numFmtId="177" fontId="5" fillId="0" borderId="25" xfId="0" applyNumberFormat="1" applyFont="1" applyBorder="1" applyAlignment="1">
      <alignment horizontal="right"/>
    </xf>
    <xf numFmtId="177" fontId="0" fillId="3" borderId="0" xfId="0" applyNumberFormat="1" applyFill="1"/>
    <xf numFmtId="170" fontId="0" fillId="3" borderId="0" xfId="0" applyNumberFormat="1" applyFill="1"/>
    <xf numFmtId="9" fontId="5" fillId="0" borderId="25" xfId="1" applyFont="1" applyFill="1" applyBorder="1"/>
    <xf numFmtId="0" fontId="5" fillId="0" borderId="25" xfId="0" applyFont="1" applyBorder="1"/>
    <xf numFmtId="170" fontId="5" fillId="0" borderId="25" xfId="0" applyNumberFormat="1" applyFont="1" applyBorder="1"/>
    <xf numFmtId="174" fontId="5" fillId="0" borderId="25" xfId="2" applyNumberFormat="1" applyFont="1" applyFill="1" applyBorder="1"/>
    <xf numFmtId="3" fontId="5" fillId="0" borderId="25" xfId="0" applyNumberFormat="1" applyFont="1" applyBorder="1"/>
    <xf numFmtId="176" fontId="3" fillId="14" borderId="0" xfId="0" applyNumberFormat="1" applyFont="1" applyFill="1"/>
    <xf numFmtId="170" fontId="3" fillId="14" borderId="0" xfId="0" applyNumberFormat="1" applyFont="1" applyFill="1"/>
    <xf numFmtId="174" fontId="0" fillId="0" borderId="0" xfId="0" applyNumberFormat="1"/>
    <xf numFmtId="0" fontId="28" fillId="3" borderId="0" xfId="0" applyFont="1" applyFill="1"/>
    <xf numFmtId="9" fontId="26" fillId="3" borderId="0" xfId="1" applyFont="1" applyFill="1"/>
    <xf numFmtId="178" fontId="26" fillId="3" borderId="0" xfId="1" applyNumberFormat="1" applyFont="1" applyFill="1"/>
    <xf numFmtId="179" fontId="0" fillId="14" borderId="3" xfId="3" applyNumberFormat="1" applyFont="1" applyFill="1" applyBorder="1"/>
    <xf numFmtId="179" fontId="3" fillId="14" borderId="3" xfId="3" applyNumberFormat="1" applyFont="1" applyFill="1" applyBorder="1" applyAlignment="1">
      <alignment horizontal="center"/>
    </xf>
    <xf numFmtId="179" fontId="26" fillId="20" borderId="0" xfId="3" applyNumberFormat="1" applyFont="1" applyFill="1" applyAlignment="1">
      <alignment horizontal="center"/>
    </xf>
    <xf numFmtId="179" fontId="0" fillId="0" borderId="0" xfId="3" applyNumberFormat="1" applyFont="1" applyAlignment="1">
      <alignment horizontal="center"/>
    </xf>
    <xf numFmtId="179" fontId="28" fillId="0" borderId="0" xfId="3" applyNumberFormat="1" applyFont="1" applyFill="1" applyBorder="1" applyAlignment="1">
      <alignment horizontal="center"/>
    </xf>
    <xf numFmtId="0" fontId="26" fillId="20" borderId="0" xfId="0" applyFont="1" applyFill="1"/>
    <xf numFmtId="2" fontId="7" fillId="0" borderId="0" xfId="0" applyNumberFormat="1" applyFont="1"/>
    <xf numFmtId="179" fontId="0" fillId="0" borderId="0" xfId="3" applyNumberFormat="1" applyFont="1"/>
    <xf numFmtId="179" fontId="26" fillId="20" borderId="0" xfId="3" applyNumberFormat="1" applyFont="1" applyFill="1"/>
    <xf numFmtId="179" fontId="26" fillId="20" borderId="0" xfId="3" applyNumberFormat="1" applyFont="1" applyFill="1" applyBorder="1" applyAlignment="1"/>
    <xf numFmtId="179" fontId="26" fillId="20" borderId="0" xfId="3" applyNumberFormat="1" applyFont="1" applyFill="1" applyBorder="1" applyAlignment="1">
      <alignment horizontal="center"/>
    </xf>
    <xf numFmtId="179" fontId="5" fillId="0" borderId="0" xfId="3" applyNumberFormat="1" applyFont="1"/>
    <xf numFmtId="179" fontId="28" fillId="0" borderId="0" xfId="3" applyNumberFormat="1" applyFont="1" applyFill="1" applyBorder="1" applyAlignment="1"/>
    <xf numFmtId="179" fontId="0" fillId="15" borderId="0" xfId="3" applyNumberFormat="1" applyFont="1" applyFill="1"/>
    <xf numFmtId="179" fontId="28" fillId="0" borderId="0" xfId="3" applyNumberFormat="1" applyFont="1"/>
    <xf numFmtId="2" fontId="28" fillId="0" borderId="0" xfId="0" applyNumberFormat="1" applyFont="1"/>
    <xf numFmtId="179" fontId="21" fillId="20" borderId="3" xfId="3" applyNumberFormat="1" applyFont="1" applyFill="1" applyBorder="1"/>
    <xf numFmtId="179" fontId="3" fillId="14" borderId="3" xfId="3" applyNumberFormat="1" applyFont="1" applyFill="1" applyBorder="1"/>
    <xf numFmtId="179" fontId="20" fillId="14" borderId="3" xfId="3" applyNumberFormat="1" applyFont="1" applyFill="1" applyBorder="1"/>
    <xf numFmtId="179" fontId="20" fillId="14" borderId="3" xfId="0" applyNumberFormat="1" applyFont="1" applyFill="1" applyBorder="1"/>
    <xf numFmtId="10" fontId="20" fillId="14" borderId="3" xfId="1" applyNumberFormat="1" applyFont="1" applyFill="1" applyBorder="1"/>
    <xf numFmtId="178" fontId="26" fillId="0" borderId="0" xfId="1" applyNumberFormat="1" applyFont="1"/>
    <xf numFmtId="178" fontId="0" fillId="0" borderId="0" xfId="0" applyNumberFormat="1"/>
    <xf numFmtId="178" fontId="0" fillId="14" borderId="3" xfId="1" applyNumberFormat="1" applyFont="1" applyFill="1" applyBorder="1"/>
    <xf numFmtId="178" fontId="0" fillId="0" borderId="0" xfId="1" applyNumberFormat="1" applyFont="1"/>
    <xf numFmtId="178" fontId="26" fillId="0" borderId="0" xfId="1" applyNumberFormat="1" applyFont="1" applyFill="1" applyBorder="1" applyAlignment="1"/>
    <xf numFmtId="10" fontId="0" fillId="0" borderId="16" xfId="1" applyNumberFormat="1" applyFont="1" applyBorder="1"/>
    <xf numFmtId="179" fontId="0" fillId="4" borderId="0" xfId="3" applyNumberFormat="1" applyFont="1" applyFill="1"/>
    <xf numFmtId="179" fontId="27" fillId="0" borderId="5" xfId="3" applyNumberFormat="1" applyFont="1" applyBorder="1" applyAlignment="1">
      <alignment vertical="center"/>
    </xf>
    <xf numFmtId="179" fontId="26" fillId="13" borderId="0" xfId="3" applyNumberFormat="1" applyFont="1" applyFill="1"/>
    <xf numFmtId="179" fontId="18" fillId="12" borderId="0" xfId="3" applyNumberFormat="1" applyFont="1" applyFill="1"/>
    <xf numFmtId="179" fontId="5" fillId="0" borderId="0" xfId="3" applyNumberFormat="1" applyFont="1" applyAlignment="1">
      <alignment horizontal="center"/>
    </xf>
    <xf numFmtId="179" fontId="3" fillId="5" borderId="3" xfId="3" applyNumberFormat="1" applyFont="1" applyFill="1" applyBorder="1"/>
    <xf numFmtId="179" fontId="3" fillId="6" borderId="3" xfId="3" applyNumberFormat="1" applyFont="1" applyFill="1" applyBorder="1"/>
    <xf numFmtId="179" fontId="4" fillId="3" borderId="0" xfId="3" applyNumberFormat="1" applyFont="1" applyFill="1"/>
    <xf numFmtId="0" fontId="15" fillId="7" borderId="0" xfId="0" applyFont="1" applyFill="1"/>
    <xf numFmtId="0" fontId="4" fillId="7" borderId="0" xfId="0" applyFont="1" applyFill="1"/>
    <xf numFmtId="0" fontId="20" fillId="0" borderId="0" xfId="0" applyFont="1" applyAlignment="1">
      <alignment horizontal="center"/>
    </xf>
    <xf numFmtId="0" fontId="4" fillId="0" borderId="0" xfId="0" applyFont="1"/>
    <xf numFmtId="0" fontId="0" fillId="0" borderId="5" xfId="0" applyBorder="1"/>
    <xf numFmtId="0" fontId="20" fillId="0" borderId="5" xfId="0" applyFont="1" applyBorder="1" applyAlignment="1">
      <alignment horizontal="center"/>
    </xf>
    <xf numFmtId="2" fontId="4" fillId="0" borderId="0" xfId="0" applyNumberFormat="1" applyFont="1"/>
    <xf numFmtId="10" fontId="0" fillId="0" borderId="6" xfId="0" applyNumberFormat="1" applyBorder="1" applyAlignment="1">
      <alignment horizontal="center"/>
    </xf>
    <xf numFmtId="10" fontId="26" fillId="0" borderId="6" xfId="0" applyNumberFormat="1" applyFont="1" applyBorder="1" applyAlignment="1">
      <alignment horizontal="center"/>
    </xf>
    <xf numFmtId="0" fontId="28" fillId="0" borderId="7" xfId="0" applyFont="1" applyBorder="1" applyAlignment="1">
      <alignment horizontal="center" vertical="center"/>
    </xf>
    <xf numFmtId="170" fontId="0" fillId="0" borderId="0" xfId="0" applyNumberFormat="1" applyAlignment="1">
      <alignment horizontal="center"/>
    </xf>
    <xf numFmtId="0" fontId="20" fillId="0" borderId="7" xfId="0" applyFont="1" applyBorder="1" applyAlignment="1">
      <alignment horizontal="center" vertical="center"/>
    </xf>
    <xf numFmtId="170" fontId="26" fillId="0" borderId="0" xfId="0" applyNumberFormat="1" applyFont="1" applyAlignment="1">
      <alignment horizontal="center"/>
    </xf>
    <xf numFmtId="0" fontId="0" fillId="0" borderId="7" xfId="0" applyBorder="1" applyAlignment="1">
      <alignment horizontal="center" vertical="center"/>
    </xf>
    <xf numFmtId="10" fontId="4" fillId="0" borderId="0" xfId="0" applyNumberFormat="1" applyFont="1"/>
    <xf numFmtId="10" fontId="0" fillId="0" borderId="0" xfId="1" applyNumberFormat="1" applyFont="1" applyFill="1" applyBorder="1"/>
    <xf numFmtId="10" fontId="0" fillId="8" borderId="0" xfId="1" applyNumberFormat="1" applyFont="1" applyFill="1" applyBorder="1"/>
    <xf numFmtId="10" fontId="26" fillId="0" borderId="0" xfId="0" applyNumberFormat="1" applyFont="1" applyAlignment="1">
      <alignment horizontal="center"/>
    </xf>
    <xf numFmtId="179" fontId="0" fillId="8" borderId="0" xfId="3" applyNumberFormat="1" applyFont="1" applyFill="1"/>
    <xf numFmtId="179" fontId="3" fillId="0" borderId="0" xfId="3" applyNumberFormat="1" applyFont="1"/>
    <xf numFmtId="179" fontId="3" fillId="0" borderId="3" xfId="3" applyNumberFormat="1" applyFont="1" applyBorder="1"/>
    <xf numFmtId="179" fontId="20" fillId="5" borderId="3" xfId="3" applyNumberFormat="1" applyFont="1" applyFill="1" applyBorder="1"/>
    <xf numFmtId="179" fontId="20" fillId="14" borderId="0" xfId="3" applyNumberFormat="1" applyFont="1" applyFill="1"/>
    <xf numFmtId="179" fontId="3" fillId="14" borderId="0" xfId="3" applyNumberFormat="1" applyFont="1" applyFill="1"/>
    <xf numFmtId="179" fontId="3" fillId="14" borderId="0" xfId="3" applyNumberFormat="1" applyFont="1" applyFill="1" applyAlignment="1">
      <alignment horizontal="center"/>
    </xf>
    <xf numFmtId="179" fontId="28" fillId="0" borderId="0" xfId="0" applyNumberFormat="1" applyFont="1"/>
    <xf numFmtId="9" fontId="26" fillId="20" borderId="0" xfId="1" applyFont="1" applyFill="1"/>
    <xf numFmtId="174" fontId="5" fillId="4" borderId="0" xfId="0" applyNumberFormat="1" applyFont="1" applyFill="1"/>
    <xf numFmtId="178" fontId="26" fillId="3" borderId="0" xfId="1" applyNumberFormat="1" applyFont="1" applyFill="1" applyBorder="1" applyAlignment="1"/>
    <xf numFmtId="179" fontId="6" fillId="0" borderId="0" xfId="3" applyNumberFormat="1" applyFont="1"/>
    <xf numFmtId="179" fontId="26" fillId="0" borderId="0" xfId="3" applyNumberFormat="1" applyFont="1"/>
    <xf numFmtId="179" fontId="0" fillId="14" borderId="14" xfId="3" applyNumberFormat="1" applyFont="1" applyFill="1" applyBorder="1"/>
    <xf numFmtId="179" fontId="0" fillId="3" borderId="0" xfId="3" applyNumberFormat="1" applyFont="1" applyFill="1"/>
    <xf numFmtId="9" fontId="29" fillId="0" borderId="0" xfId="1" applyFont="1" applyAlignment="1">
      <alignment horizontal="center"/>
    </xf>
    <xf numFmtId="178" fontId="26" fillId="14" borderId="14" xfId="1" applyNumberFormat="1" applyFont="1" applyFill="1" applyBorder="1"/>
    <xf numFmtId="0" fontId="15" fillId="2" borderId="0" xfId="0" applyFont="1" applyFill="1"/>
    <xf numFmtId="179" fontId="11" fillId="0" borderId="0" xfId="3" applyNumberFormat="1" applyFont="1"/>
    <xf numFmtId="179" fontId="11" fillId="8" borderId="0" xfId="3" applyNumberFormat="1" applyFont="1" applyFill="1"/>
    <xf numFmtId="0" fontId="2" fillId="2" borderId="0" xfId="0" applyFont="1" applyFill="1" applyAlignment="1">
      <alignment horizontal="center"/>
    </xf>
    <xf numFmtId="0" fontId="5" fillId="0" borderId="0" xfId="0" applyFont="1" applyAlignment="1">
      <alignment horizontal="center" vertical="center"/>
    </xf>
    <xf numFmtId="0" fontId="2" fillId="3" borderId="0" xfId="0" applyFont="1" applyFill="1" applyAlignment="1">
      <alignment horizontal="center"/>
    </xf>
    <xf numFmtId="0" fontId="3" fillId="3" borderId="0" xfId="0" applyFont="1" applyFill="1" applyAlignment="1">
      <alignment horizontal="center"/>
    </xf>
    <xf numFmtId="9" fontId="26" fillId="20" borderId="0" xfId="1" applyNumberFormat="1" applyFont="1" applyFill="1"/>
  </cellXfs>
  <cellStyles count="4">
    <cellStyle name="Comma" xfId="3" builtinId="3"/>
    <cellStyle name="Currency" xfId="2" builtinId="4"/>
    <cellStyle name="Normal" xfId="0" builtinId="0"/>
    <cellStyle name="Percent" xfId="1" builtinId="5"/>
  </cellStyles>
  <dxfs count="8">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colors>
    <mruColors>
      <color rgb="FF0000FF"/>
      <color rgb="FFFA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 Id="rId30" Type="http://schemas.microsoft.com/office/2017/06/relationships/rdSupportingPropertyBag" Target="richData/rdsupportingpropertybag.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Unelevered Free Cash Flow</a:t>
            </a:r>
          </a:p>
        </c:rich>
      </c:tx>
      <c:overlay val="0"/>
      <c:spPr>
        <a:noFill/>
        <a:ln>
          <a:noFill/>
        </a:ln>
        <a:effectLst/>
      </c:spPr>
    </c:title>
    <c:autoTitleDeleted val="0"/>
    <c:plotArea>
      <c:layout/>
      <c:barChart>
        <c:barDir val="col"/>
        <c:grouping val="clustered"/>
        <c:varyColors val="0"/>
        <c:ser>
          <c:idx val="4"/>
          <c:order val="0"/>
          <c:tx>
            <c:v>Future Free Cash Flow</c:v>
          </c:tx>
          <c:invertIfNegative val="0"/>
          <c:cat>
            <c:numRef>
              <c:f>DCF!$D$16:$M$16</c:f>
              <c:numCache>
                <c:formatCode>[$-409]dd\-mmm\-yy</c:formatCode>
                <c:ptCount val="10"/>
                <c:pt idx="0">
                  <c:v>43830</c:v>
                </c:pt>
                <c:pt idx="1">
                  <c:v>44196</c:v>
                </c:pt>
                <c:pt idx="2">
                  <c:v>44561</c:v>
                </c:pt>
                <c:pt idx="3">
                  <c:v>44926</c:v>
                </c:pt>
                <c:pt idx="4">
                  <c:v>45291</c:v>
                </c:pt>
                <c:pt idx="5">
                  <c:v>45657</c:v>
                </c:pt>
                <c:pt idx="6">
                  <c:v>46022</c:v>
                </c:pt>
                <c:pt idx="7">
                  <c:v>46387</c:v>
                </c:pt>
                <c:pt idx="8">
                  <c:v>46752</c:v>
                </c:pt>
                <c:pt idx="9">
                  <c:v>47118</c:v>
                </c:pt>
              </c:numCache>
            </c:numRef>
          </c:cat>
          <c:val>
            <c:numRef>
              <c:f>DCF!$D$34:$M$34</c:f>
              <c:numCache>
                <c:formatCode>General</c:formatCode>
                <c:ptCount val="10"/>
                <c:pt idx="5" formatCode="_(* #,##0.0_);_(* \(#,##0.0\);_(* &quot;-&quot;??_);_(@_)">
                  <c:v>0</c:v>
                </c:pt>
                <c:pt idx="6" formatCode="_(* #,##0.0_);_(* \(#,##0.0\);_(* &quot;-&quot;??_);_(@_)">
                  <c:v>0</c:v>
                </c:pt>
                <c:pt idx="7" formatCode="_(* #,##0.0_);_(* \(#,##0.0\);_(* &quot;-&quot;??_);_(@_)">
                  <c:v>0</c:v>
                </c:pt>
                <c:pt idx="8" formatCode="_(* #,##0.0_);_(* \(#,##0.0\);_(* &quot;-&quot;??_);_(@_)">
                  <c:v>0</c:v>
                </c:pt>
                <c:pt idx="9" formatCode="_(* #,##0.0_);_(* \(#,##0.0\);_(* &quot;-&quot;??_);_(@_)">
                  <c:v>0</c:v>
                </c:pt>
              </c:numCache>
            </c:numRef>
          </c:val>
          <c:extLst>
            <c:ext xmlns:c16="http://schemas.microsoft.com/office/drawing/2014/chart" uri="{C3380CC4-5D6E-409C-BE32-E72D297353CC}">
              <c16:uniqueId val="{0000000E-AAD4-4C7E-A62F-2FB606FF9222}"/>
            </c:ext>
          </c:extLst>
        </c:ser>
        <c:ser>
          <c:idx val="5"/>
          <c:order val="1"/>
          <c:tx>
            <c:v>Past Free Cash Flow</c:v>
          </c:tx>
          <c:invertIfNegative val="0"/>
          <c:cat>
            <c:numRef>
              <c:f>DCF!$D$16:$M$16</c:f>
              <c:numCache>
                <c:formatCode>[$-409]dd\-mmm\-yy</c:formatCode>
                <c:ptCount val="10"/>
                <c:pt idx="0">
                  <c:v>43830</c:v>
                </c:pt>
                <c:pt idx="1">
                  <c:v>44196</c:v>
                </c:pt>
                <c:pt idx="2">
                  <c:v>44561</c:v>
                </c:pt>
                <c:pt idx="3">
                  <c:v>44926</c:v>
                </c:pt>
                <c:pt idx="4">
                  <c:v>45291</c:v>
                </c:pt>
                <c:pt idx="5">
                  <c:v>45657</c:v>
                </c:pt>
                <c:pt idx="6">
                  <c:v>46022</c:v>
                </c:pt>
                <c:pt idx="7">
                  <c:v>46387</c:v>
                </c:pt>
                <c:pt idx="8">
                  <c:v>46752</c:v>
                </c:pt>
                <c:pt idx="9">
                  <c:v>47118</c:v>
                </c:pt>
              </c:numCache>
            </c:numRef>
          </c:cat>
          <c:val>
            <c:numRef>
              <c:f>DCF!$D$31:$H$31</c:f>
              <c:numCache>
                <c:formatCode>_(* #,##0.0_);_(* \(#,##0.0\);_(* "-"??_);_(@_)</c:formatCode>
                <c:ptCount val="5"/>
                <c:pt idx="0">
                  <c:v>0</c:v>
                </c:pt>
                <c:pt idx="1">
                  <c:v>0</c:v>
                </c:pt>
                <c:pt idx="2">
                  <c:v>0</c:v>
                </c:pt>
                <c:pt idx="3">
                  <c:v>0</c:v>
                </c:pt>
                <c:pt idx="4">
                  <c:v>0</c:v>
                </c:pt>
              </c:numCache>
            </c:numRef>
          </c:val>
          <c:extLst>
            <c:ext xmlns:c16="http://schemas.microsoft.com/office/drawing/2014/chart" uri="{C3380CC4-5D6E-409C-BE32-E72D297353CC}">
              <c16:uniqueId val="{0000000F-AAD4-4C7E-A62F-2FB606FF9222}"/>
            </c:ext>
          </c:extLst>
        </c:ser>
        <c:ser>
          <c:idx val="0"/>
          <c:order val="2"/>
          <c:tx>
            <c:v>Future Synergy Free Cash Flows</c:v>
          </c:tx>
          <c:invertIfNegative val="0"/>
          <c:val>
            <c:numRef>
              <c:f>'DCF Synergies'!$D$35:$M$35</c:f>
              <c:numCache>
                <c:formatCode>General</c:formatCode>
                <c:ptCount val="10"/>
                <c:pt idx="5" formatCode="_(* #,##0.0_);_(* \(#,##0.0\);_(* &quot;-&quot;??_);_(@_)">
                  <c:v>0</c:v>
                </c:pt>
                <c:pt idx="6" formatCode="_(* #,##0.0_);_(* \(#,##0.0\);_(* &quot;-&quot;??_);_(@_)">
                  <c:v>0</c:v>
                </c:pt>
                <c:pt idx="7" formatCode="_(* #,##0.0_);_(* \(#,##0.0\);_(* &quot;-&quot;??_);_(@_)">
                  <c:v>0</c:v>
                </c:pt>
                <c:pt idx="8" formatCode="_(* #,##0.0_);_(* \(#,##0.0\);_(* &quot;-&quot;??_);_(@_)">
                  <c:v>0</c:v>
                </c:pt>
                <c:pt idx="9" formatCode="_(* #,##0.0_);_(* \(#,##0.0\);_(* &quot;-&quot;??_);_(@_)">
                  <c:v>0</c:v>
                </c:pt>
              </c:numCache>
            </c:numRef>
          </c:val>
          <c:extLst>
            <c:ext xmlns:c16="http://schemas.microsoft.com/office/drawing/2014/chart" uri="{C3380CC4-5D6E-409C-BE32-E72D297353CC}">
              <c16:uniqueId val="{00000012-AAD4-4C7E-A62F-2FB606FF9222}"/>
            </c:ext>
          </c:extLst>
        </c:ser>
        <c:dLbls>
          <c:showLegendKey val="0"/>
          <c:showVal val="0"/>
          <c:showCatName val="0"/>
          <c:showSerName val="0"/>
          <c:showPercent val="0"/>
          <c:showBubbleSize val="0"/>
        </c:dLbls>
        <c:gapWidth val="219"/>
        <c:overlap val="-27"/>
        <c:axId val="107529167"/>
        <c:axId val="107551247"/>
      </c:barChart>
      <c:dateAx>
        <c:axId val="107529167"/>
        <c:scaling>
          <c:orientation val="minMax"/>
        </c:scaling>
        <c:delete val="0"/>
        <c:axPos val="b"/>
        <c:numFmt formatCode="[$-409]dd\-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1247"/>
        <c:crosses val="autoZero"/>
        <c:auto val="1"/>
        <c:lblOffset val="100"/>
        <c:baseTimeUnit val="years"/>
      </c:dateAx>
      <c:valAx>
        <c:axId val="107551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29167"/>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Regular DCF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DCF!$B$48</c:f>
              <c:strCache>
                <c:ptCount val="1"/>
                <c:pt idx="0">
                  <c:v>Implied Share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Exit Multiple Method</c:v>
              </c:pt>
              <c:pt idx="1">
                <c:v> PGG Method</c:v>
              </c:pt>
            </c:strLit>
          </c:cat>
          <c:val>
            <c:numRef>
              <c:f>(DCF!$C$48,DCF!$C$62)</c:f>
              <c:numCache>
                <c:formatCode>_(* #,##0.0_);_(* \(#,##0.0\);_(* "-"??_);_(@_)</c:formatCode>
                <c:ptCount val="2"/>
                <c:pt idx="0">
                  <c:v>0</c:v>
                </c:pt>
                <c:pt idx="1">
                  <c:v>0</c:v>
                </c:pt>
              </c:numCache>
            </c:numRef>
          </c:val>
          <c:extLst>
            <c:ext xmlns:c16="http://schemas.microsoft.com/office/drawing/2014/chart" uri="{C3380CC4-5D6E-409C-BE32-E72D297353CC}">
              <c16:uniqueId val="{00000000-54ED-446B-AE92-6B8397751006}"/>
            </c:ext>
          </c:extLst>
        </c:ser>
        <c:dLbls>
          <c:showLegendKey val="0"/>
          <c:showVal val="0"/>
          <c:showCatName val="0"/>
          <c:showSerName val="0"/>
          <c:showPercent val="0"/>
          <c:showBubbleSize val="0"/>
        </c:dLbls>
        <c:gapWidth val="219"/>
        <c:axId val="107547887"/>
        <c:axId val="107554607"/>
      </c:barChart>
      <c:lineChart>
        <c:grouping val="standard"/>
        <c:varyColors val="0"/>
        <c:ser>
          <c:idx val="1"/>
          <c:order val="1"/>
          <c:tx>
            <c:strRef>
              <c:f>DCF!$B$49</c:f>
              <c:strCache>
                <c:ptCount val="1"/>
                <c:pt idx="0">
                  <c:v>Implied Upside/(Downside)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Exit Multiple Method</c:v>
              </c:pt>
              <c:pt idx="1">
                <c:v> PGG Method</c:v>
              </c:pt>
            </c:strLit>
          </c:cat>
          <c:val>
            <c:numRef>
              <c:f>(DCF!$C$49,DCF!$C$63)</c:f>
              <c:numCache>
                <c:formatCode>0.00%</c:formatCode>
                <c:ptCount val="2"/>
                <c:pt idx="0">
                  <c:v>0</c:v>
                </c:pt>
                <c:pt idx="1">
                  <c:v>0</c:v>
                </c:pt>
              </c:numCache>
            </c:numRef>
          </c:val>
          <c:smooth val="0"/>
          <c:extLst>
            <c:ext xmlns:c16="http://schemas.microsoft.com/office/drawing/2014/chart" uri="{C3380CC4-5D6E-409C-BE32-E72D297353CC}">
              <c16:uniqueId val="{00000001-54ED-446B-AE92-6B8397751006}"/>
            </c:ext>
          </c:extLst>
        </c:ser>
        <c:dLbls>
          <c:showLegendKey val="0"/>
          <c:showVal val="0"/>
          <c:showCatName val="0"/>
          <c:showSerName val="0"/>
          <c:showPercent val="0"/>
          <c:showBubbleSize val="0"/>
        </c:dLbls>
        <c:marker val="1"/>
        <c:smooth val="0"/>
        <c:axId val="1329620031"/>
        <c:axId val="1329631551"/>
      </c:lineChart>
      <c:catAx>
        <c:axId val="10754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4607"/>
        <c:crosses val="autoZero"/>
        <c:auto val="1"/>
        <c:lblAlgn val="ctr"/>
        <c:lblOffset val="100"/>
        <c:noMultiLvlLbl val="0"/>
      </c:catAx>
      <c:valAx>
        <c:axId val="107554607"/>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47887"/>
        <c:crosses val="autoZero"/>
        <c:crossBetween val="between"/>
      </c:valAx>
      <c:valAx>
        <c:axId val="132963155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620031"/>
        <c:crosses val="max"/>
        <c:crossBetween val="between"/>
      </c:valAx>
      <c:catAx>
        <c:axId val="1329620031"/>
        <c:scaling>
          <c:orientation val="minMax"/>
        </c:scaling>
        <c:delete val="1"/>
        <c:axPos val="b"/>
        <c:numFmt formatCode="General" sourceLinked="1"/>
        <c:majorTickMark val="out"/>
        <c:minorTickMark val="none"/>
        <c:tickLblPos val="nextTo"/>
        <c:crossAx val="132963155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DCF With Synergies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'DCF Synergies'!$B$49</c:f>
              <c:strCache>
                <c:ptCount val="1"/>
                <c:pt idx="0">
                  <c:v>Implied Share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Exit Multiple Method</c:v>
              </c:pt>
              <c:pt idx="1">
                <c:v> PGG Method</c:v>
              </c:pt>
            </c:strLit>
          </c:cat>
          <c:val>
            <c:numRef>
              <c:f>('DCF Synergies'!$C$49,'DCF Synergies'!$C$63)</c:f>
              <c:numCache>
                <c:formatCode>_(* #,##0.0_);_(* \(#,##0.0\);_(* "-"??_);_(@_)</c:formatCode>
                <c:ptCount val="2"/>
                <c:pt idx="0">
                  <c:v>0</c:v>
                </c:pt>
                <c:pt idx="1">
                  <c:v>0</c:v>
                </c:pt>
              </c:numCache>
              <c:extLst/>
            </c:numRef>
          </c:val>
          <c:extLst>
            <c:ext xmlns:c16="http://schemas.microsoft.com/office/drawing/2014/chart" uri="{C3380CC4-5D6E-409C-BE32-E72D297353CC}">
              <c16:uniqueId val="{00000000-5A19-463B-A210-FE6AA519829A}"/>
            </c:ext>
          </c:extLst>
        </c:ser>
        <c:dLbls>
          <c:dLblPos val="outEnd"/>
          <c:showLegendKey val="0"/>
          <c:showVal val="1"/>
          <c:showCatName val="0"/>
          <c:showSerName val="0"/>
          <c:showPercent val="0"/>
          <c:showBubbleSize val="0"/>
        </c:dLbls>
        <c:gapWidth val="219"/>
        <c:overlap val="-27"/>
        <c:axId val="408726831"/>
        <c:axId val="408728271"/>
      </c:barChart>
      <c:lineChart>
        <c:grouping val="standard"/>
        <c:varyColors val="0"/>
        <c:ser>
          <c:idx val="1"/>
          <c:order val="1"/>
          <c:tx>
            <c:strRef>
              <c:f>'DCF Synergies'!$B$50</c:f>
              <c:strCache>
                <c:ptCount val="1"/>
                <c:pt idx="0">
                  <c:v>Implied Upside/(Downside)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Exit Multiple Method</c:v>
              </c:pt>
              <c:pt idx="1">
                <c:v> PGG Method</c:v>
              </c:pt>
            </c:strLit>
          </c:cat>
          <c:val>
            <c:numRef>
              <c:f>('DCF Synergies'!$C$50,'DCF Synergies'!$C$64)</c:f>
              <c:numCache>
                <c:formatCode>0.00%</c:formatCode>
                <c:ptCount val="2"/>
                <c:pt idx="0">
                  <c:v>0</c:v>
                </c:pt>
                <c:pt idx="1">
                  <c:v>0</c:v>
                </c:pt>
              </c:numCache>
              <c:extLst/>
            </c:numRef>
          </c:val>
          <c:smooth val="0"/>
          <c:extLst>
            <c:ext xmlns:c16="http://schemas.microsoft.com/office/drawing/2014/chart" uri="{C3380CC4-5D6E-409C-BE32-E72D297353CC}">
              <c16:uniqueId val="{00000004-5A19-463B-A210-FE6AA519829A}"/>
            </c:ext>
          </c:extLst>
        </c:ser>
        <c:dLbls>
          <c:showLegendKey val="0"/>
          <c:showVal val="0"/>
          <c:showCatName val="0"/>
          <c:showSerName val="0"/>
          <c:showPercent val="0"/>
          <c:showBubbleSize val="0"/>
        </c:dLbls>
        <c:marker val="1"/>
        <c:smooth val="0"/>
        <c:axId val="1015546575"/>
        <c:axId val="1015925791"/>
      </c:lineChart>
      <c:catAx>
        <c:axId val="40872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728271"/>
        <c:crosses val="autoZero"/>
        <c:auto val="1"/>
        <c:lblAlgn val="ctr"/>
        <c:lblOffset val="100"/>
        <c:noMultiLvlLbl val="0"/>
      </c:catAx>
      <c:valAx>
        <c:axId val="408728271"/>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726831"/>
        <c:crosses val="autoZero"/>
        <c:crossBetween val="between"/>
      </c:valAx>
      <c:valAx>
        <c:axId val="101592579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546575"/>
        <c:crosses val="max"/>
        <c:crossBetween val="between"/>
      </c:valAx>
      <c:catAx>
        <c:axId val="1015546575"/>
        <c:scaling>
          <c:orientation val="minMax"/>
        </c:scaling>
        <c:delete val="1"/>
        <c:axPos val="b"/>
        <c:numFmt formatCode="General" sourceLinked="1"/>
        <c:majorTickMark val="out"/>
        <c:minorTickMark val="none"/>
        <c:tickLblPos val="nextTo"/>
        <c:crossAx val="101592579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180975</xdr:colOff>
      <xdr:row>12</xdr:row>
      <xdr:rowOff>4762</xdr:rowOff>
    </xdr:from>
    <xdr:to>
      <xdr:col>8</xdr:col>
      <xdr:colOff>485775</xdr:colOff>
      <xdr:row>26</xdr:row>
      <xdr:rowOff>80962</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171450</xdr:colOff>
      <xdr:row>27</xdr:row>
      <xdr:rowOff>100012</xdr:rowOff>
    </xdr:from>
    <xdr:to>
      <xdr:col>8</xdr:col>
      <xdr:colOff>476250</xdr:colOff>
      <xdr:row>41</xdr:row>
      <xdr:rowOff>176212</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371475</xdr:colOff>
      <xdr:row>27</xdr:row>
      <xdr:rowOff>128587</xdr:rowOff>
    </xdr:from>
    <xdr:to>
      <xdr:col>17</xdr:col>
      <xdr:colOff>66675</xdr:colOff>
      <xdr:row>42</xdr:row>
      <xdr:rowOff>14287</xdr:rowOff>
    </xdr:to>
    <xdr:graphicFrame macro="">
      <xdr:nvGraphicFramePr>
        <xdr:cNvPr id="6" name="Chart 5">
          <a:extLst>
            <a:ext uri="{FF2B5EF4-FFF2-40B4-BE49-F238E27FC236}">
              <a16:creationId xmlns:a16="http://schemas.microsoft.com/office/drawing/2014/main" id="{3ECB93ED-0648-7AB8-B2E8-3379FEEC9F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https://www.bing.com/financeapi/forcetrigger?t=a1mou2&amp;q=XNAS%3aAAPL&amp;form=skydnc</v>
    <v>Learn more on Bing</v>
  </rv>
  <rv s="1">
    <v>en-US</v>
    <v>a1mou2</v>
    <v>268435456</v>
    <v>1</v>
    <v>Powered by Refinitiv</v>
    <v>0</v>
    <v>APPLE INC. (XNAS:AAPL)</v>
    <v>2</v>
    <v>3</v>
    <v>Finance</v>
    <v>4</v>
    <v>199.62</v>
    <v>164.07499999999999</v>
    <v>1.2467999999999999</v>
    <v>0.03</v>
    <v>1.5800000000000002E-4</v>
    <v>1.5800000000000002E-4</v>
    <v>0.03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190.81</v>
    <v>Computers, Phones &amp; Household Electronics</v>
    <v>Stock</v>
    <v>45429.999951782032</v>
    <v>0</v>
    <v>189.18</v>
    <v>2911482000000</v>
    <v>APPLE INC.</v>
    <v>APPLE INC.</v>
    <v>189.51</v>
    <v>29.525099999999998</v>
    <v>189.84</v>
    <v>189.87</v>
    <v>189.9</v>
    <v>15334080000</v>
    <v>AAPL</v>
    <v>APPLE INC. (XNAS:AAPL)</v>
    <v>41282925</v>
    <v>65707004</v>
    <v>1977</v>
  </rv>
  <rv s="2">
    <v>1</v>
  </rv>
  <rv s="0">
    <v>https://www.bing.com/financeapi/forcetrigger?t=aaza2w&amp;q=XTSE%3aMRU&amp;form=skydnc</v>
    <v>Learn more on Bing</v>
  </rv>
  <rv s="1">
    <v>en-US</v>
    <v>aaza2w</v>
    <v>268435456</v>
    <v>1</v>
    <v>Powered by Refinitiv</v>
    <v>0</v>
    <v>METRO INC. (XTSE:MRU)</v>
    <v>2</v>
    <v>5</v>
    <v>Finance</v>
    <v>6</v>
    <v>76.44</v>
    <v>65.424999999999997</v>
    <v>5.7799999999999997E-2</v>
    <v>0.31</v>
    <v>0</v>
    <v>4.1670000000000006E-3</v>
    <v>0</v>
    <v>CAD</v>
    <v>Metro Inc. is a food and pharmacy retailers and distributors company. The Company, through its activities as a retailer, franchisor or distributor, and manufacturer operates or supplies a network of supermarkets, discount stores and drugstores. It operates 975 food stores under several banners, including Metro, Metro Plus, Super C and Food Basics, as well as 645 drugstores primarily under the Jean Coutu, Brunet, Metro Pharmacy and Food Basics Pharmacy banners. The Metro banner, with its 328 stores including 120 Metro Plus stores in Quebec is a supermarket chain. The Super C banner operates 102 discount stores in Quebec and offers a range of grocery products. Food Basics is a discount store providing quality products to customers in 143 locations across Ontario. The Food Basics Pharmacy banner is located in 30 Food Basics grocery stores. Its Food Basics Pharmacy is a full-service pharmacy and offers professional services, such as health reminders and medical profiles, among others.</v>
    <v>97000</v>
    <v>Toronto Stock Exchange</v>
    <v>XTSE</v>
    <v>XTSE</v>
    <v>11011 Maurice-Duplessis, MONTREAL, QC, H1C 1V6 CA</v>
    <v>74.75</v>
    <v>Food &amp; Drug Retailing</v>
    <v>Stock</v>
    <v>45429.833333333336</v>
    <v>3</v>
    <v>73.75</v>
    <v>16948650000</v>
    <v>METRO INC.</v>
    <v>METRO INC.</v>
    <v>74.319999999999993</v>
    <v>17.530100000000001</v>
    <v>74.400000000000006</v>
    <v>74.709999999999994</v>
    <v>74.709999999999994</v>
    <v>227009200</v>
    <v>MRU</v>
    <v>METRO INC. (XTSE:MRU)</v>
    <v>564071</v>
    <v>475420</v>
    <v>1994</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10</v>
      <v>2</v>
      <v>2</v>
      <v>10</v>
      <v>3</v>
      <v>10</v>
      <v>10</v>
      <v>10</v>
      <v>4</v>
      <v>4</v>
      <v>5</v>
      <v>11</v>
      <v>10</v>
      <v>10</v>
      <v>10</v>
      <v>4</v>
      <v>7</v>
      <v>8</v>
      <v>9</v>
      <v>4</v>
      <v>10</v>
      <v>10</v>
      <v>5</v>
    </spb>
    <spb s="5">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441FA-57F9-4599-BBEF-BB75D0E7693B}">
  <sheetPr codeName="Sheet1">
    <tabColor rgb="FF0070C0"/>
  </sheetPr>
  <dimension ref="B2:K11"/>
  <sheetViews>
    <sheetView showGridLines="0" workbookViewId="0">
      <selection activeCell="G3" sqref="G3"/>
    </sheetView>
  </sheetViews>
  <sheetFormatPr defaultRowHeight="15" x14ac:dyDescent="0.25"/>
  <sheetData>
    <row r="2" spans="2:11" x14ac:dyDescent="0.25">
      <c r="B2" s="2"/>
      <c r="C2" s="2"/>
      <c r="D2" s="2"/>
      <c r="E2" s="2"/>
      <c r="F2" s="2"/>
      <c r="G2" s="2"/>
      <c r="H2" s="2"/>
      <c r="I2" s="2"/>
      <c r="J2" s="2"/>
      <c r="K2" s="2"/>
    </row>
    <row r="3" spans="2:11" x14ac:dyDescent="0.25">
      <c r="B3" s="2"/>
      <c r="C3" s="2" t="s">
        <v>402</v>
      </c>
      <c r="D3" s="2"/>
      <c r="E3" s="2"/>
      <c r="F3" s="2"/>
      <c r="G3" s="323"/>
      <c r="H3" s="2"/>
      <c r="I3" s="2"/>
      <c r="J3" s="2"/>
      <c r="K3" s="2"/>
    </row>
    <row r="4" spans="2:11" x14ac:dyDescent="0.25">
      <c r="B4" s="2"/>
      <c r="C4" s="2"/>
      <c r="D4" s="2"/>
      <c r="E4" s="2"/>
      <c r="F4" s="2"/>
      <c r="G4" s="2"/>
      <c r="H4" s="2"/>
      <c r="I4" s="2"/>
      <c r="J4" s="2"/>
      <c r="K4" s="2"/>
    </row>
    <row r="5" spans="2:11" x14ac:dyDescent="0.25">
      <c r="B5" s="2"/>
      <c r="C5" s="2" t="s">
        <v>0</v>
      </c>
      <c r="D5" s="2"/>
      <c r="E5" s="2"/>
      <c r="F5" s="2"/>
      <c r="G5" s="2"/>
      <c r="H5" s="2"/>
      <c r="I5" s="2"/>
      <c r="J5" s="2"/>
      <c r="K5" s="2"/>
    </row>
    <row r="6" spans="2:11" x14ac:dyDescent="0.25">
      <c r="B6" s="2"/>
      <c r="C6" s="2" t="s">
        <v>1</v>
      </c>
      <c r="D6" s="2"/>
      <c r="E6" s="2"/>
      <c r="F6" s="2"/>
      <c r="G6" s="2"/>
      <c r="H6" s="2"/>
      <c r="I6" s="2"/>
      <c r="J6" s="2"/>
      <c r="K6" s="2"/>
    </row>
    <row r="7" spans="2:11" x14ac:dyDescent="0.25">
      <c r="B7" s="2"/>
      <c r="C7" s="2"/>
      <c r="D7" s="2"/>
      <c r="E7" s="2"/>
      <c r="F7" s="2"/>
      <c r="G7" s="2"/>
      <c r="H7" s="2"/>
      <c r="I7" s="2"/>
      <c r="J7" s="2"/>
      <c r="K7" s="2"/>
    </row>
    <row r="8" spans="2:11" ht="15" customHeight="1" x14ac:dyDescent="0.25">
      <c r="B8" s="2"/>
      <c r="C8" s="2" t="s">
        <v>2</v>
      </c>
      <c r="D8" s="323" t="s">
        <v>405</v>
      </c>
      <c r="E8" s="323" t="s">
        <v>406</v>
      </c>
      <c r="F8" s="2"/>
      <c r="G8" s="2"/>
      <c r="H8" s="2"/>
      <c r="I8" s="2"/>
      <c r="J8" s="2"/>
      <c r="K8" s="2"/>
    </row>
    <row r="9" spans="2:11" x14ac:dyDescent="0.25">
      <c r="B9" s="2"/>
      <c r="C9" s="2"/>
      <c r="D9" s="2"/>
      <c r="E9" s="2"/>
      <c r="F9" s="2"/>
      <c r="G9" s="2"/>
      <c r="H9" s="2"/>
      <c r="I9" s="2"/>
      <c r="J9" s="2"/>
      <c r="K9" s="2"/>
    </row>
    <row r="10" spans="2:11" x14ac:dyDescent="0.25">
      <c r="B10" s="2"/>
      <c r="C10" s="2" t="s">
        <v>3</v>
      </c>
      <c r="D10" s="2"/>
      <c r="E10" s="2"/>
      <c r="F10" s="2"/>
      <c r="G10" s="2"/>
      <c r="H10" s="2"/>
      <c r="I10" s="2"/>
      <c r="J10" s="2"/>
      <c r="K10" s="2"/>
    </row>
    <row r="11" spans="2:11" x14ac:dyDescent="0.25">
      <c r="B11" s="2"/>
      <c r="C11" s="2"/>
      <c r="D11" s="2"/>
      <c r="E11" s="2"/>
      <c r="F11" s="2"/>
      <c r="G11" s="2"/>
      <c r="H11" s="2"/>
      <c r="I11" s="2"/>
      <c r="J11" s="2"/>
      <c r="K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DFE4-3DD0-4193-A181-2912E856178C}">
  <sheetPr codeName="Sheet2"/>
  <dimension ref="B2:V89"/>
  <sheetViews>
    <sheetView topLeftCell="A60" zoomScaleNormal="100" workbookViewId="0">
      <selection activeCell="D87" sqref="D87"/>
    </sheetView>
  </sheetViews>
  <sheetFormatPr defaultRowHeight="15" x14ac:dyDescent="0.25"/>
  <cols>
    <col min="2" max="2" width="20.140625" customWidth="1"/>
    <col min="3" max="3" width="8.85546875" customWidth="1"/>
    <col min="4" max="4" width="9.28515625" bestFit="1" customWidth="1"/>
    <col min="8" max="8" width="10.5703125" bestFit="1" customWidth="1"/>
    <col min="21" max="21" width="11.140625" bestFit="1" customWidth="1"/>
  </cols>
  <sheetData>
    <row r="2" spans="2:22" x14ac:dyDescent="0.25">
      <c r="B2" s="1"/>
      <c r="C2" s="2" t="s">
        <v>4</v>
      </c>
      <c r="D2" s="2"/>
      <c r="E2" s="1"/>
      <c r="F2" s="1"/>
      <c r="G2" s="1"/>
      <c r="H2" s="1"/>
      <c r="P2" s="1"/>
      <c r="Q2" s="2"/>
      <c r="R2" s="1"/>
      <c r="S2" s="158" t="s">
        <v>5</v>
      </c>
      <c r="T2" s="1"/>
      <c r="U2" s="1"/>
      <c r="V2" s="1"/>
    </row>
    <row r="4" spans="2:22" x14ac:dyDescent="0.25">
      <c r="B4" t="s">
        <v>400</v>
      </c>
      <c r="D4" s="250" t="e" vm="1">
        <v>#VALUE!</v>
      </c>
      <c r="J4" t="s">
        <v>6</v>
      </c>
      <c r="N4" s="129" t="s">
        <v>7</v>
      </c>
      <c r="R4" s="143" t="str">
        <f>IF(N4="Yes","Override Disabled","Override Enabled")</f>
        <v>Override Disabled</v>
      </c>
    </row>
    <row r="6" spans="2:22" x14ac:dyDescent="0.25">
      <c r="B6" t="s">
        <v>8</v>
      </c>
      <c r="D6" s="129" t="str" cm="1">
        <f t="array" ref="D6">_FV(D4,"Official name",TRUE)</f>
        <v>APPLE INC.</v>
      </c>
      <c r="F6" t="s">
        <v>9</v>
      </c>
      <c r="H6" s="136" cm="1">
        <f t="array" ref="H6">_FV(D4,"Price")</f>
        <v>189.87</v>
      </c>
      <c r="P6" t="s">
        <v>8</v>
      </c>
      <c r="R6" s="129"/>
      <c r="T6" t="s">
        <v>9</v>
      </c>
      <c r="V6" s="136"/>
    </row>
    <row r="7" spans="2:22" x14ac:dyDescent="0.25">
      <c r="B7" t="s">
        <v>10</v>
      </c>
      <c r="D7" s="129" t="str" cm="1">
        <f t="array" ref="D7">_FV(D4,"Ticker symbol",TRUE)</f>
        <v>AAPL</v>
      </c>
      <c r="F7" t="s">
        <v>11</v>
      </c>
      <c r="H7" s="320" cm="1">
        <f t="array" ref="H7">(_FV(D4,"Shares outstanding",TRUE))/1000000</f>
        <v>15334.08</v>
      </c>
      <c r="P7" t="s">
        <v>10</v>
      </c>
      <c r="R7" s="129"/>
      <c r="T7" t="s">
        <v>11</v>
      </c>
      <c r="V7" s="320"/>
    </row>
    <row r="8" spans="2:22" x14ac:dyDescent="0.25">
      <c r="B8" t="s">
        <v>12</v>
      </c>
      <c r="D8" s="129" t="str" cm="1">
        <f t="array" ref="D8">_FV(D4,"Currency")</f>
        <v>USD</v>
      </c>
      <c r="P8" t="s">
        <v>12</v>
      </c>
      <c r="R8" s="129"/>
      <c r="T8" t="s">
        <v>13</v>
      </c>
      <c r="V8" s="139"/>
    </row>
    <row r="10" spans="2:22" x14ac:dyDescent="0.25">
      <c r="B10" t="s">
        <v>14</v>
      </c>
      <c r="D10" s="129"/>
      <c r="F10" t="s">
        <v>15</v>
      </c>
      <c r="H10" s="251">
        <v>0.21</v>
      </c>
    </row>
    <row r="11" spans="2:22" ht="30" x14ac:dyDescent="0.25">
      <c r="B11" s="128" t="str">
        <f ca="1">"Last Fiscal Year End Date if not "&amp;TEXT(DATE(YEAR(TODAY())-1,12,31),"dd-mmm-yy")</f>
        <v>Last Fiscal Year End Date if not 31-Dec-23</v>
      </c>
      <c r="D11" s="135"/>
    </row>
    <row r="12" spans="2:22" x14ac:dyDescent="0.25">
      <c r="B12" s="128"/>
      <c r="P12" s="1"/>
      <c r="Q12" s="1"/>
      <c r="R12" s="1"/>
      <c r="S12" s="158" t="s">
        <v>16</v>
      </c>
      <c r="T12" s="1"/>
      <c r="U12" s="1"/>
      <c r="V12" s="1"/>
    </row>
    <row r="13" spans="2:22" x14ac:dyDescent="0.25">
      <c r="B13" s="128" t="s">
        <v>17</v>
      </c>
      <c r="D13" s="250"/>
      <c r="F13" t="s">
        <v>18</v>
      </c>
      <c r="H13" s="129"/>
    </row>
    <row r="14" spans="2:22" x14ac:dyDescent="0.25">
      <c r="B14" s="128" t="s">
        <v>19</v>
      </c>
      <c r="D14" s="250"/>
      <c r="F14" t="s">
        <v>20</v>
      </c>
      <c r="H14" s="129"/>
      <c r="P14" t="s">
        <v>21</v>
      </c>
      <c r="R14" s="146" t="str">
        <f>IF(D69="Ok", "Ready", "Not Ready")</f>
        <v>Not Ready</v>
      </c>
      <c r="T14" t="s">
        <v>22</v>
      </c>
      <c r="V14" s="146" t="str" cm="1">
        <f t="array" ref="V14">IF(OR(D75:D78&lt;&gt;"Ok", H76:H77&lt;&gt;"Ok"), "Not Ready", "Ready")</f>
        <v>Not Ready</v>
      </c>
    </row>
    <row r="15" spans="2:22" x14ac:dyDescent="0.25">
      <c r="B15" s="128" t="s">
        <v>23</v>
      </c>
      <c r="D15" s="250"/>
      <c r="F15" t="s">
        <v>24</v>
      </c>
      <c r="H15" s="129"/>
      <c r="P15" t="s">
        <v>25</v>
      </c>
      <c r="R15" s="146" t="str" cm="1">
        <f t="array" ref="R15">IF(OR(D51:D55&lt;&gt;"Ok",H51:H55&lt;&gt; "Ok"), "Not Ready", "Ready")</f>
        <v>Ready</v>
      </c>
      <c r="T15" t="s">
        <v>26</v>
      </c>
      <c r="V15" s="146" t="str">
        <f>IF(OR(D82&lt;&gt;"Ok", H82&lt;&gt;"Ok"), "Not Ready", "Ready")</f>
        <v>Not Ready</v>
      </c>
    </row>
    <row r="16" spans="2:22" x14ac:dyDescent="0.25">
      <c r="B16" s="128" t="s">
        <v>27</v>
      </c>
      <c r="D16" s="250"/>
      <c r="F16" t="s">
        <v>28</v>
      </c>
      <c r="H16" s="129"/>
      <c r="P16" t="s">
        <v>29</v>
      </c>
      <c r="R16" s="146" t="str" cm="1">
        <f t="array" ref="R16">IF(OR(D59:D60&lt;&gt;"Ok", D63:D65&lt;&gt;"Ok", H59:H61&lt;&gt;"Ok", H63:H64&lt;&gt;"Ok"), "Not Ready", "Ready")</f>
        <v>Not Ready</v>
      </c>
      <c r="T16" t="s">
        <v>30</v>
      </c>
      <c r="V16" s="146" t="str" cm="1">
        <f t="array" ref="V16">IF(OR(H86:H89&lt;&gt;"Ok"), "Not Ready", "Ready")</f>
        <v>Not Ready</v>
      </c>
    </row>
    <row r="17" spans="2:22" x14ac:dyDescent="0.25">
      <c r="B17" s="128" t="s">
        <v>31</v>
      </c>
      <c r="D17" s="250"/>
      <c r="F17" t="s">
        <v>32</v>
      </c>
      <c r="H17" s="129"/>
    </row>
    <row r="19" spans="2:22" x14ac:dyDescent="0.25">
      <c r="B19" s="1"/>
      <c r="C19" s="2" t="s">
        <v>33</v>
      </c>
      <c r="D19" s="2"/>
      <c r="E19" s="1"/>
      <c r="F19" s="1"/>
      <c r="G19" s="1"/>
      <c r="H19" s="1"/>
      <c r="P19" s="114"/>
      <c r="Q19" s="114"/>
      <c r="R19" s="114"/>
      <c r="S19" s="181" t="s">
        <v>349</v>
      </c>
      <c r="T19" s="114"/>
      <c r="U19" s="114"/>
      <c r="V19" s="114"/>
    </row>
    <row r="21" spans="2:22" ht="15" customHeight="1" x14ac:dyDescent="0.25">
      <c r="B21" t="s">
        <v>34</v>
      </c>
      <c r="D21" s="155"/>
      <c r="F21" t="s">
        <v>35</v>
      </c>
      <c r="H21" s="316"/>
      <c r="P21" s="5"/>
      <c r="Q21" s="5"/>
      <c r="R21" s="158" t="s">
        <v>298</v>
      </c>
      <c r="S21" s="5"/>
      <c r="T21" s="5"/>
      <c r="V21" s="158" t="s">
        <v>50</v>
      </c>
    </row>
    <row r="22" spans="2:22" x14ac:dyDescent="0.25">
      <c r="B22" t="s">
        <v>36</v>
      </c>
      <c r="D22" s="251"/>
      <c r="F22" t="s">
        <v>37</v>
      </c>
      <c r="H22" s="252"/>
      <c r="V22" s="146" t="str">
        <f>IF(COUNTBLANK(T23:T25)=0, "OK", "Missing Values")</f>
        <v>Missing Values</v>
      </c>
    </row>
    <row r="23" spans="2:22" x14ac:dyDescent="0.25">
      <c r="F23" t="s">
        <v>38</v>
      </c>
      <c r="H23" s="252"/>
      <c r="P23" t="s">
        <v>294</v>
      </c>
      <c r="T23" s="132"/>
    </row>
    <row r="24" spans="2:22" x14ac:dyDescent="0.25">
      <c r="B24" t="str">
        <f ca="1">"Terminal EBITDA Multiple unchanged from " &amp; YEAR(DCF!C10) &amp; " Fiscal Year?"</f>
        <v>Terminal EBITDA Multiple unchanged from 2023 Fiscal Year?</v>
      </c>
      <c r="H24" s="129"/>
      <c r="P24" t="s">
        <v>295</v>
      </c>
      <c r="T24" s="132"/>
    </row>
    <row r="25" spans="2:22" x14ac:dyDescent="0.25">
      <c r="P25" t="s">
        <v>296</v>
      </c>
      <c r="T25" s="132"/>
    </row>
    <row r="26" spans="2:22" x14ac:dyDescent="0.25">
      <c r="B26" s="1"/>
      <c r="C26" s="2" t="s">
        <v>39</v>
      </c>
      <c r="D26" s="1"/>
      <c r="E26" s="1"/>
      <c r="F26" s="16" t="s">
        <v>40</v>
      </c>
      <c r="G26" s="1"/>
      <c r="H26" s="1"/>
    </row>
    <row r="27" spans="2:22" x14ac:dyDescent="0.25">
      <c r="P27" s="1"/>
      <c r="Q27" s="1"/>
      <c r="R27" s="158" t="s">
        <v>297</v>
      </c>
      <c r="S27" s="1"/>
      <c r="T27" s="1"/>
    </row>
    <row r="28" spans="2:22" x14ac:dyDescent="0.25">
      <c r="B28" t="s">
        <v>41</v>
      </c>
      <c r="F28" s="150"/>
      <c r="G28" s="150"/>
      <c r="H28" s="151"/>
      <c r="V28" s="146" t="str">
        <f>IF(COUNTBLANK(T29:T36)=0, "OK", "Missing Values")</f>
        <v>Missing Values</v>
      </c>
    </row>
    <row r="29" spans="2:22" x14ac:dyDescent="0.25">
      <c r="P29" t="s">
        <v>306</v>
      </c>
      <c r="T29" s="132"/>
    </row>
    <row r="30" spans="2:22" x14ac:dyDescent="0.25">
      <c r="B30" t="s">
        <v>42</v>
      </c>
      <c r="D30" s="151"/>
      <c r="F30" t="s">
        <v>43</v>
      </c>
      <c r="H30" s="151"/>
      <c r="J30" s="143" t="str">
        <f>IF(OR(AND(OR(D30="Yes", H30="Yes"), H28&lt;&gt;"Yes"), AND(H28="Yes", D30="No", H30="No")), "The company has detailed debts if they show their bonds/loans with IR, Year Due, and principal", " " )</f>
        <v xml:space="preserve"> </v>
      </c>
      <c r="P30" t="s">
        <v>317</v>
      </c>
      <c r="T30" s="132"/>
    </row>
    <row r="31" spans="2:22" x14ac:dyDescent="0.25">
      <c r="P31" t="s">
        <v>300</v>
      </c>
      <c r="T31" s="165"/>
    </row>
    <row r="32" spans="2:22" x14ac:dyDescent="0.25">
      <c r="B32" s="1"/>
      <c r="C32" s="2" t="s">
        <v>44</v>
      </c>
      <c r="D32" s="1"/>
      <c r="E32" s="1"/>
      <c r="F32" s="1"/>
      <c r="G32" s="1"/>
      <c r="H32" s="1"/>
      <c r="P32" t="s">
        <v>301</v>
      </c>
      <c r="T32" s="132"/>
    </row>
    <row r="33" spans="2:22" x14ac:dyDescent="0.25">
      <c r="P33" t="s">
        <v>302</v>
      </c>
      <c r="T33" s="132"/>
    </row>
    <row r="34" spans="2:22" x14ac:dyDescent="0.25">
      <c r="B34" s="130"/>
      <c r="C34" s="131" t="s">
        <v>45</v>
      </c>
      <c r="D34" s="130"/>
      <c r="E34" s="130"/>
      <c r="F34" s="134" t="s">
        <v>46</v>
      </c>
      <c r="G34" s="134"/>
      <c r="H34" s="130"/>
      <c r="P34" t="s">
        <v>303</v>
      </c>
      <c r="T34" s="129"/>
    </row>
    <row r="35" spans="2:22" x14ac:dyDescent="0.25">
      <c r="P35" t="s">
        <v>304</v>
      </c>
      <c r="T35" s="155"/>
    </row>
    <row r="36" spans="2:22" x14ac:dyDescent="0.25">
      <c r="B36" t="str">
        <f>IF(ISBLANK(D13), "Division 1", D13)</f>
        <v>Division 1</v>
      </c>
      <c r="D36" s="132"/>
      <c r="F36" t="str">
        <f>IF(ISBLANK(H13), "Division 6", H13)</f>
        <v>Division 6</v>
      </c>
      <c r="H36" s="132"/>
      <c r="P36" t="s">
        <v>305</v>
      </c>
      <c r="T36" s="132"/>
    </row>
    <row r="37" spans="2:22" x14ac:dyDescent="0.25">
      <c r="B37" t="str">
        <f>IF(ISBLANK(D14), "Division 2", D14)</f>
        <v>Division 2</v>
      </c>
      <c r="D37" s="132"/>
      <c r="F37" t="str">
        <f>IF(ISBLANK(H14), "Division 7", H14)</f>
        <v>Division 7</v>
      </c>
      <c r="H37" s="132"/>
    </row>
    <row r="38" spans="2:22" x14ac:dyDescent="0.25">
      <c r="B38" t="str">
        <f>IF(ISBLANK(D15), "Division 3", D15)</f>
        <v>Division 3</v>
      </c>
      <c r="D38" s="132"/>
      <c r="F38" t="str">
        <f>IF(ISBLANK(H15), "Division 8", H15)</f>
        <v>Division 8</v>
      </c>
      <c r="H38" s="132"/>
      <c r="P38" s="1"/>
      <c r="Q38" s="1"/>
      <c r="R38" s="158" t="s">
        <v>398</v>
      </c>
      <c r="S38" s="1"/>
      <c r="T38" s="1"/>
    </row>
    <row r="39" spans="2:22" x14ac:dyDescent="0.25">
      <c r="B39" t="str">
        <f>IF(ISBLANK(D16), "Division 4", D16)</f>
        <v>Division 4</v>
      </c>
      <c r="D39" s="132"/>
      <c r="F39" t="str">
        <f>IF(ISBLANK(H16), "Division 9", H16)</f>
        <v>Division 9</v>
      </c>
      <c r="H39" s="132"/>
      <c r="V39" s="146" t="str">
        <f>IF(COUNTBLANK(T40)+COUNTBLANK(T42:T46)+COUNTBLANK(T48:T54)=0, "OK", "Missing Values")</f>
        <v>Missing Values</v>
      </c>
    </row>
    <row r="40" spans="2:22" x14ac:dyDescent="0.25">
      <c r="B40" t="str">
        <f>IF(ISBLANK(D17), "Division 5", D17)</f>
        <v>Division 5</v>
      </c>
      <c r="D40" s="132"/>
      <c r="F40" t="str">
        <f>IF(ISBLANK(H17), "Division 10", H17)</f>
        <v>Division 10</v>
      </c>
      <c r="H40" s="132"/>
      <c r="P40" t="s">
        <v>400</v>
      </c>
      <c r="T40" s="129" t="e" vm="2">
        <v>#VALUE!</v>
      </c>
    </row>
    <row r="42" spans="2:22" x14ac:dyDescent="0.25">
      <c r="B42" s="130"/>
      <c r="C42" s="131" t="s">
        <v>47</v>
      </c>
      <c r="D42" s="130"/>
      <c r="E42" s="130"/>
      <c r="F42" s="134" t="s">
        <v>46</v>
      </c>
      <c r="G42" s="130"/>
      <c r="H42" s="130"/>
      <c r="P42" t="s">
        <v>8</v>
      </c>
      <c r="T42" s="129" t="str" cm="1">
        <f t="array" ref="T42">_FV(T40,"Official name",TRUE)</f>
        <v>METRO INC.</v>
      </c>
    </row>
    <row r="43" spans="2:22" x14ac:dyDescent="0.25">
      <c r="P43" t="s">
        <v>10</v>
      </c>
      <c r="T43" s="129" t="str" cm="1">
        <f t="array" ref="T43">_FV(T40,"Ticker symbol",TRUE)</f>
        <v>MRU</v>
      </c>
    </row>
    <row r="44" spans="2:22" x14ac:dyDescent="0.25">
      <c r="B44" t="s">
        <v>48</v>
      </c>
      <c r="D44" s="132"/>
      <c r="F44" t="s">
        <v>401</v>
      </c>
      <c r="H44" s="161"/>
      <c r="P44" t="s">
        <v>12</v>
      </c>
      <c r="T44" s="129" t="str" cm="1">
        <f t="array" ref="T44">_FV(T40,"Currency")</f>
        <v>CAD</v>
      </c>
    </row>
    <row r="45" spans="2:22" x14ac:dyDescent="0.25">
      <c r="B45" t="s">
        <v>49</v>
      </c>
      <c r="D45" s="132"/>
      <c r="H45" s="161"/>
      <c r="P45" t="s">
        <v>9</v>
      </c>
      <c r="T45" s="240" cm="1">
        <f t="array" ref="T45">_FV(T40,"Price")</f>
        <v>74.709999999999994</v>
      </c>
    </row>
    <row r="46" spans="2:22" x14ac:dyDescent="0.25">
      <c r="P46" t="s">
        <v>11</v>
      </c>
      <c r="T46" s="320" cm="1">
        <f t="array" ref="T46">_FV(T40,"Shares outstanding",TRUE)/1000000</f>
        <v>227.00919999999999</v>
      </c>
    </row>
    <row r="47" spans="2:22" x14ac:dyDescent="0.25">
      <c r="B47" s="1"/>
      <c r="C47" s="2" t="s">
        <v>50</v>
      </c>
      <c r="D47" s="1"/>
      <c r="E47" s="1"/>
      <c r="F47" s="1"/>
      <c r="G47" s="1"/>
      <c r="H47" s="1"/>
    </row>
    <row r="48" spans="2:22" x14ac:dyDescent="0.25">
      <c r="P48" t="str">
        <f>D6 &amp; " Take-Out Price"</f>
        <v>APPLE INC. Take-Out Price</v>
      </c>
      <c r="T48" s="129"/>
    </row>
    <row r="49" spans="2:20" x14ac:dyDescent="0.25">
      <c r="B49" s="130"/>
      <c r="C49" s="131" t="s">
        <v>51</v>
      </c>
      <c r="D49" s="130"/>
      <c r="E49" s="130"/>
      <c r="F49" s="134"/>
      <c r="G49" s="130"/>
      <c r="H49" s="130"/>
      <c r="P49" t="str">
        <f>"Tax Rate " &amp; T42</f>
        <v>Tax Rate METRO INC.</v>
      </c>
      <c r="T49" s="132"/>
    </row>
    <row r="50" spans="2:20" x14ac:dyDescent="0.25">
      <c r="P50" t="s">
        <v>352</v>
      </c>
      <c r="T50" s="129"/>
    </row>
    <row r="51" spans="2:20" x14ac:dyDescent="0.25">
      <c r="B51" t="str">
        <f>B36</f>
        <v>Division 1</v>
      </c>
      <c r="D51" s="146" t="str">
        <f>IF(B51="Division 1", IF(COUNTBLANK(Revenue_Build!C6:G6)=5,"OK", "Missing Name"), IF(COUNTBLANK(Revenue_Build!C6:G6)=0, "OK", "Missing Values"))</f>
        <v>OK</v>
      </c>
      <c r="F51" t="str">
        <f t="shared" ref="F51" si="0">F36</f>
        <v>Division 6</v>
      </c>
      <c r="H51" s="146" t="str">
        <f>IF(F51="Division 6", IF(COUNTBLANK(Revenue_Build!C21:G21)=5,"OK", "Missing Name"), IF(COUNTBLANK(Revenue_Build!C21:G21)=0, "OK", "Missing Values"))</f>
        <v>OK</v>
      </c>
      <c r="P51" t="str">
        <f ca="1">T42 &amp; " Cash on Hand in " &amp; DCF!H15</f>
        <v>METRO INC. Cash on Hand in 2023</v>
      </c>
      <c r="T51" s="129"/>
    </row>
    <row r="52" spans="2:20" x14ac:dyDescent="0.25">
      <c r="B52" t="str">
        <f t="shared" ref="B52:F55" si="1">B37</f>
        <v>Division 2</v>
      </c>
      <c r="D52" s="146" t="str">
        <f>IF(B52="Division 2", IF(COUNTBLANK(Revenue_Build!C9:G9)=5,"OK", "Missing Name"), IF(COUNTBLANK(Revenue_Build!C9:G9)=0, "OK", "Missing Values"))</f>
        <v>OK</v>
      </c>
      <c r="F52" t="str">
        <f t="shared" si="1"/>
        <v>Division 7</v>
      </c>
      <c r="H52" s="146" t="str">
        <f>IF(F52="Division 7", IF(COUNTBLANK(Revenue_Build!C24:G24)=5,"OK", "Missing Name"), IF(COUNTBLANK(Revenue_Build!C24:G24)=0, "OK", "Missing Values"))</f>
        <v>OK</v>
      </c>
      <c r="P52" t="s">
        <v>399</v>
      </c>
      <c r="T52" s="241"/>
    </row>
    <row r="53" spans="2:20" x14ac:dyDescent="0.25">
      <c r="B53" t="str">
        <f t="shared" si="1"/>
        <v>Division 3</v>
      </c>
      <c r="D53" s="146" t="str">
        <f>IF(B53="Division 3", IF(COUNTBLANK(Revenue_Build!C12:G12)=5,"OK", "Missing Name"), IF(COUNTBLANK(Revenue_Build!C12:G12)=0, "OK", "Missing Values"))</f>
        <v>OK</v>
      </c>
      <c r="F53" t="str">
        <f t="shared" si="1"/>
        <v>Division 8</v>
      </c>
      <c r="H53" s="146" t="str">
        <f>IF(F53="Division 8", IF(COUNTBLANK(Revenue_Build!C27:G27)=5,"OK", "Missing Name"), IF(COUNTBLANK(Revenue_Build!C27:G27)=0, "OK", "Missing Values"))</f>
        <v>OK</v>
      </c>
      <c r="P53" t="str">
        <f ca="1">T42 &amp; " EBITDA in " &amp; DCF!I15</f>
        <v>METRO INC. EBITDA in 2024</v>
      </c>
      <c r="T53" s="129"/>
    </row>
    <row r="54" spans="2:20" x14ac:dyDescent="0.25">
      <c r="B54" t="str">
        <f t="shared" si="1"/>
        <v>Division 4</v>
      </c>
      <c r="D54" s="146" t="str">
        <f>IF(B54="Division 4", IF(COUNTBLANK(Revenue_Build!C15:G15)=5,"OK", "Missing Name"), IF(COUNTBLANK(Revenue_Build!C15:G15)=0, "OK", "Missing Values"))</f>
        <v>OK</v>
      </c>
      <c r="F54" t="str">
        <f t="shared" si="1"/>
        <v>Division 9</v>
      </c>
      <c r="H54" s="146" t="str">
        <f>IF(F54="Division 9", IF(COUNTBLANK(Revenue_Build!C30:G30)=5,"OK", "Missing Name"), IF(COUNTBLANK(Revenue_Build!C30:G30)=0, "OK", "Missing Values"))</f>
        <v>OK</v>
      </c>
      <c r="P54" t="str">
        <f ca="1">T42 &amp; " Debt in " &amp; DCF!H15</f>
        <v>METRO INC. Debt in 2023</v>
      </c>
      <c r="T54" s="129"/>
    </row>
    <row r="55" spans="2:20" x14ac:dyDescent="0.25">
      <c r="B55" t="str">
        <f t="shared" si="1"/>
        <v>Division 5</v>
      </c>
      <c r="D55" s="146" t="str">
        <f>IF(B55="Division 5", IF(COUNTBLANK(Revenue_Build!C18:G18)=5,"OK", "Missing Name"), IF(COUNTBLANK(Revenue_Build!C18:G18)=0, "OK", "Missing Values"))</f>
        <v>OK</v>
      </c>
      <c r="F55" t="str">
        <f t="shared" si="1"/>
        <v>Division 10</v>
      </c>
      <c r="H55" s="146" t="str">
        <f>IF(F55="Division 10", IF(COUNTBLANK(Revenue_Build!C33:G33)=5,"OK", "Missing Name"), IF(COUNTBLANK(Revenue_Build!C33:G33)=0, "OK", "Missing Values"))</f>
        <v>OK</v>
      </c>
    </row>
    <row r="57" spans="2:20" x14ac:dyDescent="0.25">
      <c r="B57" s="130"/>
      <c r="C57" s="131" t="s">
        <v>52</v>
      </c>
      <c r="D57" s="130"/>
      <c r="E57" s="130"/>
      <c r="F57" s="134"/>
      <c r="G57" s="130"/>
      <c r="H57" s="130"/>
    </row>
    <row r="59" spans="2:20" x14ac:dyDescent="0.25">
      <c r="B59" t="str">
        <f>Operating_Model!B48</f>
        <v>Cost of Goods Sold</v>
      </c>
      <c r="D59" s="146" t="str">
        <f>IF(COUNTBLANK(Operating_Model!D48:H48)=0, "OK", "Missing Values")</f>
        <v>Missing Values</v>
      </c>
      <c r="F59" t="str">
        <f>Operating_Model!B59</f>
        <v>SG&amp;A</v>
      </c>
      <c r="H59" s="146" t="str">
        <f>IF(COUNTBLANK(Operating_Model!D59:H59)=0, "OK", "Missing Values")</f>
        <v>Missing Values</v>
      </c>
    </row>
    <row r="60" spans="2:20" x14ac:dyDescent="0.25">
      <c r="B60" t="str">
        <f>Operating_Model!B51</f>
        <v>Cost of Services Sold</v>
      </c>
      <c r="D60" s="146" t="str">
        <f>IF(COUNTBLANK(Operating_Model!D51:H51)=0, "OK", "Missing Values")</f>
        <v>Missing Values</v>
      </c>
      <c r="F60" t="str">
        <f>Operating_Model!B62</f>
        <v>Research and Development</v>
      </c>
      <c r="H60" s="146" t="str">
        <f>IF(COUNTBLANK(Operating_Model!D62:H62)=0, "OK", "Missing Values")</f>
        <v>Missing Values</v>
      </c>
    </row>
    <row r="61" spans="2:20" x14ac:dyDescent="0.25">
      <c r="D61" s="146"/>
      <c r="F61" t="str">
        <f>Operating_Model!B65</f>
        <v>Other Fixed Costs</v>
      </c>
      <c r="H61" s="146" t="str">
        <f>IF(COUNTBLANK(Operating_Model!D65:H65)=0, "OK", "Missing Values")</f>
        <v>Missing Values</v>
      </c>
    </row>
    <row r="62" spans="2:20" x14ac:dyDescent="0.25">
      <c r="D62" s="146"/>
      <c r="H62" s="146"/>
    </row>
    <row r="63" spans="2:20" x14ac:dyDescent="0.25">
      <c r="B63" t="str">
        <f>Operating_Model!B71</f>
        <v>Other Income</v>
      </c>
      <c r="D63" s="146" t="str">
        <f>IF(COUNTBLANK(Operating_Model!D71:H71)=0, "OK", "Missing Values")</f>
        <v>Missing Values</v>
      </c>
      <c r="F63" t="str">
        <f>Operating_Model!B91</f>
        <v>Interest Expenses</v>
      </c>
      <c r="H63" s="146" t="str">
        <f>IF(COUNTBLANK(Operating_Model!D91:H91)=0, "OK", "Missing Values")</f>
        <v>Missing Values</v>
      </c>
    </row>
    <row r="64" spans="2:20" x14ac:dyDescent="0.25">
      <c r="B64" t="str">
        <f>Operating_Model!B81</f>
        <v>Depreciation</v>
      </c>
      <c r="D64" s="146" t="str">
        <f>IF(COUNTBLANK(Operating_Model!D81:H81)=0, "OK", "Missing Values")</f>
        <v>Missing Values</v>
      </c>
      <c r="F64" t="str">
        <f>Operating_Model!B100</f>
        <v>Taxes</v>
      </c>
      <c r="H64" s="146" t="str">
        <f>IF(COUNTBLANK(Operating_Model!D100:H100)=0, "OK", "Missing Values")</f>
        <v>Missing Values</v>
      </c>
    </row>
    <row r="65" spans="2:8" x14ac:dyDescent="0.25">
      <c r="B65" t="str">
        <f>Operating_Model!B82</f>
        <v>Amortisation</v>
      </c>
      <c r="D65" s="146" t="str">
        <f>IF(COUNTBLANK(Operating_Model!D82:H82)=0, "OK", "Missing Values")</f>
        <v>Missing Values</v>
      </c>
    </row>
    <row r="67" spans="2:8" x14ac:dyDescent="0.25">
      <c r="B67" s="130"/>
      <c r="C67" s="131" t="s">
        <v>53</v>
      </c>
      <c r="D67" s="130"/>
      <c r="E67" s="130"/>
      <c r="F67" s="130"/>
      <c r="G67" s="130"/>
      <c r="H67" s="130"/>
    </row>
    <row r="69" spans="2:8" x14ac:dyDescent="0.25">
      <c r="B69" t="s">
        <v>54</v>
      </c>
      <c r="D69" s="146" t="str">
        <f>IF(COUNTBLANK(DCF!D29:H29)=0, "OK", "Missing Values")</f>
        <v>Missing Values</v>
      </c>
      <c r="H69" s="146"/>
    </row>
    <row r="71" spans="2:8" x14ac:dyDescent="0.25">
      <c r="B71" s="130"/>
      <c r="C71" s="131" t="s">
        <v>55</v>
      </c>
      <c r="D71" s="130"/>
      <c r="E71" s="130"/>
      <c r="F71" s="130"/>
      <c r="G71" s="130"/>
      <c r="H71" s="130"/>
    </row>
    <row r="73" spans="2:8" x14ac:dyDescent="0.25">
      <c r="B73" s="142"/>
      <c r="C73" s="147" t="s">
        <v>56</v>
      </c>
      <c r="D73" s="142"/>
      <c r="E73" s="142"/>
      <c r="F73" s="148" t="s">
        <v>57</v>
      </c>
      <c r="G73" s="142"/>
      <c r="H73" s="142"/>
    </row>
    <row r="75" spans="2:8" x14ac:dyDescent="0.25">
      <c r="B75" t="str">
        <f>Net_Working_Capital!B7</f>
        <v>Cash</v>
      </c>
      <c r="D75" s="146" t="str">
        <f>IF(COUNTBLANK(Net_Working_Capital!C7:H7)=0, "OK", "Missing Values")</f>
        <v>Missing Values</v>
      </c>
    </row>
    <row r="76" spans="2:8" x14ac:dyDescent="0.25">
      <c r="B76" t="str">
        <f>Net_Working_Capital!B8</f>
        <v>Account Receivable</v>
      </c>
      <c r="D76" s="146" t="str">
        <f>IF(COUNTBLANK(Net_Working_Capital!C8:H8)=0, "OK", "Missing Values")</f>
        <v>Missing Values</v>
      </c>
      <c r="F76" t="str">
        <f>Net_Working_Capital!B15</f>
        <v>Accounts Payable</v>
      </c>
      <c r="H76" s="146" t="str">
        <f>IF(COUNTBLANK(Net_Working_Capital!C15:H15)=0, "OK", "Missing Values")</f>
        <v>Missing Values</v>
      </c>
    </row>
    <row r="77" spans="2:8" x14ac:dyDescent="0.25">
      <c r="B77" t="str">
        <f>Net_Working_Capital!B10</f>
        <v>Inventory</v>
      </c>
      <c r="D77" s="146" t="str">
        <f>IF(COUNTBLANK(Net_Working_Capital!C10:H10)=0, "OK", "Missing Values")</f>
        <v>Missing Values</v>
      </c>
      <c r="F77" t="str">
        <f>Net_Working_Capital!B17</f>
        <v>Other Liabilities excluding debts</v>
      </c>
      <c r="H77" s="146" t="str">
        <f>IF(COUNTBLANK(Net_Working_Capital!C17:H17)=0, "OK", "Missing Values")</f>
        <v>Missing Values</v>
      </c>
    </row>
    <row r="78" spans="2:8" x14ac:dyDescent="0.25">
      <c r="B78" t="str">
        <f>Net_Working_Capital!B12</f>
        <v>Other Current Assets</v>
      </c>
      <c r="D78" s="146" t="str">
        <f>IF(COUNTBLANK(Net_Working_Capital!C12:H12)=0, "OK", "Missing Values")</f>
        <v>Missing Values</v>
      </c>
    </row>
    <row r="80" spans="2:8" x14ac:dyDescent="0.25">
      <c r="B80" s="142"/>
      <c r="C80" s="147" t="s">
        <v>58</v>
      </c>
      <c r="D80" s="142"/>
      <c r="E80" s="142"/>
      <c r="F80" s="148" t="s">
        <v>59</v>
      </c>
      <c r="G80" s="142"/>
      <c r="H80" s="142"/>
    </row>
    <row r="82" spans="2:8" x14ac:dyDescent="0.25">
      <c r="B82" t="str">
        <f>'D&amp;A+CAPEX'!B8</f>
        <v>PP&amp;E</v>
      </c>
      <c r="D82" s="146" t="str">
        <f>IF(COUNTBLANK('D&amp;A+CAPEX'!D8:H8)=0, "OK", "Missing Values")</f>
        <v>Missing Values</v>
      </c>
      <c r="F82" t="str">
        <f>'D&amp;A+CAPEX'!B35</f>
        <v>Intangible assets</v>
      </c>
      <c r="H82" s="146" t="str">
        <f>IF(COUNTBLANK('D&amp;A+CAPEX'!D35:H35)=0, "OK", "Missing Values")</f>
        <v>Missing Values</v>
      </c>
    </row>
    <row r="84" spans="2:8" x14ac:dyDescent="0.25">
      <c r="B84" s="142"/>
      <c r="C84" s="147" t="s">
        <v>60</v>
      </c>
      <c r="D84" s="142"/>
      <c r="E84" s="142"/>
      <c r="F84" s="148" t="s">
        <v>61</v>
      </c>
      <c r="G84" s="142"/>
      <c r="H84" s="142"/>
    </row>
    <row r="86" spans="2:8" x14ac:dyDescent="0.25">
      <c r="B86" t="s">
        <v>62</v>
      </c>
      <c r="D86" s="146" t="str">
        <f>Debt_Schedule!Y15</f>
        <v>Balanced</v>
      </c>
      <c r="F86" t="s">
        <v>63</v>
      </c>
      <c r="H86" s="146" t="str">
        <f>IF(OR(COUNTBLANK(Debt_Schedule!C4:C23)&lt;&gt;COUNTBLANK(Debt_Schedule!D4:D23), COUNTBLANK(Debt_Schedule!C4:C23)&lt;&gt;COUNTBLANK(Debt_Schedule!F4:F23), COUNTBLANK(Debt_Schedule!D4:D23)&lt;&gt;COUNTBLANK(Debt_Schedule!F4:F23)), "Missing Values", "Ok")</f>
        <v>Ok</v>
      </c>
    </row>
    <row r="87" spans="2:8" x14ac:dyDescent="0.25">
      <c r="B87" t="str">
        <f>"Use Backup? " &amp; IF(D86="Balanced", , "(Recommended)")</f>
        <v xml:space="preserve">Use Backup? </v>
      </c>
      <c r="D87" s="151"/>
      <c r="F87" t="s">
        <v>64</v>
      </c>
      <c r="H87" s="146" t="str">
        <f>IF(OR(COUNTBLANK(Debt_Schedule!L4:L23)&lt;&gt;COUNTBLANK(Debt_Schedule!M4:M23), COUNTBLANK(Debt_Schedule!L4:L23)&lt;&gt;COUNTBLANK(Debt_Schedule!O4:O23), COUNTBLANK(Debt_Schedule!M4:M23)&lt;&gt;COUNTBLANK(Debt_Schedule!O4:O23)), "Missing Values", "Ok")</f>
        <v>Ok</v>
      </c>
    </row>
    <row r="88" spans="2:8" x14ac:dyDescent="0.25">
      <c r="F88" t="s">
        <v>65</v>
      </c>
      <c r="H88" s="146" t="str">
        <f>IF(COUNTBLANK(Debt_Schedule!U9:Y9)=0, "OK", "Missing Values")</f>
        <v>Missing Values</v>
      </c>
    </row>
    <row r="89" spans="2:8" x14ac:dyDescent="0.25">
      <c r="F89" t="s">
        <v>66</v>
      </c>
      <c r="H89" s="146" t="str">
        <f>IF(COUNTBLANK(Debt_Schedule!U11:Y11)=0, "OK", "Missing Values")</f>
        <v>Missing Values</v>
      </c>
    </row>
  </sheetData>
  <phoneticPr fontId="30" type="noConversion"/>
  <conditionalFormatting sqref="A1:XFD18 P19:V54 A19:O58 W19:XFD58 A59:XFD1048576">
    <cfRule type="expression" dxfId="7" priority="18">
      <formula>ISNUMBER(SEARCH("OK", A1))</formula>
    </cfRule>
  </conditionalFormatting>
  <conditionalFormatting sqref="A59:XFD1048576 A1:XFD18 P19:V54 A19:O58 W19:XFD58">
    <cfRule type="expression" dxfId="6" priority="16">
      <formula>OR(ISNUMBER(SEARCH("Missing Values", A1)), ISNUMBER(SEARCH("Missing Name", A1)))</formula>
    </cfRule>
  </conditionalFormatting>
  <conditionalFormatting sqref="D86">
    <cfRule type="expression" dxfId="5" priority="10">
      <formula>SEARCH("Unbalanced", $D$86)</formula>
    </cfRule>
    <cfRule type="expression" dxfId="4" priority="12">
      <formula>SEARCH("Balanced", $D$86)</formula>
    </cfRule>
  </conditionalFormatting>
  <conditionalFormatting sqref="R14:V16">
    <cfRule type="expression" dxfId="3" priority="1">
      <formula>EXACT(R14, "Not Ready")</formula>
    </cfRule>
    <cfRule type="expression" dxfId="2" priority="3">
      <formula>EXACT(R14, "Ready")</formula>
    </cfRule>
  </conditionalFormatting>
  <dataValidations count="2">
    <dataValidation type="list" allowBlank="1" showInputMessage="1" showErrorMessage="1" errorTitle="Invalid Input" error="Please only answer &quot;Yes&quot; or &quot;No&quot; to this question" sqref="H24 N4" xr:uid="{3512FD51-E462-4E24-8C36-2CFF599F2CBB}">
      <formula1>"Yes,No"</formula1>
    </dataValidation>
    <dataValidation type="list" allowBlank="1" showInputMessage="1" showErrorMessage="1" errorTitle="Invalid Input" error="Please only answer &quot;Yes&quot; or &quot;No&quot; to this question." sqref="H28 D30 H30 D87" xr:uid="{0D516820-8601-470D-A6BD-451D3FC63C84}">
      <formula1>"Yes,No"</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CA004-9846-4030-8CAB-6FA255D2AEE0}">
  <sheetPr codeName="Sheet15"/>
  <dimension ref="B2:O9"/>
  <sheetViews>
    <sheetView workbookViewId="0">
      <selection activeCell="E6" sqref="E6"/>
    </sheetView>
  </sheetViews>
  <sheetFormatPr defaultRowHeight="15" x14ac:dyDescent="0.25"/>
  <cols>
    <col min="10" max="10" width="10.5703125" bestFit="1" customWidth="1"/>
  </cols>
  <sheetData>
    <row r="2" spans="2:15" x14ac:dyDescent="0.25">
      <c r="B2" s="2" t="str">
        <f>DCF!B2</f>
        <v>APPLE INC.</v>
      </c>
      <c r="C2" s="1"/>
      <c r="D2" s="1"/>
      <c r="E2" s="1"/>
      <c r="F2" s="1"/>
      <c r="G2" s="1"/>
      <c r="H2" s="1"/>
      <c r="I2" s="1"/>
      <c r="J2" s="1"/>
    </row>
    <row r="3" spans="2:15" x14ac:dyDescent="0.25">
      <c r="B3" s="2" t="s">
        <v>67</v>
      </c>
      <c r="C3" s="1"/>
      <c r="D3" s="1"/>
      <c r="E3" s="1"/>
      <c r="F3" s="153" t="s">
        <v>68</v>
      </c>
      <c r="G3" s="1"/>
      <c r="H3" s="1"/>
      <c r="I3" s="154" t="s">
        <v>69</v>
      </c>
      <c r="J3" s="1"/>
    </row>
    <row r="4" spans="2:15" x14ac:dyDescent="0.25">
      <c r="B4" s="2" t="str" cm="1">
        <f t="array" ref="B4">IF(OR(Hub!R14:R16&lt;&gt;"Ok", Hub!V14:V16&lt;&gt;"Ok"), "Model Not Complete", "Model Completed")</f>
        <v>Model Not Complete</v>
      </c>
      <c r="C4" s="1"/>
      <c r="D4" s="1"/>
      <c r="E4" s="1"/>
      <c r="F4" s="1"/>
      <c r="G4" s="1"/>
      <c r="H4" s="1"/>
      <c r="I4" s="1"/>
      <c r="J4" s="1"/>
    </row>
    <row r="6" spans="2:15" x14ac:dyDescent="0.25">
      <c r="B6" t="s">
        <v>48</v>
      </c>
      <c r="E6" s="330"/>
      <c r="G6" t="s">
        <v>37</v>
      </c>
      <c r="J6" s="314"/>
      <c r="L6" t="s">
        <v>294</v>
      </c>
      <c r="O6" s="164"/>
    </row>
    <row r="7" spans="2:15" x14ac:dyDescent="0.25">
      <c r="B7" t="s">
        <v>49</v>
      </c>
      <c r="E7" s="314"/>
      <c r="G7" t="s">
        <v>70</v>
      </c>
      <c r="J7" s="314"/>
      <c r="L7" t="s">
        <v>295</v>
      </c>
      <c r="O7" s="164"/>
    </row>
    <row r="8" spans="2:15" x14ac:dyDescent="0.25">
      <c r="B8" t="s">
        <v>71</v>
      </c>
      <c r="E8" s="314"/>
      <c r="G8" t="s">
        <v>72</v>
      </c>
      <c r="J8" s="258"/>
      <c r="L8" t="s">
        <v>296</v>
      </c>
      <c r="O8" s="164"/>
    </row>
    <row r="9" spans="2:15" x14ac:dyDescent="0.25">
      <c r="B9" t="s">
        <v>73</v>
      </c>
      <c r="E9" s="162"/>
      <c r="G9" t="s">
        <v>74</v>
      </c>
      <c r="J9" s="163"/>
    </row>
  </sheetData>
  <dataValidations count="1">
    <dataValidation type="list" allowBlank="1" showInputMessage="1" showErrorMessage="1" errorTitle="Invalid Input" error="Please input only &quot;Yes&quot; or &quot;No&quot; to answer this question." sqref="I3" xr:uid="{0B27793B-7477-4C86-A1B2-D46832AC5310}">
      <formula1>"Yes,No"</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550A-2A71-4738-B4EC-C675F0625ABA}">
  <sheetPr codeName="Sheet14">
    <tabColor rgb="FF0070C0"/>
  </sheetPr>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CD410-ED46-4A8A-B4E4-59752DF6643A}">
  <sheetPr codeName="Sheet3"/>
  <dimension ref="B2:Z73"/>
  <sheetViews>
    <sheetView tabSelected="1" topLeftCell="A45" zoomScaleNormal="100" workbookViewId="0">
      <selection activeCell="J57" sqref="J57"/>
    </sheetView>
  </sheetViews>
  <sheetFormatPr defaultRowHeight="15" x14ac:dyDescent="0.25"/>
  <cols>
    <col min="2" max="2" width="32.42578125" customWidth="1"/>
    <col min="3" max="3" width="13.28515625" bestFit="1" customWidth="1"/>
    <col min="4" max="4" width="11.5703125" customWidth="1"/>
    <col min="5" max="5" width="11.5703125" bestFit="1" customWidth="1"/>
    <col min="6" max="8" width="11.85546875" bestFit="1" customWidth="1"/>
    <col min="9" max="18" width="11.7109375" bestFit="1" customWidth="1"/>
    <col min="22" max="26" width="12.140625" bestFit="1" customWidth="1"/>
  </cols>
  <sheetData>
    <row r="2" spans="2:18" ht="15.75" thickBot="1" x14ac:dyDescent="0.3">
      <c r="B2" s="6" t="str">
        <f>IF(Hub!N4="No", Hub!R6, Hub!D6)</f>
        <v>APPLE INC.</v>
      </c>
      <c r="C2" s="6" t="s">
        <v>75</v>
      </c>
      <c r="D2" s="19"/>
      <c r="E2" s="19"/>
      <c r="F2" s="19"/>
      <c r="G2" s="19"/>
      <c r="H2" s="19"/>
      <c r="I2" s="19"/>
      <c r="J2" s="19"/>
      <c r="K2" s="19"/>
      <c r="L2" s="19"/>
      <c r="M2" s="19"/>
      <c r="N2" s="19"/>
      <c r="O2" s="19"/>
      <c r="P2" s="19"/>
      <c r="Q2" s="19"/>
      <c r="R2" s="19"/>
    </row>
    <row r="3" spans="2:18" ht="15.75" thickTop="1" x14ac:dyDescent="0.25">
      <c r="B3" t="s">
        <v>76</v>
      </c>
    </row>
    <row r="4" spans="2:18" x14ac:dyDescent="0.25">
      <c r="B4" t="s">
        <v>77</v>
      </c>
      <c r="G4" s="121" t="str">
        <f>IF(Dashboard!I3="Yes", "Dashboard Master Override Enabled", "Dashboard Master Override Disabled")</f>
        <v>Dashboard Master Override Disabled</v>
      </c>
    </row>
    <row r="7" spans="2:18" x14ac:dyDescent="0.25">
      <c r="B7" s="2" t="s">
        <v>78</v>
      </c>
      <c r="C7" s="2"/>
      <c r="D7" s="1"/>
      <c r="E7" s="1"/>
      <c r="F7" s="1"/>
      <c r="G7" s="1"/>
      <c r="H7" s="1"/>
      <c r="I7" s="1"/>
      <c r="J7" s="1"/>
      <c r="K7" s="1"/>
      <c r="L7" s="1"/>
      <c r="M7" s="1"/>
      <c r="N7" s="1"/>
      <c r="O7" s="1"/>
      <c r="P7" s="1"/>
      <c r="Q7" s="1"/>
      <c r="R7" s="1"/>
    </row>
    <row r="9" spans="2:18" x14ac:dyDescent="0.25">
      <c r="B9" t="s">
        <v>79</v>
      </c>
      <c r="C9" s="20">
        <f ca="1">IF(ISBLANK(Hub!D10), TODAY(), Hub!D10)</f>
        <v>45431</v>
      </c>
      <c r="E9" t="s">
        <v>80</v>
      </c>
      <c r="H9" s="280">
        <f>H22</f>
        <v>0</v>
      </c>
      <c r="J9" t="s">
        <v>36</v>
      </c>
      <c r="M9" s="125">
        <f>IF(Dashboard!I3="Yes", Dashboard!E8, Hub!D22)</f>
        <v>0</v>
      </c>
    </row>
    <row r="10" spans="2:18" x14ac:dyDescent="0.25">
      <c r="B10" t="s">
        <v>81</v>
      </c>
      <c r="C10" s="20">
        <f ca="1">IF(ISBLANK(Hub!D11), DATE(YEAR(C9)-1,12,31),Hub!D11)</f>
        <v>45291</v>
      </c>
      <c r="E10" t="s">
        <v>82</v>
      </c>
      <c r="H10" s="22">
        <f>IF(Dashboard!I3="Yes", Dashboard!E9, IF(Hub!H24="Yes", ((M10*M11-Net_Working_Capital!H7+Debt_Schedule!Y41)/H22), Hub!D21))</f>
        <v>0</v>
      </c>
      <c r="J10" t="s">
        <v>11</v>
      </c>
      <c r="M10" s="280">
        <f>IF(Dashboard!I3="YES", Dashboard!J8, IF(Hub!N4="No", Hub!V7, Hub!H7))</f>
        <v>15334.08</v>
      </c>
    </row>
    <row r="11" spans="2:18" x14ac:dyDescent="0.25">
      <c r="B11" t="s">
        <v>15</v>
      </c>
      <c r="C11" s="108">
        <f>Hub!H10</f>
        <v>0.21</v>
      </c>
      <c r="E11" t="s">
        <v>48</v>
      </c>
      <c r="H11" s="125" t="e">
        <f>IF(Dashboard!I3="Yes", Dashboard!E6, IF(ISBLANK(Hub!D44), WACC_Calculator!D4, Hub!D44))</f>
        <v>#DIV/0!</v>
      </c>
      <c r="J11" t="s">
        <v>83</v>
      </c>
      <c r="M11" s="315">
        <f>IF(Dashboard!I3="Yes", Dashboard!J9, IF(Hub!N4="No", Hub!V6, Hub!H6))</f>
        <v>189.87</v>
      </c>
    </row>
    <row r="12" spans="2:18" x14ac:dyDescent="0.25">
      <c r="B12" t="s">
        <v>84</v>
      </c>
      <c r="C12" s="125">
        <f>IF(Dashboard!I3="Yes", Dashboard!J7, Hub!H23)</f>
        <v>0</v>
      </c>
      <c r="E12" t="s">
        <v>49</v>
      </c>
      <c r="H12" s="125" t="e">
        <f>IF(Dashboard!I3="Yes", Dashboard!E7, IF(ISBLANK(Hub!D45), IF(ISBLANK(Hub!D44), WACC_Calculator!D4, Hub!D44), Hub!D45))</f>
        <v>#DIV/0!</v>
      </c>
      <c r="J12" t="s">
        <v>37</v>
      </c>
      <c r="M12" s="125">
        <f>IF(Dashboard!I3="YES", Dashboard!J6, Hub!H22)</f>
        <v>0</v>
      </c>
    </row>
    <row r="14" spans="2:18" x14ac:dyDescent="0.25">
      <c r="D14" s="5"/>
      <c r="E14" s="1"/>
      <c r="F14" s="2" t="s">
        <v>85</v>
      </c>
      <c r="G14" s="1"/>
      <c r="H14" s="1"/>
      <c r="I14" s="4"/>
      <c r="J14" s="3"/>
      <c r="K14" s="3" t="s">
        <v>86</v>
      </c>
      <c r="L14" s="3"/>
      <c r="M14" s="3"/>
      <c r="N14" s="3"/>
      <c r="O14" s="3"/>
      <c r="P14" s="3"/>
      <c r="Q14" s="3"/>
      <c r="R14" s="3"/>
    </row>
    <row r="15" spans="2:18" x14ac:dyDescent="0.25">
      <c r="D15" s="7">
        <f ca="1">YEAR(D16)</f>
        <v>2019</v>
      </c>
      <c r="E15" s="7">
        <f t="shared" ref="E15:H15" ca="1" si="0">YEAR(E16)</f>
        <v>2020</v>
      </c>
      <c r="F15" s="7">
        <f t="shared" ca="1" si="0"/>
        <v>2021</v>
      </c>
      <c r="G15" s="7">
        <f t="shared" ca="1" si="0"/>
        <v>2022</v>
      </c>
      <c r="H15" s="7">
        <f t="shared" ca="1" si="0"/>
        <v>2023</v>
      </c>
      <c r="I15" s="8">
        <f ca="1">YEAR(I16)</f>
        <v>2024</v>
      </c>
      <c r="J15" s="8">
        <f t="shared" ref="J15:R15" ca="1" si="1">YEAR(J16)</f>
        <v>2025</v>
      </c>
      <c r="K15" s="8">
        <f t="shared" ca="1" si="1"/>
        <v>2026</v>
      </c>
      <c r="L15" s="8">
        <f t="shared" ca="1" si="1"/>
        <v>2027</v>
      </c>
      <c r="M15" s="8">
        <f t="shared" ca="1" si="1"/>
        <v>2028</v>
      </c>
      <c r="N15" s="8">
        <f t="shared" ca="1" si="1"/>
        <v>2029</v>
      </c>
      <c r="O15" s="8">
        <f t="shared" ca="1" si="1"/>
        <v>2030</v>
      </c>
      <c r="P15" s="8">
        <f t="shared" ca="1" si="1"/>
        <v>2031</v>
      </c>
      <c r="Q15" s="8">
        <f t="shared" ca="1" si="1"/>
        <v>2032</v>
      </c>
      <c r="R15" s="8">
        <f t="shared" ca="1" si="1"/>
        <v>2033</v>
      </c>
    </row>
    <row r="16" spans="2:18" x14ac:dyDescent="0.25">
      <c r="D16" s="9">
        <f t="shared" ref="D16:F16" ca="1" si="2">EOMONTH(E16,-12)</f>
        <v>43830</v>
      </c>
      <c r="E16" s="9">
        <f t="shared" ca="1" si="2"/>
        <v>44196</v>
      </c>
      <c r="F16" s="9">
        <f t="shared" ca="1" si="2"/>
        <v>44561</v>
      </c>
      <c r="G16" s="9">
        <f ca="1">EOMONTH(H16,-12)</f>
        <v>44926</v>
      </c>
      <c r="H16" s="9">
        <f ca="1">C10</f>
        <v>45291</v>
      </c>
      <c r="I16" s="9">
        <f ca="1">EOMONTH(H16,12)</f>
        <v>45657</v>
      </c>
      <c r="J16" s="9">
        <f t="shared" ref="J16:M16" ca="1" si="3">EOMONTH(I16,12)</f>
        <v>46022</v>
      </c>
      <c r="K16" s="9">
        <f t="shared" ca="1" si="3"/>
        <v>46387</v>
      </c>
      <c r="L16" s="9">
        <f t="shared" ca="1" si="3"/>
        <v>46752</v>
      </c>
      <c r="M16" s="9">
        <f t="shared" ca="1" si="3"/>
        <v>47118</v>
      </c>
      <c r="N16" s="9">
        <f t="shared" ref="N16" ca="1" si="4">EOMONTH(M16,12)</f>
        <v>47483</v>
      </c>
      <c r="O16" s="9">
        <f t="shared" ref="O16" ca="1" si="5">EOMONTH(N16,12)</f>
        <v>47848</v>
      </c>
      <c r="P16" s="9">
        <f t="shared" ref="P16" ca="1" si="6">EOMONTH(O16,12)</f>
        <v>48213</v>
      </c>
      <c r="Q16" s="9">
        <f t="shared" ref="Q16" ca="1" si="7">EOMONTH(P16,12)</f>
        <v>48579</v>
      </c>
      <c r="R16" s="9">
        <f t="shared" ref="R16" ca="1" si="8">EOMONTH(Q16,12)</f>
        <v>48944</v>
      </c>
    </row>
    <row r="17" spans="2:18" x14ac:dyDescent="0.25">
      <c r="B17" s="2" t="s">
        <v>87</v>
      </c>
      <c r="C17" s="2"/>
      <c r="D17" s="1"/>
      <c r="E17" s="1"/>
      <c r="F17" s="1"/>
      <c r="G17" s="1"/>
      <c r="H17" s="1"/>
      <c r="I17" s="1"/>
      <c r="J17" s="1"/>
      <c r="K17" s="1"/>
      <c r="L17" s="1"/>
      <c r="M17" s="1"/>
      <c r="N17" s="1"/>
      <c r="O17" s="1"/>
      <c r="P17" s="1"/>
      <c r="Q17" s="1"/>
      <c r="R17" s="1"/>
    </row>
    <row r="19" spans="2:18" x14ac:dyDescent="0.25">
      <c r="B19" s="10" t="s">
        <v>88</v>
      </c>
      <c r="D19" s="307">
        <f>Revenue_Build!C36</f>
        <v>0</v>
      </c>
      <c r="E19" s="307">
        <f>Revenue_Build!D36</f>
        <v>0</v>
      </c>
      <c r="F19" s="307">
        <f>Revenue_Build!E36</f>
        <v>0</v>
      </c>
      <c r="G19" s="307">
        <f>Revenue_Build!F36</f>
        <v>0</v>
      </c>
      <c r="H19" s="307">
        <f>Revenue_Build!G36</f>
        <v>0</v>
      </c>
      <c r="I19" s="307">
        <f>Revenue_Build!H36</f>
        <v>0</v>
      </c>
      <c r="J19" s="307">
        <f>Revenue_Build!I36</f>
        <v>0</v>
      </c>
      <c r="K19" s="307">
        <f>Revenue_Build!J36</f>
        <v>0</v>
      </c>
      <c r="L19" s="307">
        <f>Revenue_Build!K36</f>
        <v>0</v>
      </c>
      <c r="M19" s="307">
        <f>Revenue_Build!L36</f>
        <v>0</v>
      </c>
      <c r="N19" s="307">
        <f>Revenue_Build!M36</f>
        <v>0</v>
      </c>
      <c r="O19" s="307">
        <f>Revenue_Build!N36</f>
        <v>0</v>
      </c>
      <c r="P19" s="307">
        <f>Revenue_Build!O36</f>
        <v>0</v>
      </c>
      <c r="Q19" s="307">
        <f>Revenue_Build!P36</f>
        <v>0</v>
      </c>
      <c r="R19" s="307">
        <f>Revenue_Build!Q36</f>
        <v>0</v>
      </c>
    </row>
    <row r="20" spans="2:18" x14ac:dyDescent="0.25">
      <c r="B20" s="11" t="s">
        <v>89</v>
      </c>
      <c r="D20" s="69" t="s">
        <v>90</v>
      </c>
      <c r="E20" s="14" t="e">
        <f>(E19-D19)/D19</f>
        <v>#DIV/0!</v>
      </c>
      <c r="F20" s="14" t="e">
        <f t="shared" ref="F20:M20" si="9">(F19-E19)/E19</f>
        <v>#DIV/0!</v>
      </c>
      <c r="G20" s="14" t="e">
        <f t="shared" si="9"/>
        <v>#DIV/0!</v>
      </c>
      <c r="H20" s="14" t="e">
        <f t="shared" si="9"/>
        <v>#DIV/0!</v>
      </c>
      <c r="I20" s="14" t="e">
        <f t="shared" si="9"/>
        <v>#DIV/0!</v>
      </c>
      <c r="J20" s="14" t="e">
        <f t="shared" si="9"/>
        <v>#DIV/0!</v>
      </c>
      <c r="K20" s="14" t="e">
        <f t="shared" si="9"/>
        <v>#DIV/0!</v>
      </c>
      <c r="L20" s="14" t="e">
        <f t="shared" si="9"/>
        <v>#DIV/0!</v>
      </c>
      <c r="M20" s="14" t="e">
        <f t="shared" si="9"/>
        <v>#DIV/0!</v>
      </c>
      <c r="N20" s="14" t="e">
        <f t="shared" ref="N20" si="10">(N19-M19)/M19</f>
        <v>#DIV/0!</v>
      </c>
      <c r="O20" s="14" t="e">
        <f t="shared" ref="O20" si="11">(O19-N19)/N19</f>
        <v>#DIV/0!</v>
      </c>
      <c r="P20" s="14" t="e">
        <f t="shared" ref="P20" si="12">(P19-O19)/O19</f>
        <v>#DIV/0!</v>
      </c>
      <c r="Q20" s="14" t="e">
        <f t="shared" ref="Q20" si="13">(Q19-P19)/P19</f>
        <v>#DIV/0!</v>
      </c>
      <c r="R20" s="14" t="e">
        <f t="shared" ref="R20" si="14">(R19-Q19)/Q19</f>
        <v>#DIV/0!</v>
      </c>
    </row>
    <row r="22" spans="2:18" x14ac:dyDescent="0.25">
      <c r="B22" s="10" t="s">
        <v>91</v>
      </c>
      <c r="D22" s="307">
        <f>Operating_Model!D76</f>
        <v>0</v>
      </c>
      <c r="E22" s="307">
        <f>Operating_Model!E76</f>
        <v>0</v>
      </c>
      <c r="F22" s="307">
        <f>Operating_Model!F76</f>
        <v>0</v>
      </c>
      <c r="G22" s="307">
        <f>Operating_Model!G76</f>
        <v>0</v>
      </c>
      <c r="H22" s="307">
        <f>Operating_Model!H76</f>
        <v>0</v>
      </c>
      <c r="I22" s="307" t="e">
        <f ca="1">Operating_Model!I76</f>
        <v>#DIV/0!</v>
      </c>
      <c r="J22" s="307" t="e">
        <f ca="1">Operating_Model!J76</f>
        <v>#DIV/0!</v>
      </c>
      <c r="K22" s="307" t="e">
        <f ca="1">Operating_Model!K76</f>
        <v>#DIV/0!</v>
      </c>
      <c r="L22" s="307" t="e">
        <f ca="1">Operating_Model!L76</f>
        <v>#DIV/0!</v>
      </c>
      <c r="M22" s="307" t="e">
        <f ca="1">Operating_Model!M76</f>
        <v>#DIV/0!</v>
      </c>
      <c r="N22" s="307" t="e">
        <f ca="1">Operating_Model!N76</f>
        <v>#DIV/0!</v>
      </c>
      <c r="O22" s="307" t="e">
        <f ca="1">Operating_Model!O76</f>
        <v>#DIV/0!</v>
      </c>
      <c r="P22" s="307" t="e">
        <f ca="1">Operating_Model!P76</f>
        <v>#DIV/0!</v>
      </c>
      <c r="Q22" s="307" t="e">
        <f ca="1">Operating_Model!Q76</f>
        <v>#DIV/0!</v>
      </c>
      <c r="R22" s="307" t="e">
        <f ca="1">Operating_Model!R76</f>
        <v>#DIV/0!</v>
      </c>
    </row>
    <row r="23" spans="2:18" x14ac:dyDescent="0.25">
      <c r="B23" s="11" t="s">
        <v>92</v>
      </c>
      <c r="D23" s="15" t="e">
        <f t="shared" ref="D23:M23" si="15">D22/D19</f>
        <v>#DIV/0!</v>
      </c>
      <c r="E23" s="15" t="e">
        <f t="shared" si="15"/>
        <v>#DIV/0!</v>
      </c>
      <c r="F23" s="15" t="e">
        <f t="shared" si="15"/>
        <v>#DIV/0!</v>
      </c>
      <c r="G23" s="15" t="e">
        <f t="shared" si="15"/>
        <v>#DIV/0!</v>
      </c>
      <c r="H23" s="15" t="e">
        <f t="shared" si="15"/>
        <v>#DIV/0!</v>
      </c>
      <c r="I23" s="15" t="e">
        <f t="shared" ca="1" si="15"/>
        <v>#DIV/0!</v>
      </c>
      <c r="J23" s="15" t="e">
        <f t="shared" ca="1" si="15"/>
        <v>#DIV/0!</v>
      </c>
      <c r="K23" s="15" t="e">
        <f t="shared" ca="1" si="15"/>
        <v>#DIV/0!</v>
      </c>
      <c r="L23" s="15" t="e">
        <f t="shared" ca="1" si="15"/>
        <v>#DIV/0!</v>
      </c>
      <c r="M23" s="15" t="e">
        <f t="shared" ca="1" si="15"/>
        <v>#DIV/0!</v>
      </c>
      <c r="N23" s="15" t="e">
        <f t="shared" ref="N23:R23" ca="1" si="16">N22/N19</f>
        <v>#DIV/0!</v>
      </c>
      <c r="O23" s="15" t="e">
        <f t="shared" ca="1" si="16"/>
        <v>#DIV/0!</v>
      </c>
      <c r="P23" s="15" t="e">
        <f t="shared" ca="1" si="16"/>
        <v>#DIV/0!</v>
      </c>
      <c r="Q23" s="15" t="e">
        <f t="shared" ca="1" si="16"/>
        <v>#DIV/0!</v>
      </c>
      <c r="R23" s="15" t="e">
        <f t="shared" ca="1" si="16"/>
        <v>#DIV/0!</v>
      </c>
    </row>
    <row r="24" spans="2:18" x14ac:dyDescent="0.25">
      <c r="B24" t="s">
        <v>93</v>
      </c>
      <c r="D24" s="260">
        <f>Operating_Model!D83</f>
        <v>0</v>
      </c>
      <c r="E24" s="260">
        <f>Operating_Model!E83</f>
        <v>0</v>
      </c>
      <c r="F24" s="260">
        <f>Operating_Model!F83</f>
        <v>0</v>
      </c>
      <c r="G24" s="260">
        <f>Operating_Model!G83</f>
        <v>0</v>
      </c>
      <c r="H24" s="260">
        <f>Operating_Model!H83</f>
        <v>0</v>
      </c>
      <c r="I24" s="260" t="e">
        <f ca="1">Operating_Model!I83</f>
        <v>#DIV/0!</v>
      </c>
      <c r="J24" s="260" t="e">
        <f ca="1">Operating_Model!J83</f>
        <v>#DIV/0!</v>
      </c>
      <c r="K24" s="260" t="e">
        <f ca="1">Operating_Model!K83</f>
        <v>#DIV/0!</v>
      </c>
      <c r="L24" s="260" t="e">
        <f ca="1">Operating_Model!L83</f>
        <v>#DIV/0!</v>
      </c>
      <c r="M24" s="260" t="e">
        <f ca="1">Operating_Model!M83</f>
        <v>#DIV/0!</v>
      </c>
      <c r="N24" s="260" t="e">
        <f ca="1">Operating_Model!N83</f>
        <v>#DIV/0!</v>
      </c>
      <c r="O24" s="260" t="e">
        <f ca="1">Operating_Model!O83</f>
        <v>#DIV/0!</v>
      </c>
      <c r="P24" s="260" t="e">
        <f ca="1">Operating_Model!P83</f>
        <v>#DIV/0!</v>
      </c>
      <c r="Q24" s="260" t="e">
        <f ca="1">Operating_Model!Q83</f>
        <v>#DIV/0!</v>
      </c>
      <c r="R24" s="260" t="e">
        <f ca="1">Operating_Model!R83</f>
        <v>#DIV/0!</v>
      </c>
    </row>
    <row r="25" spans="2:18" x14ac:dyDescent="0.25">
      <c r="B25" s="12" t="s">
        <v>94</v>
      </c>
      <c r="C25" s="23"/>
      <c r="D25" s="308">
        <f>D22-D24</f>
        <v>0</v>
      </c>
      <c r="E25" s="308">
        <f t="shared" ref="E25:M25" si="17">E22-E24</f>
        <v>0</v>
      </c>
      <c r="F25" s="308">
        <f t="shared" si="17"/>
        <v>0</v>
      </c>
      <c r="G25" s="308">
        <f t="shared" si="17"/>
        <v>0</v>
      </c>
      <c r="H25" s="308">
        <f t="shared" si="17"/>
        <v>0</v>
      </c>
      <c r="I25" s="308" t="e">
        <f t="shared" ca="1" si="17"/>
        <v>#DIV/0!</v>
      </c>
      <c r="J25" s="308" t="e">
        <f t="shared" ca="1" si="17"/>
        <v>#DIV/0!</v>
      </c>
      <c r="K25" s="308" t="e">
        <f t="shared" ca="1" si="17"/>
        <v>#DIV/0!</v>
      </c>
      <c r="L25" s="308" t="e">
        <f t="shared" ca="1" si="17"/>
        <v>#DIV/0!</v>
      </c>
      <c r="M25" s="308" t="e">
        <f t="shared" ca="1" si="17"/>
        <v>#DIV/0!</v>
      </c>
      <c r="N25" s="308" t="e">
        <f t="shared" ref="N25:R25" ca="1" si="18">N22-N24</f>
        <v>#DIV/0!</v>
      </c>
      <c r="O25" s="308" t="e">
        <f t="shared" ca="1" si="18"/>
        <v>#DIV/0!</v>
      </c>
      <c r="P25" s="308" t="e">
        <f t="shared" ca="1" si="18"/>
        <v>#DIV/0!</v>
      </c>
      <c r="Q25" s="308" t="e">
        <f t="shared" ca="1" si="18"/>
        <v>#DIV/0!</v>
      </c>
      <c r="R25" s="308" t="e">
        <f t="shared" ca="1" si="18"/>
        <v>#DIV/0!</v>
      </c>
    </row>
    <row r="26" spans="2:18" x14ac:dyDescent="0.25">
      <c r="B26" t="s">
        <v>95</v>
      </c>
      <c r="D26" s="260">
        <f>Operating_Model!D101</f>
        <v>0</v>
      </c>
      <c r="E26" s="260">
        <f>Operating_Model!E101</f>
        <v>0</v>
      </c>
      <c r="F26" s="260">
        <f>Operating_Model!F101</f>
        <v>0</v>
      </c>
      <c r="G26" s="260">
        <f>Operating_Model!G101</f>
        <v>0</v>
      </c>
      <c r="H26" s="260">
        <f>Operating_Model!H101</f>
        <v>0</v>
      </c>
      <c r="I26" s="260" t="e">
        <f ca="1">Operating_Model!I101</f>
        <v>#DIV/0!</v>
      </c>
      <c r="J26" s="260" t="e">
        <f ca="1">Operating_Model!J101</f>
        <v>#DIV/0!</v>
      </c>
      <c r="K26" s="260" t="e">
        <f ca="1">Operating_Model!K101</f>
        <v>#DIV/0!</v>
      </c>
      <c r="L26" s="260" t="e">
        <f ca="1">Operating_Model!L101</f>
        <v>#DIV/0!</v>
      </c>
      <c r="M26" s="260" t="e">
        <f ca="1">Operating_Model!M101</f>
        <v>#DIV/0!</v>
      </c>
      <c r="N26" s="260" t="e">
        <f ca="1">Operating_Model!N101</f>
        <v>#DIV/0!</v>
      </c>
      <c r="O26" s="260" t="e">
        <f ca="1">Operating_Model!O101</f>
        <v>#DIV/0!</v>
      </c>
      <c r="P26" s="260" t="e">
        <f ca="1">Operating_Model!P101</f>
        <v>#DIV/0!</v>
      </c>
      <c r="Q26" s="260" t="e">
        <f ca="1">Operating_Model!Q101</f>
        <v>#DIV/0!</v>
      </c>
      <c r="R26" s="260" t="e">
        <f ca="1">Operating_Model!R101</f>
        <v>#DIV/0!</v>
      </c>
    </row>
    <row r="27" spans="2:18" x14ac:dyDescent="0.25">
      <c r="B27" s="10" t="s">
        <v>96</v>
      </c>
      <c r="D27" s="307">
        <f>D25-D26</f>
        <v>0</v>
      </c>
      <c r="E27" s="307">
        <f t="shared" ref="E27:M27" si="19">E25-E26</f>
        <v>0</v>
      </c>
      <c r="F27" s="307">
        <f t="shared" si="19"/>
        <v>0</v>
      </c>
      <c r="G27" s="307">
        <f t="shared" si="19"/>
        <v>0</v>
      </c>
      <c r="H27" s="307">
        <f t="shared" si="19"/>
        <v>0</v>
      </c>
      <c r="I27" s="307" t="e">
        <f t="shared" ca="1" si="19"/>
        <v>#DIV/0!</v>
      </c>
      <c r="J27" s="307" t="e">
        <f t="shared" ca="1" si="19"/>
        <v>#DIV/0!</v>
      </c>
      <c r="K27" s="307" t="e">
        <f t="shared" ca="1" si="19"/>
        <v>#DIV/0!</v>
      </c>
      <c r="L27" s="307" t="e">
        <f t="shared" ca="1" si="19"/>
        <v>#DIV/0!</v>
      </c>
      <c r="M27" s="307" t="e">
        <f t="shared" ca="1" si="19"/>
        <v>#DIV/0!</v>
      </c>
      <c r="N27" s="307" t="e">
        <f t="shared" ref="N27:R27" ca="1" si="20">N25-N26</f>
        <v>#DIV/0!</v>
      </c>
      <c r="O27" s="307" t="e">
        <f t="shared" ca="1" si="20"/>
        <v>#DIV/0!</v>
      </c>
      <c r="P27" s="307" t="e">
        <f t="shared" ca="1" si="20"/>
        <v>#DIV/0!</v>
      </c>
      <c r="Q27" s="307" t="e">
        <f t="shared" ca="1" si="20"/>
        <v>#DIV/0!</v>
      </c>
      <c r="R27" s="307" t="e">
        <f t="shared" ca="1" si="20"/>
        <v>#DIV/0!</v>
      </c>
    </row>
    <row r="28" spans="2:18" x14ac:dyDescent="0.25">
      <c r="B28" t="s">
        <v>97</v>
      </c>
      <c r="D28" s="260">
        <f>D24</f>
        <v>0</v>
      </c>
      <c r="E28" s="260">
        <f t="shared" ref="E28:M28" si="21">E24</f>
        <v>0</v>
      </c>
      <c r="F28" s="260">
        <f t="shared" si="21"/>
        <v>0</v>
      </c>
      <c r="G28" s="260">
        <f t="shared" si="21"/>
        <v>0</v>
      </c>
      <c r="H28" s="260">
        <f t="shared" si="21"/>
        <v>0</v>
      </c>
      <c r="I28" s="260" t="e">
        <f t="shared" ca="1" si="21"/>
        <v>#DIV/0!</v>
      </c>
      <c r="J28" s="260" t="e">
        <f t="shared" ca="1" si="21"/>
        <v>#DIV/0!</v>
      </c>
      <c r="K28" s="260" t="e">
        <f t="shared" ca="1" si="21"/>
        <v>#DIV/0!</v>
      </c>
      <c r="L28" s="260" t="e">
        <f t="shared" ca="1" si="21"/>
        <v>#DIV/0!</v>
      </c>
      <c r="M28" s="260" t="e">
        <f t="shared" ca="1" si="21"/>
        <v>#DIV/0!</v>
      </c>
      <c r="N28" s="260" t="e">
        <f t="shared" ref="N28:R28" ca="1" si="22">N24</f>
        <v>#DIV/0!</v>
      </c>
      <c r="O28" s="260" t="e">
        <f t="shared" ca="1" si="22"/>
        <v>#DIV/0!</v>
      </c>
      <c r="P28" s="260" t="e">
        <f t="shared" ca="1" si="22"/>
        <v>#DIV/0!</v>
      </c>
      <c r="Q28" s="260" t="e">
        <f t="shared" ca="1" si="22"/>
        <v>#DIV/0!</v>
      </c>
      <c r="R28" s="260" t="e">
        <f t="shared" ca="1" si="22"/>
        <v>#DIV/0!</v>
      </c>
    </row>
    <row r="29" spans="2:18" ht="15" customHeight="1" x14ac:dyDescent="0.25">
      <c r="B29" t="s">
        <v>98</v>
      </c>
      <c r="D29" s="262"/>
      <c r="E29" s="261"/>
      <c r="F29" s="261"/>
      <c r="G29" s="261"/>
      <c r="H29" s="261"/>
      <c r="I29" s="260" t="e">
        <f ca="1">'D&amp;A+CAPEX'!I43</f>
        <v>#DIV/0!</v>
      </c>
      <c r="J29" s="260" t="e">
        <f ca="1">'D&amp;A+CAPEX'!J43</f>
        <v>#DIV/0!</v>
      </c>
      <c r="K29" s="260" t="e">
        <f ca="1">'D&amp;A+CAPEX'!K43</f>
        <v>#DIV/0!</v>
      </c>
      <c r="L29" s="260" t="e">
        <f ca="1">'D&amp;A+CAPEX'!L43</f>
        <v>#DIV/0!</v>
      </c>
      <c r="M29" s="260" t="e">
        <f ca="1">'D&amp;A+CAPEX'!M43</f>
        <v>#DIV/0!</v>
      </c>
      <c r="N29" s="260" t="e">
        <f ca="1">'D&amp;A+CAPEX'!N43</f>
        <v>#DIV/0!</v>
      </c>
      <c r="O29" s="260" t="e">
        <f ca="1">'D&amp;A+CAPEX'!O43</f>
        <v>#DIV/0!</v>
      </c>
      <c r="P29" s="260" t="e">
        <f ca="1">'D&amp;A+CAPEX'!P43</f>
        <v>#DIV/0!</v>
      </c>
      <c r="Q29" s="260" t="e">
        <f ca="1">'D&amp;A+CAPEX'!Q43</f>
        <v>#DIV/0!</v>
      </c>
      <c r="R29" s="260" t="e">
        <f ca="1">'D&amp;A+CAPEX'!R43</f>
        <v>#DIV/0!</v>
      </c>
    </row>
    <row r="30" spans="2:18" x14ac:dyDescent="0.25">
      <c r="B30" t="s">
        <v>99</v>
      </c>
      <c r="D30" s="260">
        <f>Net_Working_Capital!D23</f>
        <v>0</v>
      </c>
      <c r="E30" s="260">
        <f>Net_Working_Capital!E23</f>
        <v>0</v>
      </c>
      <c r="F30" s="260">
        <f>Net_Working_Capital!F23</f>
        <v>0</v>
      </c>
      <c r="G30" s="260">
        <f>Net_Working_Capital!G23</f>
        <v>0</v>
      </c>
      <c r="H30" s="260">
        <f>Net_Working_Capital!H23</f>
        <v>0</v>
      </c>
      <c r="I30" s="260" t="e">
        <f ca="1">Net_Working_Capital!I23</f>
        <v>#DIV/0!</v>
      </c>
      <c r="J30" s="260" t="e">
        <f ca="1">Net_Working_Capital!J23</f>
        <v>#DIV/0!</v>
      </c>
      <c r="K30" s="260" t="e">
        <f ca="1">Net_Working_Capital!K23</f>
        <v>#DIV/0!</v>
      </c>
      <c r="L30" s="260" t="e">
        <f ca="1">Net_Working_Capital!L23</f>
        <v>#DIV/0!</v>
      </c>
      <c r="M30" s="260" t="e">
        <f ca="1">Net_Working_Capital!M23</f>
        <v>#DIV/0!</v>
      </c>
      <c r="N30" s="260" t="e">
        <f ca="1">Net_Working_Capital!N23</f>
        <v>#DIV/0!</v>
      </c>
      <c r="O30" s="260" t="e">
        <f ca="1">Net_Working_Capital!O23</f>
        <v>#DIV/0!</v>
      </c>
      <c r="P30" s="260" t="e">
        <f ca="1">Net_Working_Capital!P23</f>
        <v>#DIV/0!</v>
      </c>
      <c r="Q30" s="260" t="e">
        <f ca="1">Net_Working_Capital!Q23</f>
        <v>#DIV/0!</v>
      </c>
      <c r="R30" s="260" t="e">
        <f ca="1">Net_Working_Capital!R23</f>
        <v>#DIV/0!</v>
      </c>
    </row>
    <row r="31" spans="2:18" x14ac:dyDescent="0.25">
      <c r="B31" s="13" t="s">
        <v>100</v>
      </c>
      <c r="C31" s="24"/>
      <c r="D31" s="285">
        <f>D27+D28-D29-D30</f>
        <v>0</v>
      </c>
      <c r="E31" s="285">
        <f>E27+E28-E29-E30</f>
        <v>0</v>
      </c>
      <c r="F31" s="285">
        <f>F27+F28-F29-F30</f>
        <v>0</v>
      </c>
      <c r="G31" s="285">
        <f>G27+G28-G29-G30</f>
        <v>0</v>
      </c>
      <c r="H31" s="285">
        <f>H27+H28-H29-H30</f>
        <v>0</v>
      </c>
      <c r="I31" s="285" t="e">
        <f t="shared" ref="I31:M31" ca="1" si="23">I27+I28-I29-I30</f>
        <v>#DIV/0!</v>
      </c>
      <c r="J31" s="285" t="e">
        <f t="shared" ca="1" si="23"/>
        <v>#DIV/0!</v>
      </c>
      <c r="K31" s="285" t="e">
        <f t="shared" ca="1" si="23"/>
        <v>#DIV/0!</v>
      </c>
      <c r="L31" s="285" t="e">
        <f t="shared" ca="1" si="23"/>
        <v>#DIV/0!</v>
      </c>
      <c r="M31" s="285" t="e">
        <f t="shared" ca="1" si="23"/>
        <v>#DIV/0!</v>
      </c>
      <c r="N31" s="285" t="e">
        <f t="shared" ref="N31:R31" ca="1" si="24">N27+N28-N29-N30</f>
        <v>#DIV/0!</v>
      </c>
      <c r="O31" s="285" t="e">
        <f t="shared" ca="1" si="24"/>
        <v>#DIV/0!</v>
      </c>
      <c r="P31" s="285" t="e">
        <f t="shared" ca="1" si="24"/>
        <v>#DIV/0!</v>
      </c>
      <c r="Q31" s="285" t="e">
        <f t="shared" ca="1" si="24"/>
        <v>#DIV/0!</v>
      </c>
      <c r="R31" s="285" t="e">
        <f t="shared" ca="1" si="24"/>
        <v>#DIV/0!</v>
      </c>
    </row>
    <row r="32" spans="2:18" x14ac:dyDescent="0.25">
      <c r="B32" t="s">
        <v>101</v>
      </c>
      <c r="I32" s="25" t="e">
        <f ca="1">1/((1+$H$11)^((I$16-$C$9)/365))</f>
        <v>#DIV/0!</v>
      </c>
      <c r="J32" s="25" t="e">
        <f t="shared" ref="J32:R32" ca="1" si="25">1/((1+$H$11)^((J$16-$C$9)/365))</f>
        <v>#DIV/0!</v>
      </c>
      <c r="K32" s="25" t="e">
        <f t="shared" ca="1" si="25"/>
        <v>#DIV/0!</v>
      </c>
      <c r="L32" s="25" t="e">
        <f t="shared" ca="1" si="25"/>
        <v>#DIV/0!</v>
      </c>
      <c r="M32" s="25" t="e">
        <f t="shared" ca="1" si="25"/>
        <v>#DIV/0!</v>
      </c>
      <c r="N32" s="25" t="e">
        <f t="shared" ca="1" si="25"/>
        <v>#DIV/0!</v>
      </c>
      <c r="O32" s="25" t="e">
        <f t="shared" ca="1" si="25"/>
        <v>#DIV/0!</v>
      </c>
      <c r="P32" s="25" t="e">
        <f t="shared" ca="1" si="25"/>
        <v>#DIV/0!</v>
      </c>
      <c r="Q32" s="25" t="e">
        <f t="shared" ca="1" si="25"/>
        <v>#DIV/0!</v>
      </c>
      <c r="R32" s="25" t="e">
        <f t="shared" ca="1" si="25"/>
        <v>#DIV/0!</v>
      </c>
    </row>
    <row r="33" spans="2:26" x14ac:dyDescent="0.25">
      <c r="B33" t="s">
        <v>102</v>
      </c>
      <c r="C33" s="48" t="e">
        <f>H11</f>
        <v>#DIV/0!</v>
      </c>
    </row>
    <row r="34" spans="2:26" x14ac:dyDescent="0.25">
      <c r="B34" s="13" t="s">
        <v>103</v>
      </c>
      <c r="C34" s="24"/>
      <c r="D34" s="24"/>
      <c r="E34" s="24"/>
      <c r="F34" s="24"/>
      <c r="G34" s="24"/>
      <c r="H34" s="24"/>
      <c r="I34" s="309" t="e">
        <f ca="1">I31*I32</f>
        <v>#DIV/0!</v>
      </c>
      <c r="J34" s="309" t="e">
        <f t="shared" ref="J34:R34" ca="1" si="26">J31*J32</f>
        <v>#DIV/0!</v>
      </c>
      <c r="K34" s="309" t="e">
        <f t="shared" ca="1" si="26"/>
        <v>#DIV/0!</v>
      </c>
      <c r="L34" s="309" t="e">
        <f t="shared" ca="1" si="26"/>
        <v>#DIV/0!</v>
      </c>
      <c r="M34" s="309" t="e">
        <f t="shared" ca="1" si="26"/>
        <v>#DIV/0!</v>
      </c>
      <c r="N34" s="309" t="e">
        <f t="shared" ca="1" si="26"/>
        <v>#DIV/0!</v>
      </c>
      <c r="O34" s="309" t="e">
        <f t="shared" ca="1" si="26"/>
        <v>#DIV/0!</v>
      </c>
      <c r="P34" s="309" t="e">
        <f t="shared" ca="1" si="26"/>
        <v>#DIV/0!</v>
      </c>
      <c r="Q34" s="309" t="e">
        <f t="shared" ca="1" si="26"/>
        <v>#DIV/0!</v>
      </c>
      <c r="R34" s="309" t="e">
        <f t="shared" ca="1" si="26"/>
        <v>#DIV/0!</v>
      </c>
    </row>
    <row r="35" spans="2:26" x14ac:dyDescent="0.25">
      <c r="T35" s="288" t="s">
        <v>104</v>
      </c>
      <c r="U35" s="289"/>
      <c r="V35" s="289"/>
      <c r="W35" s="289"/>
      <c r="X35" s="289"/>
      <c r="Y35" s="289"/>
      <c r="Z35" s="289"/>
    </row>
    <row r="36" spans="2:26" x14ac:dyDescent="0.25">
      <c r="D36" s="149"/>
      <c r="E36" s="149"/>
      <c r="F36" s="149"/>
      <c r="G36" s="149"/>
      <c r="H36" s="149"/>
    </row>
    <row r="37" spans="2:26" x14ac:dyDescent="0.25">
      <c r="B37" s="3" t="s">
        <v>105</v>
      </c>
      <c r="C37" s="287" t="e">
        <f ca="1">SUM(I34:M34)</f>
        <v>#DIV/0!</v>
      </c>
      <c r="X37" s="290" t="s">
        <v>106</v>
      </c>
    </row>
    <row r="38" spans="2:26" x14ac:dyDescent="0.25">
      <c r="U38" s="291"/>
      <c r="V38" s="292"/>
      <c r="W38" s="292"/>
      <c r="X38" s="293" t="s">
        <v>48</v>
      </c>
      <c r="Y38" s="292"/>
      <c r="Z38" s="292"/>
    </row>
    <row r="39" spans="2:26" x14ac:dyDescent="0.25">
      <c r="B39" s="2" t="s">
        <v>107</v>
      </c>
      <c r="C39" s="16"/>
      <c r="U39" s="294">
        <f>E41</f>
        <v>0</v>
      </c>
      <c r="V39" s="295" t="e">
        <f t="shared" ref="V39:W39" si="27">W39-0.005</f>
        <v>#DIV/0!</v>
      </c>
      <c r="W39" s="295" t="e">
        <f t="shared" si="27"/>
        <v>#DIV/0!</v>
      </c>
      <c r="X39" s="296" t="e">
        <f>H11</f>
        <v>#DIV/0!</v>
      </c>
      <c r="Y39" s="295" t="e">
        <f t="shared" ref="Y39:Z39" si="28">X39+0.005</f>
        <v>#DIV/0!</v>
      </c>
      <c r="Z39" s="295" t="e">
        <f t="shared" si="28"/>
        <v>#DIV/0!</v>
      </c>
    </row>
    <row r="40" spans="2:26" x14ac:dyDescent="0.25">
      <c r="B40" t="s">
        <v>108</v>
      </c>
      <c r="C40" s="33">
        <f>H10</f>
        <v>0</v>
      </c>
      <c r="T40" s="297"/>
      <c r="U40" s="298">
        <f t="shared" ref="U40:U41" si="29">U41-0.5</f>
        <v>-1</v>
      </c>
      <c r="V40" s="260" t="e">
        <f t="shared" ref="V40:Z44" ca="1" si="30">(SUM($I$34:$M$34))+($U40*$M$22*(1/((1+V$39)^(($M$16-$C$9)/365))))-$C$44+$C$45</f>
        <v>#DIV/0!</v>
      </c>
      <c r="W40" s="260" t="e">
        <f t="shared" ca="1" si="30"/>
        <v>#DIV/0!</v>
      </c>
      <c r="X40" s="260" t="e">
        <f t="shared" ca="1" si="30"/>
        <v>#DIV/0!</v>
      </c>
      <c r="Y40" s="260" t="e">
        <f t="shared" ca="1" si="30"/>
        <v>#DIV/0!</v>
      </c>
      <c r="Z40" s="260" t="e">
        <f t="shared" ca="1" si="30"/>
        <v>#DIV/0!</v>
      </c>
    </row>
    <row r="41" spans="2:26" x14ac:dyDescent="0.25">
      <c r="B41" t="s">
        <v>109</v>
      </c>
      <c r="C41" s="260" t="e">
        <f ca="1">M22*H10</f>
        <v>#DIV/0!</v>
      </c>
      <c r="T41" s="299" t="s">
        <v>111</v>
      </c>
      <c r="U41" s="298">
        <f t="shared" si="29"/>
        <v>-0.5</v>
      </c>
      <c r="V41" s="260" t="e">
        <f t="shared" ca="1" si="30"/>
        <v>#DIV/0!</v>
      </c>
      <c r="W41" s="306" t="e">
        <f t="shared" ca="1" si="30"/>
        <v>#DIV/0!</v>
      </c>
      <c r="X41" s="306" t="e">
        <f t="shared" ca="1" si="30"/>
        <v>#DIV/0!</v>
      </c>
      <c r="Y41" s="306" t="e">
        <f t="shared" ca="1" si="30"/>
        <v>#DIV/0!</v>
      </c>
      <c r="Z41" s="260" t="e">
        <f t="shared" ca="1" si="30"/>
        <v>#DIV/0!</v>
      </c>
    </row>
    <row r="42" spans="2:26" x14ac:dyDescent="0.25">
      <c r="B42" t="s">
        <v>110</v>
      </c>
      <c r="C42" s="260" t="e">
        <f ca="1">C41*M32</f>
        <v>#DIV/0!</v>
      </c>
      <c r="T42" s="299" t="s">
        <v>113</v>
      </c>
      <c r="U42" s="300">
        <f>H10</f>
        <v>0</v>
      </c>
      <c r="V42" s="260" t="e">
        <f t="shared" ca="1" si="30"/>
        <v>#DIV/0!</v>
      </c>
      <c r="W42" s="306" t="e">
        <f t="shared" ca="1" si="30"/>
        <v>#DIV/0!</v>
      </c>
      <c r="X42" s="306" t="e">
        <f t="shared" ca="1" si="30"/>
        <v>#DIV/0!</v>
      </c>
      <c r="Y42" s="306" t="e">
        <f t="shared" ca="1" si="30"/>
        <v>#DIV/0!</v>
      </c>
      <c r="Z42" s="260" t="e">
        <f t="shared" ca="1" si="30"/>
        <v>#DIV/0!</v>
      </c>
    </row>
    <row r="43" spans="2:26" x14ac:dyDescent="0.25">
      <c r="B43" s="13" t="s">
        <v>112</v>
      </c>
      <c r="C43" s="285" t="e">
        <f ca="1">C42+C37</f>
        <v>#DIV/0!</v>
      </c>
      <c r="T43" s="299" t="s">
        <v>115</v>
      </c>
      <c r="U43" s="298">
        <f t="shared" ref="U43:U44" si="31">U42+0.5</f>
        <v>0.5</v>
      </c>
      <c r="V43" s="260" t="e">
        <f t="shared" ca="1" si="30"/>
        <v>#DIV/0!</v>
      </c>
      <c r="W43" s="306" t="e">
        <f t="shared" ca="1" si="30"/>
        <v>#DIV/0!</v>
      </c>
      <c r="X43" s="306" t="e">
        <f t="shared" ca="1" si="30"/>
        <v>#DIV/0!</v>
      </c>
      <c r="Y43" s="306" t="e">
        <f t="shared" ca="1" si="30"/>
        <v>#DIV/0!</v>
      </c>
      <c r="Z43" s="260" t="e">
        <f t="shared" ca="1" si="30"/>
        <v>#DIV/0!</v>
      </c>
    </row>
    <row r="44" spans="2:26" x14ac:dyDescent="0.25">
      <c r="B44" t="s">
        <v>114</v>
      </c>
      <c r="C44" s="260">
        <f>WACC_Calculator!L8</f>
        <v>0</v>
      </c>
      <c r="T44" s="301"/>
      <c r="U44" s="298">
        <f t="shared" si="31"/>
        <v>1</v>
      </c>
      <c r="V44" s="260" t="e">
        <f t="shared" ca="1" si="30"/>
        <v>#DIV/0!</v>
      </c>
      <c r="W44" s="260" t="e">
        <f t="shared" ca="1" si="30"/>
        <v>#DIV/0!</v>
      </c>
      <c r="X44" s="260" t="e">
        <f t="shared" ca="1" si="30"/>
        <v>#DIV/0!</v>
      </c>
      <c r="Y44" s="260" t="e">
        <f t="shared" ca="1" si="30"/>
        <v>#DIV/0!</v>
      </c>
      <c r="Z44" s="260" t="e">
        <f t="shared" ca="1" si="30"/>
        <v>#DIV/0!</v>
      </c>
    </row>
    <row r="45" spans="2:26" x14ac:dyDescent="0.25">
      <c r="B45" t="s">
        <v>116</v>
      </c>
      <c r="C45" s="260">
        <f>Net_Working_Capital!H7</f>
        <v>0</v>
      </c>
    </row>
    <row r="46" spans="2:26" x14ac:dyDescent="0.25">
      <c r="B46" s="13" t="s">
        <v>106</v>
      </c>
      <c r="C46" s="285" t="e">
        <f ca="1">C43-C44+C45</f>
        <v>#DIV/0!</v>
      </c>
      <c r="X46" s="290" t="s">
        <v>118</v>
      </c>
    </row>
    <row r="47" spans="2:26" x14ac:dyDescent="0.25">
      <c r="B47" t="s">
        <v>117</v>
      </c>
      <c r="C47" s="260">
        <f>M10</f>
        <v>15334.08</v>
      </c>
      <c r="V47" s="292"/>
      <c r="W47" s="292"/>
      <c r="X47" s="293" t="s">
        <v>48</v>
      </c>
      <c r="Y47" s="292"/>
      <c r="Z47" s="292"/>
    </row>
    <row r="48" spans="2:26" x14ac:dyDescent="0.25">
      <c r="B48" s="18" t="s">
        <v>119</v>
      </c>
      <c r="C48" s="286" t="e">
        <f ca="1">C46/C47</f>
        <v>#DIV/0!</v>
      </c>
      <c r="U48" s="302">
        <f>E47</f>
        <v>0</v>
      </c>
      <c r="V48" s="295" t="e">
        <f t="shared" ref="V48:W48" si="32">W48-0.005</f>
        <v>#DIV/0!</v>
      </c>
      <c r="W48" s="295" t="e">
        <f t="shared" si="32"/>
        <v>#DIV/0!</v>
      </c>
      <c r="X48" s="296" t="e">
        <f>X39</f>
        <v>#DIV/0!</v>
      </c>
      <c r="Y48" s="295" t="e">
        <f t="shared" ref="Y48:Z48" si="33">X48+0.005</f>
        <v>#DIV/0!</v>
      </c>
      <c r="Z48" s="295" t="e">
        <f t="shared" si="33"/>
        <v>#DIV/0!</v>
      </c>
    </row>
    <row r="49" spans="2:26" x14ac:dyDescent="0.25">
      <c r="B49" s="11" t="s">
        <v>120</v>
      </c>
      <c r="C49" s="120" t="e">
        <f ca="1">(C48-M11)/M11</f>
        <v>#DIV/0!</v>
      </c>
      <c r="T49" s="297"/>
      <c r="U49" s="298">
        <f t="shared" ref="U49:U50" si="34">U50-0.5</f>
        <v>-1</v>
      </c>
      <c r="V49" s="303" t="e">
        <f t="shared" ref="V49:Z49" ca="1" si="35">(V40-$C$46)/$C$46</f>
        <v>#DIV/0!</v>
      </c>
      <c r="W49" s="303" t="e">
        <f t="shared" ca="1" si="35"/>
        <v>#DIV/0!</v>
      </c>
      <c r="X49" s="303" t="e">
        <f t="shared" ca="1" si="35"/>
        <v>#DIV/0!</v>
      </c>
      <c r="Y49" s="303" t="e">
        <f ca="1">(Y40-$C$46)/$C$46</f>
        <v>#DIV/0!</v>
      </c>
      <c r="Z49" s="303" t="e">
        <f t="shared" ca="1" si="35"/>
        <v>#DIV/0!</v>
      </c>
    </row>
    <row r="50" spans="2:26" x14ac:dyDescent="0.25">
      <c r="T50" s="299" t="s">
        <v>111</v>
      </c>
      <c r="U50" s="298">
        <f t="shared" si="34"/>
        <v>-0.5</v>
      </c>
      <c r="V50" s="303" t="e">
        <f t="shared" ref="V50:Z50" ca="1" si="36">(V41-$C$46)/$C$46</f>
        <v>#DIV/0!</v>
      </c>
      <c r="W50" s="304" t="e">
        <f t="shared" ca="1" si="36"/>
        <v>#DIV/0!</v>
      </c>
      <c r="X50" s="304" t="e">
        <f t="shared" ca="1" si="36"/>
        <v>#DIV/0!</v>
      </c>
      <c r="Y50" s="304" t="e">
        <f t="shared" ca="1" si="36"/>
        <v>#DIV/0!</v>
      </c>
      <c r="Z50" s="303" t="e">
        <f t="shared" ca="1" si="36"/>
        <v>#DIV/0!</v>
      </c>
    </row>
    <row r="51" spans="2:26" x14ac:dyDescent="0.25">
      <c r="T51" s="299" t="s">
        <v>113</v>
      </c>
      <c r="U51" s="300">
        <f>U42</f>
        <v>0</v>
      </c>
      <c r="V51" s="303" t="e">
        <f t="shared" ref="V51:W51" ca="1" si="37">(V42-$C$46)/$C$46</f>
        <v>#DIV/0!</v>
      </c>
      <c r="W51" s="304" t="e">
        <f t="shared" ca="1" si="37"/>
        <v>#DIV/0!</v>
      </c>
      <c r="X51" s="304" t="e">
        <f ca="1">(X42-$C$46)/$C$46</f>
        <v>#DIV/0!</v>
      </c>
      <c r="Y51" s="304" t="e">
        <f t="shared" ref="Y51:Z51" ca="1" si="38">(Y42-$C$46)/$C$46</f>
        <v>#DIV/0!</v>
      </c>
      <c r="Z51" s="303" t="e">
        <f t="shared" ca="1" si="38"/>
        <v>#DIV/0!</v>
      </c>
    </row>
    <row r="52" spans="2:26" x14ac:dyDescent="0.25">
      <c r="T52" s="299" t="s">
        <v>115</v>
      </c>
      <c r="U52" s="298">
        <f t="shared" ref="U52:U53" si="39">U51+0.5</f>
        <v>0.5</v>
      </c>
      <c r="V52" s="303" t="e">
        <f t="shared" ref="V52:W52" ca="1" si="40">(V43-$C$46)/$C$46</f>
        <v>#DIV/0!</v>
      </c>
      <c r="W52" s="304" t="e">
        <f t="shared" ca="1" si="40"/>
        <v>#DIV/0!</v>
      </c>
      <c r="X52" s="304" t="e">
        <f t="shared" ref="X52:Z52" ca="1" si="41">(X43-$C$46)/$C$46</f>
        <v>#DIV/0!</v>
      </c>
      <c r="Y52" s="304" t="e">
        <f t="shared" ca="1" si="41"/>
        <v>#DIV/0!</v>
      </c>
      <c r="Z52" s="303" t="e">
        <f t="shared" ca="1" si="41"/>
        <v>#DIV/0!</v>
      </c>
    </row>
    <row r="53" spans="2:26" x14ac:dyDescent="0.25">
      <c r="B53" s="2" t="s">
        <v>121</v>
      </c>
      <c r="C53" s="2"/>
      <c r="T53" s="301"/>
      <c r="U53" s="298">
        <f t="shared" si="39"/>
        <v>1</v>
      </c>
      <c r="V53" s="303" t="e">
        <f t="shared" ref="V53:W53" ca="1" si="42">(V44-$C$46)/$C$46</f>
        <v>#DIV/0!</v>
      </c>
      <c r="W53" s="303" t="e">
        <f t="shared" ca="1" si="42"/>
        <v>#DIV/0!</v>
      </c>
      <c r="X53" s="303" t="e">
        <f t="shared" ref="X53:Z53" ca="1" si="43">(X44-$C$46)/$C$46</f>
        <v>#DIV/0!</v>
      </c>
      <c r="Y53" s="303" t="e">
        <f t="shared" ca="1" si="43"/>
        <v>#DIV/0!</v>
      </c>
      <c r="Z53" s="303" t="e">
        <f t="shared" ca="1" si="43"/>
        <v>#DIV/0!</v>
      </c>
    </row>
    <row r="54" spans="2:26" x14ac:dyDescent="0.25">
      <c r="B54" t="s">
        <v>36</v>
      </c>
      <c r="C54" s="43">
        <f>M9</f>
        <v>0</v>
      </c>
    </row>
    <row r="55" spans="2:26" x14ac:dyDescent="0.25">
      <c r="B55" t="s">
        <v>122</v>
      </c>
      <c r="C55" s="267" t="e">
        <f ca="1">C37</f>
        <v>#DIV/0!</v>
      </c>
      <c r="T55" s="288" t="s">
        <v>123</v>
      </c>
      <c r="U55" s="289"/>
      <c r="V55" s="289"/>
      <c r="W55" s="289"/>
      <c r="X55" s="289"/>
      <c r="Y55" s="289"/>
      <c r="Z55" s="289"/>
    </row>
    <row r="56" spans="2:26" x14ac:dyDescent="0.25">
      <c r="B56" t="s">
        <v>110</v>
      </c>
      <c r="C56" s="267" t="e">
        <f ca="1">(((M31)*(1+M9))/(H12-M9))*M32</f>
        <v>#DIV/0!</v>
      </c>
    </row>
    <row r="57" spans="2:26" x14ac:dyDescent="0.25">
      <c r="B57" s="13" t="s">
        <v>112</v>
      </c>
      <c r="C57" s="285" t="e">
        <f ca="1">C55+C56</f>
        <v>#DIV/0!</v>
      </c>
      <c r="X57" s="290" t="s">
        <v>106</v>
      </c>
    </row>
    <row r="58" spans="2:26" x14ac:dyDescent="0.25">
      <c r="B58" t="s">
        <v>114</v>
      </c>
      <c r="C58" s="260">
        <f>WACC_Calculator!L8</f>
        <v>0</v>
      </c>
      <c r="V58" s="292"/>
      <c r="W58" s="292"/>
      <c r="X58" s="293" t="s">
        <v>48</v>
      </c>
      <c r="Y58" s="292"/>
      <c r="Z58" s="292"/>
    </row>
    <row r="59" spans="2:26" x14ac:dyDescent="0.25">
      <c r="B59" t="s">
        <v>116</v>
      </c>
      <c r="C59" s="260">
        <f>C45</f>
        <v>0</v>
      </c>
      <c r="U59" s="294">
        <f>E64</f>
        <v>0</v>
      </c>
      <c r="V59" s="295" t="e">
        <f t="shared" ref="V59:W59" si="44">W59-0.005</f>
        <v>#DIV/0!</v>
      </c>
      <c r="W59" s="295" t="e">
        <f t="shared" si="44"/>
        <v>#DIV/0!</v>
      </c>
      <c r="X59" s="296" t="e">
        <f>X39</f>
        <v>#DIV/0!</v>
      </c>
      <c r="Y59" s="295" t="e">
        <f t="shared" ref="Y59" si="45">X59+0.005</f>
        <v>#DIV/0!</v>
      </c>
      <c r="Z59" s="295" t="e">
        <f>Y59+0.005</f>
        <v>#DIV/0!</v>
      </c>
    </row>
    <row r="60" spans="2:26" x14ac:dyDescent="0.25">
      <c r="B60" s="13" t="s">
        <v>106</v>
      </c>
      <c r="C60" s="285" t="e">
        <f ca="1">C57-C58+C59</f>
        <v>#DIV/0!</v>
      </c>
      <c r="T60" s="297"/>
      <c r="U60" s="90">
        <f>U61-0.005</f>
        <v>-0.01</v>
      </c>
      <c r="V60" s="260" t="e">
        <f t="shared" ref="V60:Z64" ca="1" si="46">(SUM($I$34:$M$34))+((($M$31*(1+$U60))/(V$59-$U60))*(1/((1+V$59)^(($M$16-$C$9)/365))))-$C$44+$C$45</f>
        <v>#DIV/0!</v>
      </c>
      <c r="W60" s="260" t="e">
        <f t="shared" ca="1" si="46"/>
        <v>#DIV/0!</v>
      </c>
      <c r="X60" s="260" t="e">
        <f t="shared" ca="1" si="46"/>
        <v>#DIV/0!</v>
      </c>
      <c r="Y60" s="260" t="e">
        <f t="shared" ca="1" si="46"/>
        <v>#DIV/0!</v>
      </c>
      <c r="Z60" s="260" t="e">
        <f t="shared" ca="1" si="46"/>
        <v>#DIV/0!</v>
      </c>
    </row>
    <row r="61" spans="2:26" x14ac:dyDescent="0.25">
      <c r="B61" t="s">
        <v>117</v>
      </c>
      <c r="C61" s="260">
        <f>M10</f>
        <v>15334.08</v>
      </c>
      <c r="T61" s="299" t="s">
        <v>124</v>
      </c>
      <c r="U61" s="90">
        <f>U62-0.005</f>
        <v>-5.0000000000000001E-3</v>
      </c>
      <c r="V61" s="260" t="e">
        <f t="shared" ca="1" si="46"/>
        <v>#DIV/0!</v>
      </c>
      <c r="W61" s="306" t="e">
        <f t="shared" ca="1" si="46"/>
        <v>#DIV/0!</v>
      </c>
      <c r="X61" s="306" t="e">
        <f t="shared" ca="1" si="46"/>
        <v>#DIV/0!</v>
      </c>
      <c r="Y61" s="306" t="e">
        <f t="shared" ca="1" si="46"/>
        <v>#DIV/0!</v>
      </c>
      <c r="Z61" s="260" t="e">
        <f t="shared" ca="1" si="46"/>
        <v>#DIV/0!</v>
      </c>
    </row>
    <row r="62" spans="2:26" x14ac:dyDescent="0.25">
      <c r="B62" s="18" t="s">
        <v>119</v>
      </c>
      <c r="C62" s="286" t="e">
        <f ca="1">C60/C61</f>
        <v>#DIV/0!</v>
      </c>
      <c r="T62" s="299" t="s">
        <v>125</v>
      </c>
      <c r="U62" s="305">
        <f>M9</f>
        <v>0</v>
      </c>
      <c r="V62" s="260" t="e">
        <f t="shared" ca="1" si="46"/>
        <v>#DIV/0!</v>
      </c>
      <c r="W62" s="306" t="e">
        <f t="shared" ca="1" si="46"/>
        <v>#DIV/0!</v>
      </c>
      <c r="X62" s="306" t="e">
        <f t="shared" ca="1" si="46"/>
        <v>#DIV/0!</v>
      </c>
      <c r="Y62" s="306" t="e">
        <f t="shared" ca="1" si="46"/>
        <v>#DIV/0!</v>
      </c>
      <c r="Z62" s="260" t="e">
        <f t="shared" ca="1" si="46"/>
        <v>#DIV/0!</v>
      </c>
    </row>
    <row r="63" spans="2:26" x14ac:dyDescent="0.25">
      <c r="B63" s="11" t="s">
        <v>120</v>
      </c>
      <c r="C63" s="120" t="e">
        <f ca="1">(C62-M11)/M11</f>
        <v>#DIV/0!</v>
      </c>
      <c r="T63" s="299" t="s">
        <v>126</v>
      </c>
      <c r="U63" s="90">
        <f>U62+0.005</f>
        <v>5.0000000000000001E-3</v>
      </c>
      <c r="V63" s="260" t="e">
        <f t="shared" ca="1" si="46"/>
        <v>#DIV/0!</v>
      </c>
      <c r="W63" s="306" t="e">
        <f t="shared" ca="1" si="46"/>
        <v>#DIV/0!</v>
      </c>
      <c r="X63" s="306" t="e">
        <f t="shared" ca="1" si="46"/>
        <v>#DIV/0!</v>
      </c>
      <c r="Y63" s="306" t="e">
        <f t="shared" ca="1" si="46"/>
        <v>#DIV/0!</v>
      </c>
      <c r="Z63" s="260" t="e">
        <f t="shared" ca="1" si="46"/>
        <v>#DIV/0!</v>
      </c>
    </row>
    <row r="64" spans="2:26" x14ac:dyDescent="0.25">
      <c r="T64" s="301"/>
      <c r="U64" s="90">
        <f>U63+0.005</f>
        <v>0.01</v>
      </c>
      <c r="V64" s="260" t="e">
        <f t="shared" ca="1" si="46"/>
        <v>#DIV/0!</v>
      </c>
      <c r="W64" s="260" t="e">
        <f t="shared" ca="1" si="46"/>
        <v>#DIV/0!</v>
      </c>
      <c r="X64" s="260" t="e">
        <f t="shared" ca="1" si="46"/>
        <v>#DIV/0!</v>
      </c>
      <c r="Y64" s="260" t="e">
        <f t="shared" ca="1" si="46"/>
        <v>#DIV/0!</v>
      </c>
      <c r="Z64" s="260" t="e">
        <f t="shared" ca="1" si="46"/>
        <v>#DIV/0!</v>
      </c>
    </row>
    <row r="66" spans="20:26" x14ac:dyDescent="0.25">
      <c r="X66" s="290" t="s">
        <v>118</v>
      </c>
    </row>
    <row r="67" spans="20:26" x14ac:dyDescent="0.25">
      <c r="V67" s="292"/>
      <c r="W67" s="292"/>
      <c r="X67" s="293" t="s">
        <v>48</v>
      </c>
      <c r="Y67" s="292"/>
      <c r="Z67" s="292"/>
    </row>
    <row r="68" spans="20:26" x14ac:dyDescent="0.25">
      <c r="U68" s="294">
        <f>E70</f>
        <v>0</v>
      </c>
      <c r="V68" s="295" t="e">
        <f t="shared" ref="V68:W68" si="47">W68-0.005</f>
        <v>#DIV/0!</v>
      </c>
      <c r="W68" s="295" t="e">
        <f t="shared" si="47"/>
        <v>#DIV/0!</v>
      </c>
      <c r="X68" s="296" t="e">
        <f>X39</f>
        <v>#DIV/0!</v>
      </c>
      <c r="Y68" s="295" t="e">
        <f t="shared" ref="Y68:Z68" si="48">X68+0.005</f>
        <v>#DIV/0!</v>
      </c>
      <c r="Z68" s="295" t="e">
        <f t="shared" si="48"/>
        <v>#DIV/0!</v>
      </c>
    </row>
    <row r="69" spans="20:26" x14ac:dyDescent="0.25">
      <c r="T69" s="297"/>
      <c r="U69" s="90">
        <f>U70-0.005</f>
        <v>-0.01</v>
      </c>
      <c r="V69" s="303" t="e">
        <f t="shared" ref="V69:W69" ca="1" si="49">(V60-$C$60)/$C$60</f>
        <v>#DIV/0!</v>
      </c>
      <c r="W69" s="303" t="e">
        <f t="shared" ca="1" si="49"/>
        <v>#DIV/0!</v>
      </c>
      <c r="X69" s="303" t="e">
        <f t="shared" ref="X69:Z69" ca="1" si="50">(X60-$C$60)/$C$60</f>
        <v>#DIV/0!</v>
      </c>
      <c r="Y69" s="303" t="e">
        <f t="shared" ca="1" si="50"/>
        <v>#DIV/0!</v>
      </c>
      <c r="Z69" s="303" t="e">
        <f t="shared" ca="1" si="50"/>
        <v>#DIV/0!</v>
      </c>
    </row>
    <row r="70" spans="20:26" x14ac:dyDescent="0.25">
      <c r="T70" s="299" t="s">
        <v>124</v>
      </c>
      <c r="U70" s="90">
        <f>U71-0.005</f>
        <v>-5.0000000000000001E-3</v>
      </c>
      <c r="V70" s="303" t="e">
        <f t="shared" ref="V70:W70" ca="1" si="51">(V61-$C$60)/$C$60</f>
        <v>#DIV/0!</v>
      </c>
      <c r="W70" s="304" t="e">
        <f t="shared" ca="1" si="51"/>
        <v>#DIV/0!</v>
      </c>
      <c r="X70" s="304" t="e">
        <f t="shared" ref="X70:Z70" ca="1" si="52">(X61-$C$60)/$C$60</f>
        <v>#DIV/0!</v>
      </c>
      <c r="Y70" s="304" t="e">
        <f t="shared" ca="1" si="52"/>
        <v>#DIV/0!</v>
      </c>
      <c r="Z70" s="303" t="e">
        <f t="shared" ca="1" si="52"/>
        <v>#DIV/0!</v>
      </c>
    </row>
    <row r="71" spans="20:26" x14ac:dyDescent="0.25">
      <c r="T71" s="299" t="s">
        <v>125</v>
      </c>
      <c r="U71" s="305">
        <f>U62</f>
        <v>0</v>
      </c>
      <c r="V71" s="303" t="e">
        <f t="shared" ref="V71" ca="1" si="53">(V62-$C$60)/$C$60</f>
        <v>#DIV/0!</v>
      </c>
      <c r="W71" s="304" t="e">
        <f ca="1">(W62-$C$60)/$C$60</f>
        <v>#DIV/0!</v>
      </c>
      <c r="X71" s="304" t="e">
        <f ca="1">(X62-$C$60)/$C$60</f>
        <v>#DIV/0!</v>
      </c>
      <c r="Y71" s="304" t="e">
        <f t="shared" ref="Y71" ca="1" si="54">(Y62-$C$60)/$C$60</f>
        <v>#DIV/0!</v>
      </c>
      <c r="Z71" s="303" t="e">
        <f ca="1">(Z62-$C$60)/$C$60</f>
        <v>#DIV/0!</v>
      </c>
    </row>
    <row r="72" spans="20:26" x14ac:dyDescent="0.25">
      <c r="T72" s="299" t="s">
        <v>126</v>
      </c>
      <c r="U72" s="90">
        <f>U71+0.005</f>
        <v>5.0000000000000001E-3</v>
      </c>
      <c r="V72" s="303" t="e">
        <f t="shared" ref="V72:W72" ca="1" si="55">(V63-$C$60)/$C$60</f>
        <v>#DIV/0!</v>
      </c>
      <c r="W72" s="304" t="e">
        <f t="shared" ca="1" si="55"/>
        <v>#DIV/0!</v>
      </c>
      <c r="X72" s="304" t="e">
        <f t="shared" ref="X72:Z72" ca="1" si="56">(X63-$C$60)/$C$60</f>
        <v>#DIV/0!</v>
      </c>
      <c r="Y72" s="304" t="e">
        <f t="shared" ca="1" si="56"/>
        <v>#DIV/0!</v>
      </c>
      <c r="Z72" s="303" t="e">
        <f t="shared" ca="1" si="56"/>
        <v>#DIV/0!</v>
      </c>
    </row>
    <row r="73" spans="20:26" x14ac:dyDescent="0.25">
      <c r="T73" s="301"/>
      <c r="U73" s="90">
        <f>U72+0.005</f>
        <v>0.01</v>
      </c>
      <c r="V73" s="303" t="e">
        <f t="shared" ref="V73:W73" ca="1" si="57">(V64-$C$60)/$C$60</f>
        <v>#DIV/0!</v>
      </c>
      <c r="W73" s="303" t="e">
        <f t="shared" ca="1" si="57"/>
        <v>#DIV/0!</v>
      </c>
      <c r="X73" s="303" t="e">
        <f t="shared" ref="X73:Z73" ca="1" si="58">(X64-$C$60)/$C$60</f>
        <v>#DIV/0!</v>
      </c>
      <c r="Y73" s="303" t="e">
        <f t="shared" ca="1" si="58"/>
        <v>#DIV/0!</v>
      </c>
      <c r="Z73" s="303" t="e">
        <f t="shared" ca="1" si="58"/>
        <v>#DIV/0!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4EEE9-691A-4DFD-85CB-9CD8C31D1D0B}">
  <sheetPr codeName="Sheet16"/>
  <dimension ref="B2:N62"/>
  <sheetViews>
    <sheetView workbookViewId="0">
      <selection activeCell="J67" sqref="J67"/>
    </sheetView>
  </sheetViews>
  <sheetFormatPr defaultRowHeight="15" x14ac:dyDescent="0.25"/>
  <cols>
    <col min="2" max="2" width="21.7109375" customWidth="1"/>
    <col min="3" max="3" width="16.28515625" bestFit="1" customWidth="1"/>
    <col min="4" max="14" width="9.7109375" bestFit="1" customWidth="1"/>
  </cols>
  <sheetData>
    <row r="2" spans="2:14" ht="15.75" thickBot="1" x14ac:dyDescent="0.3">
      <c r="B2" s="6" t="str">
        <f>DCF!B2</f>
        <v>APPLE INC.</v>
      </c>
      <c r="C2" s="6" t="s">
        <v>348</v>
      </c>
      <c r="D2" s="19"/>
      <c r="E2" s="19"/>
      <c r="F2" s="19"/>
      <c r="G2" s="19"/>
      <c r="H2" s="19"/>
      <c r="I2" s="19"/>
      <c r="J2" s="19"/>
      <c r="K2" s="19"/>
      <c r="L2" s="19"/>
      <c r="M2" s="19"/>
      <c r="N2" s="19"/>
    </row>
    <row r="3" spans="2:14" ht="15.75" thickTop="1" x14ac:dyDescent="0.25">
      <c r="B3" t="s">
        <v>76</v>
      </c>
    </row>
    <row r="4" spans="2:14" x14ac:dyDescent="0.25">
      <c r="B4" t="s">
        <v>77</v>
      </c>
    </row>
    <row r="6" spans="2:14" x14ac:dyDescent="0.25">
      <c r="D6" s="1"/>
      <c r="E6" s="1"/>
      <c r="F6" s="1"/>
      <c r="G6" s="1"/>
      <c r="H6" s="2" t="s">
        <v>307</v>
      </c>
      <c r="I6" s="1"/>
      <c r="J6" s="1"/>
      <c r="K6" s="1"/>
      <c r="L6" s="1"/>
      <c r="M6" s="1"/>
      <c r="N6" s="1"/>
    </row>
    <row r="8" spans="2:14" x14ac:dyDescent="0.25">
      <c r="D8" t="s">
        <v>308</v>
      </c>
      <c r="G8" s="167">
        <f>DCF!M11</f>
        <v>189.87</v>
      </c>
      <c r="K8" t="s">
        <v>316</v>
      </c>
      <c r="N8" s="168">
        <f ca="1">DATE(YEAR(D35)+Hub!T31,MONTH(D35),DAY(D35))</f>
        <v>45291</v>
      </c>
    </row>
    <row r="9" spans="2:14" x14ac:dyDescent="0.25">
      <c r="D9" t="s">
        <v>309</v>
      </c>
      <c r="G9" s="138">
        <f>DCF!M10</f>
        <v>15334.08</v>
      </c>
      <c r="K9" t="s">
        <v>313</v>
      </c>
      <c r="N9" s="169">
        <f>Hub!T30</f>
        <v>0</v>
      </c>
    </row>
    <row r="11" spans="2:14" x14ac:dyDescent="0.25">
      <c r="D11" t="s">
        <v>299</v>
      </c>
      <c r="G11" s="103">
        <f>Hub!T29</f>
        <v>0</v>
      </c>
      <c r="K11" t="s">
        <v>301</v>
      </c>
      <c r="N11" s="111">
        <f>Hub!T32</f>
        <v>0</v>
      </c>
    </row>
    <row r="12" spans="2:14" x14ac:dyDescent="0.25">
      <c r="K12" t="s">
        <v>302</v>
      </c>
      <c r="N12" s="111">
        <f>Hub!T33</f>
        <v>0</v>
      </c>
    </row>
    <row r="13" spans="2:14" x14ac:dyDescent="0.25">
      <c r="D13" s="10" t="s">
        <v>310</v>
      </c>
      <c r="G13" s="138">
        <f>G8*G9*(1+G11)</f>
        <v>2911481.7696000002</v>
      </c>
      <c r="K13" t="s">
        <v>303</v>
      </c>
      <c r="N13" s="170">
        <f>Hub!T34</f>
        <v>0</v>
      </c>
    </row>
    <row r="14" spans="2:14" x14ac:dyDescent="0.25">
      <c r="D14" t="s">
        <v>331</v>
      </c>
      <c r="G14">
        <f>Net_Working_Capital!H7</f>
        <v>0</v>
      </c>
    </row>
    <row r="15" spans="2:14" x14ac:dyDescent="0.25">
      <c r="D15" t="s">
        <v>332</v>
      </c>
      <c r="G15" s="156">
        <f>Debt_Schedule!Y41</f>
        <v>0</v>
      </c>
      <c r="K15" t="s">
        <v>304</v>
      </c>
      <c r="N15">
        <f>Hub!T35</f>
        <v>0</v>
      </c>
    </row>
    <row r="16" spans="2:14" x14ac:dyDescent="0.25">
      <c r="D16" s="23" t="s">
        <v>311</v>
      </c>
      <c r="E16" s="23"/>
      <c r="F16" s="23"/>
      <c r="G16" s="166">
        <f>G13-G14+G15</f>
        <v>2911481.7696000002</v>
      </c>
      <c r="K16" t="s">
        <v>315</v>
      </c>
      <c r="N16">
        <f>DCF!H22*N15</f>
        <v>0</v>
      </c>
    </row>
    <row r="17" spans="4:14" x14ac:dyDescent="0.25">
      <c r="K17" t="s">
        <v>314</v>
      </c>
      <c r="N17" s="111">
        <f>Hub!H22+Hub!T36</f>
        <v>0</v>
      </c>
    </row>
    <row r="18" spans="4:14" x14ac:dyDescent="0.25">
      <c r="D18" t="s">
        <v>312</v>
      </c>
      <c r="G18" t="e">
        <f>G16/DCF!H22</f>
        <v>#DIV/0!</v>
      </c>
    </row>
    <row r="20" spans="4:14" x14ac:dyDescent="0.25">
      <c r="D20" s="1"/>
      <c r="E20" s="1"/>
      <c r="F20" s="1"/>
      <c r="G20" s="1"/>
      <c r="H20" s="1"/>
      <c r="I20" s="2" t="s">
        <v>318</v>
      </c>
      <c r="J20" s="1"/>
      <c r="K20" s="1"/>
      <c r="L20" s="1"/>
      <c r="M20" s="1"/>
      <c r="N20" s="1"/>
    </row>
    <row r="22" spans="4:14" x14ac:dyDescent="0.25">
      <c r="D22" s="129"/>
      <c r="E22" s="3" t="s">
        <v>320</v>
      </c>
      <c r="F22" s="129"/>
      <c r="G22" s="129"/>
      <c r="K22" s="129"/>
      <c r="L22" s="3" t="s">
        <v>319</v>
      </c>
      <c r="M22" s="129"/>
      <c r="N22" s="129"/>
    </row>
    <row r="24" spans="4:14" x14ac:dyDescent="0.25">
      <c r="D24" t="s">
        <v>321</v>
      </c>
      <c r="G24" s="138">
        <f>N16</f>
        <v>0</v>
      </c>
      <c r="K24" t="s">
        <v>324</v>
      </c>
      <c r="N24" s="138">
        <f>G15</f>
        <v>0</v>
      </c>
    </row>
    <row r="25" spans="4:14" x14ac:dyDescent="0.25">
      <c r="D25" t="s">
        <v>322</v>
      </c>
      <c r="G25" s="138">
        <f>G14</f>
        <v>0</v>
      </c>
      <c r="K25" t="s">
        <v>325</v>
      </c>
      <c r="N25" s="138">
        <f>(G16*N11)+(N16*N12)+N13</f>
        <v>0</v>
      </c>
    </row>
    <row r="26" spans="4:14" x14ac:dyDescent="0.25">
      <c r="D26" t="s">
        <v>323</v>
      </c>
      <c r="G26" s="138">
        <f>N28-G24-G25</f>
        <v>2911481.7696000002</v>
      </c>
      <c r="K26" t="s">
        <v>327</v>
      </c>
      <c r="N26" s="138">
        <f>G13</f>
        <v>2911481.7696000002</v>
      </c>
    </row>
    <row r="27" spans="4:14" x14ac:dyDescent="0.25">
      <c r="G27" s="138"/>
      <c r="K27" t="s">
        <v>326</v>
      </c>
      <c r="N27" s="138">
        <f>N9*DCF!H22</f>
        <v>0</v>
      </c>
    </row>
    <row r="28" spans="4:14" x14ac:dyDescent="0.25">
      <c r="D28" s="12" t="s">
        <v>328</v>
      </c>
      <c r="E28" s="23"/>
      <c r="F28" s="23"/>
      <c r="G28" s="166">
        <f>SUM(G24:G26)</f>
        <v>2911481.7696000002</v>
      </c>
      <c r="K28" s="12" t="s">
        <v>329</v>
      </c>
      <c r="L28" s="23"/>
      <c r="M28" s="23"/>
      <c r="N28" s="166">
        <f>SUM(N24:N27)</f>
        <v>2911481.7696000002</v>
      </c>
    </row>
    <row r="33" spans="2:14" x14ac:dyDescent="0.25">
      <c r="D33" s="158" t="s">
        <v>330</v>
      </c>
      <c r="E33" s="4"/>
      <c r="F33" s="3"/>
      <c r="G33" s="3"/>
      <c r="H33" s="3"/>
      <c r="I33" s="3" t="s">
        <v>86</v>
      </c>
      <c r="J33" s="3"/>
      <c r="K33" s="3"/>
      <c r="L33" s="3"/>
      <c r="M33" s="3"/>
      <c r="N33" s="3"/>
    </row>
    <row r="34" spans="2:14" x14ac:dyDescent="0.25">
      <c r="D34" s="7">
        <f ca="1">YEAR(D35)</f>
        <v>2023</v>
      </c>
      <c r="E34" s="8">
        <f ca="1">YEAR(E35)</f>
        <v>2024</v>
      </c>
      <c r="F34" s="8">
        <f t="shared" ref="F34:N34" ca="1" si="0">YEAR(F35)</f>
        <v>2025</v>
      </c>
      <c r="G34" s="8">
        <f t="shared" ca="1" si="0"/>
        <v>2026</v>
      </c>
      <c r="H34" s="8">
        <f t="shared" ca="1" si="0"/>
        <v>2027</v>
      </c>
      <c r="I34" s="8">
        <f t="shared" ca="1" si="0"/>
        <v>2028</v>
      </c>
      <c r="J34" s="8">
        <f t="shared" ca="1" si="0"/>
        <v>2029</v>
      </c>
      <c r="K34" s="8">
        <f t="shared" ca="1" si="0"/>
        <v>2030</v>
      </c>
      <c r="L34" s="8">
        <f t="shared" ca="1" si="0"/>
        <v>2031</v>
      </c>
      <c r="M34" s="8">
        <f t="shared" ca="1" si="0"/>
        <v>2032</v>
      </c>
      <c r="N34" s="8">
        <f t="shared" ca="1" si="0"/>
        <v>2033</v>
      </c>
    </row>
    <row r="35" spans="2:14" x14ac:dyDescent="0.25">
      <c r="D35" s="9">
        <f ca="1">DCF!C10</f>
        <v>45291</v>
      </c>
      <c r="E35" s="9">
        <f ca="1">EOMONTH(D35,12)</f>
        <v>45657</v>
      </c>
      <c r="F35" s="9">
        <f t="shared" ref="F35:I35" ca="1" si="1">EOMONTH(E35,12)</f>
        <v>46022</v>
      </c>
      <c r="G35" s="9">
        <f t="shared" ca="1" si="1"/>
        <v>46387</v>
      </c>
      <c r="H35" s="9">
        <f t="shared" ca="1" si="1"/>
        <v>46752</v>
      </c>
      <c r="I35" s="9">
        <f t="shared" ca="1" si="1"/>
        <v>47118</v>
      </c>
      <c r="J35" s="9">
        <f t="shared" ref="J35" ca="1" si="2">EOMONTH(I35,12)</f>
        <v>47483</v>
      </c>
      <c r="K35" s="9">
        <f t="shared" ref="K35" ca="1" si="3">EOMONTH(J35,12)</f>
        <v>47848</v>
      </c>
      <c r="L35" s="9">
        <f t="shared" ref="L35" ca="1" si="4">EOMONTH(K35,12)</f>
        <v>48213</v>
      </c>
      <c r="M35" s="9">
        <f t="shared" ref="M35:N35" ca="1" si="5">EOMONTH(L35,12)</f>
        <v>48579</v>
      </c>
      <c r="N35" s="9">
        <f t="shared" ca="1" si="5"/>
        <v>48944</v>
      </c>
    </row>
    <row r="36" spans="2:14" x14ac:dyDescent="0.25">
      <c r="D36" s="9"/>
      <c r="E36" s="9"/>
      <c r="F36" s="9"/>
      <c r="G36" s="9"/>
      <c r="H36" s="9"/>
      <c r="I36" s="9"/>
      <c r="J36" s="9"/>
      <c r="K36" s="9"/>
      <c r="L36" s="9"/>
      <c r="M36" s="9"/>
      <c r="N36" s="9"/>
    </row>
    <row r="37" spans="2:14" x14ac:dyDescent="0.25">
      <c r="B37" s="105" t="s">
        <v>342</v>
      </c>
      <c r="C37" s="105"/>
      <c r="D37" s="172">
        <f>DCF!H22</f>
        <v>0</v>
      </c>
      <c r="E37" s="172" t="e">
        <f ca="1">DCF!I22</f>
        <v>#DIV/0!</v>
      </c>
      <c r="F37" s="172" t="e">
        <f ca="1">DCF!J22</f>
        <v>#DIV/0!</v>
      </c>
      <c r="G37" s="172" t="e">
        <f ca="1">DCF!K22</f>
        <v>#DIV/0!</v>
      </c>
      <c r="H37" s="172" t="e">
        <f ca="1">DCF!L22</f>
        <v>#DIV/0!</v>
      </c>
      <c r="I37" s="172" t="e">
        <f ca="1">DCF!M22</f>
        <v>#DIV/0!</v>
      </c>
      <c r="J37" s="172" t="e">
        <f ca="1">DCF!N22</f>
        <v>#DIV/0!</v>
      </c>
      <c r="K37" s="172" t="e">
        <f ca="1">DCF!O22</f>
        <v>#DIV/0!</v>
      </c>
      <c r="L37" s="172" t="e">
        <f ca="1">DCF!P22</f>
        <v>#DIV/0!</v>
      </c>
      <c r="M37" s="172" t="e">
        <f ca="1">DCF!Q22</f>
        <v>#DIV/0!</v>
      </c>
      <c r="N37" s="172" t="e">
        <f ca="1">DCF!R22</f>
        <v>#DIV/0!</v>
      </c>
    </row>
    <row r="39" spans="2:14" x14ac:dyDescent="0.25">
      <c r="B39" s="13" t="s">
        <v>100</v>
      </c>
      <c r="C39" s="13"/>
      <c r="D39" s="13">
        <f>DCF!H31</f>
        <v>0</v>
      </c>
      <c r="E39" s="13" t="e">
        <f ca="1">DCF!I31</f>
        <v>#DIV/0!</v>
      </c>
      <c r="F39" s="13" t="e">
        <f ca="1">DCF!J31</f>
        <v>#DIV/0!</v>
      </c>
      <c r="G39" s="13" t="e">
        <f ca="1">DCF!K31</f>
        <v>#DIV/0!</v>
      </c>
      <c r="H39" s="13" t="e">
        <f ca="1">DCF!L31</f>
        <v>#DIV/0!</v>
      </c>
      <c r="I39" s="13" t="e">
        <f ca="1">DCF!M31</f>
        <v>#DIV/0!</v>
      </c>
      <c r="J39" s="13" t="e">
        <f ca="1">DCF!N31</f>
        <v>#DIV/0!</v>
      </c>
      <c r="K39" s="13" t="e">
        <f ca="1">DCF!O31</f>
        <v>#DIV/0!</v>
      </c>
      <c r="L39" s="13" t="e">
        <f ca="1">DCF!P31</f>
        <v>#DIV/0!</v>
      </c>
      <c r="M39" s="13" t="e">
        <f ca="1">DCF!Q31</f>
        <v>#DIV/0!</v>
      </c>
      <c r="N39" s="13" t="e">
        <f ca="1">DCF!R31</f>
        <v>#DIV/0!</v>
      </c>
    </row>
    <row r="41" spans="2:14" x14ac:dyDescent="0.25">
      <c r="B41" t="s">
        <v>333</v>
      </c>
      <c r="D41" s="69" t="s">
        <v>90</v>
      </c>
      <c r="E41" s="138">
        <f>D46</f>
        <v>0</v>
      </c>
      <c r="F41" s="138" t="e">
        <f t="shared" ref="F41:N41" ca="1" si="6">E46</f>
        <v>#DIV/0!</v>
      </c>
      <c r="G41" s="138" t="e">
        <f t="shared" ca="1" si="6"/>
        <v>#DIV/0!</v>
      </c>
      <c r="H41" s="138" t="e">
        <f t="shared" ca="1" si="6"/>
        <v>#DIV/0!</v>
      </c>
      <c r="I41" s="138" t="e">
        <f t="shared" ca="1" si="6"/>
        <v>#DIV/0!</v>
      </c>
      <c r="J41" s="138" t="e">
        <f t="shared" ca="1" si="6"/>
        <v>#DIV/0!</v>
      </c>
      <c r="K41" s="138" t="e">
        <f t="shared" ca="1" si="6"/>
        <v>#DIV/0!</v>
      </c>
      <c r="L41" s="138" t="e">
        <f t="shared" ca="1" si="6"/>
        <v>#DIV/0!</v>
      </c>
      <c r="M41" s="138" t="e">
        <f t="shared" ca="1" si="6"/>
        <v>#DIV/0!</v>
      </c>
      <c r="N41" s="138" t="e">
        <f t="shared" ca="1" si="6"/>
        <v>#DIV/0!</v>
      </c>
    </row>
    <row r="42" spans="2:14" x14ac:dyDescent="0.25">
      <c r="B42" t="s">
        <v>334</v>
      </c>
      <c r="D42" s="69" t="s">
        <v>90</v>
      </c>
      <c r="E42" t="e">
        <f ca="1">N9*E37</f>
        <v>#DIV/0!</v>
      </c>
      <c r="F42" t="e">
        <f t="shared" ref="F42:N42" ca="1" si="7">O9*F37</f>
        <v>#DIV/0!</v>
      </c>
      <c r="G42" t="e">
        <f t="shared" ca="1" si="7"/>
        <v>#DIV/0!</v>
      </c>
      <c r="H42" t="e">
        <f t="shared" ca="1" si="7"/>
        <v>#DIV/0!</v>
      </c>
      <c r="I42" t="e">
        <f t="shared" ca="1" si="7"/>
        <v>#DIV/0!</v>
      </c>
      <c r="J42" t="e">
        <f t="shared" ca="1" si="7"/>
        <v>#DIV/0!</v>
      </c>
      <c r="K42" t="e">
        <f t="shared" ca="1" si="7"/>
        <v>#DIV/0!</v>
      </c>
      <c r="L42" t="e">
        <f t="shared" ca="1" si="7"/>
        <v>#DIV/0!</v>
      </c>
      <c r="M42" t="e">
        <f t="shared" ca="1" si="7"/>
        <v>#DIV/0!</v>
      </c>
      <c r="N42" t="e">
        <f t="shared" ca="1" si="7"/>
        <v>#DIV/0!</v>
      </c>
    </row>
    <row r="43" spans="2:14" x14ac:dyDescent="0.25">
      <c r="B43" s="105" t="s">
        <v>335</v>
      </c>
      <c r="C43" s="109"/>
      <c r="D43" s="109"/>
      <c r="E43" s="171" t="e">
        <f ca="1">E39+E41-E42</f>
        <v>#DIV/0!</v>
      </c>
      <c r="F43" s="171" t="e">
        <f t="shared" ref="F43:N43" ca="1" si="8">F39+F41-F42</f>
        <v>#DIV/0!</v>
      </c>
      <c r="G43" s="171" t="e">
        <f t="shared" ca="1" si="8"/>
        <v>#DIV/0!</v>
      </c>
      <c r="H43" s="171" t="e">
        <f t="shared" ca="1" si="8"/>
        <v>#DIV/0!</v>
      </c>
      <c r="I43" s="171" t="e">
        <f t="shared" ca="1" si="8"/>
        <v>#DIV/0!</v>
      </c>
      <c r="J43" s="171" t="e">
        <f t="shared" ca="1" si="8"/>
        <v>#DIV/0!</v>
      </c>
      <c r="K43" s="171" t="e">
        <f t="shared" ca="1" si="8"/>
        <v>#DIV/0!</v>
      </c>
      <c r="L43" s="171" t="e">
        <f t="shared" ca="1" si="8"/>
        <v>#DIV/0!</v>
      </c>
      <c r="M43" s="171" t="e">
        <f t="shared" ca="1" si="8"/>
        <v>#DIV/0!</v>
      </c>
      <c r="N43" s="171" t="e">
        <f t="shared" ca="1" si="8"/>
        <v>#DIV/0!</v>
      </c>
    </row>
    <row r="45" spans="2:14" x14ac:dyDescent="0.25">
      <c r="B45" t="s">
        <v>336</v>
      </c>
      <c r="D45">
        <f>N16</f>
        <v>0</v>
      </c>
      <c r="E45" t="e">
        <f ca="1">D45-E43</f>
        <v>#DIV/0!</v>
      </c>
      <c r="F45" t="e">
        <f t="shared" ref="F45:N45" ca="1" si="9">E45-F43</f>
        <v>#DIV/0!</v>
      </c>
      <c r="G45" t="e">
        <f t="shared" ca="1" si="9"/>
        <v>#DIV/0!</v>
      </c>
      <c r="H45" t="e">
        <f t="shared" ca="1" si="9"/>
        <v>#DIV/0!</v>
      </c>
      <c r="I45" t="e">
        <f t="shared" ca="1" si="9"/>
        <v>#DIV/0!</v>
      </c>
      <c r="J45" t="e">
        <f t="shared" ca="1" si="9"/>
        <v>#DIV/0!</v>
      </c>
      <c r="K45" t="e">
        <f t="shared" ca="1" si="9"/>
        <v>#DIV/0!</v>
      </c>
      <c r="L45" t="e">
        <f t="shared" ca="1" si="9"/>
        <v>#DIV/0!</v>
      </c>
      <c r="M45" t="e">
        <f t="shared" ca="1" si="9"/>
        <v>#DIV/0!</v>
      </c>
      <c r="N45" t="e">
        <f t="shared" ca="1" si="9"/>
        <v>#DIV/0!</v>
      </c>
    </row>
    <row r="46" spans="2:14" x14ac:dyDescent="0.25">
      <c r="B46" t="s">
        <v>337</v>
      </c>
      <c r="D46" s="138">
        <f>N27</f>
        <v>0</v>
      </c>
      <c r="E46" s="138" t="e">
        <f ca="1">D46+E39+(E45-D45)</f>
        <v>#DIV/0!</v>
      </c>
      <c r="F46" s="138" t="e">
        <f t="shared" ref="F46:N46" ca="1" si="10">E46+F39+(F45-E45)</f>
        <v>#DIV/0!</v>
      </c>
      <c r="G46" s="138" t="e">
        <f t="shared" ca="1" si="10"/>
        <v>#DIV/0!</v>
      </c>
      <c r="H46" s="138" t="e">
        <f t="shared" ca="1" si="10"/>
        <v>#DIV/0!</v>
      </c>
      <c r="I46" s="138" t="e">
        <f t="shared" ca="1" si="10"/>
        <v>#DIV/0!</v>
      </c>
      <c r="J46" s="138" t="e">
        <f t="shared" ca="1" si="10"/>
        <v>#DIV/0!</v>
      </c>
      <c r="K46" s="138" t="e">
        <f t="shared" ca="1" si="10"/>
        <v>#DIV/0!</v>
      </c>
      <c r="L46" s="138" t="e">
        <f t="shared" ca="1" si="10"/>
        <v>#DIV/0!</v>
      </c>
      <c r="M46" s="138" t="e">
        <f t="shared" ca="1" si="10"/>
        <v>#DIV/0!</v>
      </c>
      <c r="N46" s="138" t="e">
        <f t="shared" ca="1" si="10"/>
        <v>#DIV/0!</v>
      </c>
    </row>
    <row r="47" spans="2:14" x14ac:dyDescent="0.25">
      <c r="B47" t="s">
        <v>338</v>
      </c>
      <c r="D47" s="138">
        <f>G26</f>
        <v>2911481.7696000002</v>
      </c>
      <c r="E47" s="138" t="e">
        <f ca="1">D47+Operating_Model!I105</f>
        <v>#DIV/0!</v>
      </c>
      <c r="F47" s="138" t="e">
        <f ca="1">E47+Operating_Model!J105</f>
        <v>#DIV/0!</v>
      </c>
      <c r="G47" s="138" t="e">
        <f ca="1">F47+Operating_Model!K105</f>
        <v>#DIV/0!</v>
      </c>
      <c r="H47" s="138" t="e">
        <f ca="1">G47+Operating_Model!L105</f>
        <v>#DIV/0!</v>
      </c>
      <c r="I47" s="138" t="e">
        <f ca="1">H47+Operating_Model!M105</f>
        <v>#DIV/0!</v>
      </c>
      <c r="J47" s="138" t="e">
        <f ca="1">I47+Operating_Model!N105</f>
        <v>#DIV/0!</v>
      </c>
      <c r="K47" s="138" t="e">
        <f ca="1">J47+Operating_Model!O105</f>
        <v>#DIV/0!</v>
      </c>
      <c r="L47" s="138" t="e">
        <f ca="1">K47+Operating_Model!P105</f>
        <v>#DIV/0!</v>
      </c>
      <c r="M47" s="138" t="e">
        <f ca="1">L47+Operating_Model!Q105</f>
        <v>#DIV/0!</v>
      </c>
      <c r="N47" s="138" t="e">
        <f ca="1">M47+Operating_Model!R105</f>
        <v>#DIV/0!</v>
      </c>
    </row>
    <row r="49" spans="2:14" x14ac:dyDescent="0.25">
      <c r="B49" t="s">
        <v>339</v>
      </c>
      <c r="D49" s="138">
        <f>D45+D47</f>
        <v>2911481.7696000002</v>
      </c>
      <c r="E49" s="138" t="e">
        <f t="shared" ref="E49:N49" ca="1" si="11">E45+E47</f>
        <v>#DIV/0!</v>
      </c>
      <c r="F49" s="138" t="e">
        <f t="shared" ca="1" si="11"/>
        <v>#DIV/0!</v>
      </c>
      <c r="G49" s="138" t="e">
        <f t="shared" ca="1" si="11"/>
        <v>#DIV/0!</v>
      </c>
      <c r="H49" s="138" t="e">
        <f t="shared" ca="1" si="11"/>
        <v>#DIV/0!</v>
      </c>
      <c r="I49" s="138" t="e">
        <f t="shared" ca="1" si="11"/>
        <v>#DIV/0!</v>
      </c>
      <c r="J49" s="138" t="e">
        <f t="shared" ca="1" si="11"/>
        <v>#DIV/0!</v>
      </c>
      <c r="K49" s="138" t="e">
        <f t="shared" ca="1" si="11"/>
        <v>#DIV/0!</v>
      </c>
      <c r="L49" s="138" t="e">
        <f t="shared" ca="1" si="11"/>
        <v>#DIV/0!</v>
      </c>
      <c r="M49" s="138" t="e">
        <f t="shared" ca="1" si="11"/>
        <v>#DIV/0!</v>
      </c>
      <c r="N49" s="138" t="e">
        <f t="shared" ca="1" si="11"/>
        <v>#DIV/0!</v>
      </c>
    </row>
    <row r="50" spans="2:14" x14ac:dyDescent="0.25">
      <c r="B50" t="s">
        <v>340</v>
      </c>
      <c r="D50">
        <f>DCF!H27</f>
        <v>0</v>
      </c>
      <c r="E50" t="e">
        <f ca="1">DCF!I27</f>
        <v>#DIV/0!</v>
      </c>
      <c r="F50" t="e">
        <f ca="1">DCF!J27</f>
        <v>#DIV/0!</v>
      </c>
      <c r="G50" t="e">
        <f ca="1">DCF!K27</f>
        <v>#DIV/0!</v>
      </c>
      <c r="H50" t="e">
        <f ca="1">DCF!L27</f>
        <v>#DIV/0!</v>
      </c>
      <c r="I50" t="e">
        <f ca="1">DCF!M27</f>
        <v>#DIV/0!</v>
      </c>
      <c r="J50" t="e">
        <f ca="1">DCF!N27</f>
        <v>#DIV/0!</v>
      </c>
      <c r="K50" t="e">
        <f ca="1">DCF!O27</f>
        <v>#DIV/0!</v>
      </c>
      <c r="L50" t="e">
        <f ca="1">DCF!P27</f>
        <v>#DIV/0!</v>
      </c>
      <c r="M50" t="e">
        <f ca="1">DCF!Q27</f>
        <v>#DIV/0!</v>
      </c>
      <c r="N50" t="e">
        <f ca="1">DCF!R27</f>
        <v>#DIV/0!</v>
      </c>
    </row>
    <row r="51" spans="2:14" x14ac:dyDescent="0.25">
      <c r="B51" t="s">
        <v>341</v>
      </c>
      <c r="D51" s="69" t="s">
        <v>90</v>
      </c>
      <c r="E51" t="e">
        <f ca="1">E50/(AVERAGE(D49:E49))</f>
        <v>#DIV/0!</v>
      </c>
      <c r="F51" t="e">
        <f t="shared" ref="F51:N51" ca="1" si="12">F50/(AVERAGE(E49:F49))</f>
        <v>#DIV/0!</v>
      </c>
      <c r="G51" t="e">
        <f t="shared" ca="1" si="12"/>
        <v>#DIV/0!</v>
      </c>
      <c r="H51" t="e">
        <f t="shared" ca="1" si="12"/>
        <v>#DIV/0!</v>
      </c>
      <c r="I51" t="e">
        <f t="shared" ca="1" si="12"/>
        <v>#DIV/0!</v>
      </c>
      <c r="J51" t="e">
        <f t="shared" ca="1" si="12"/>
        <v>#DIV/0!</v>
      </c>
      <c r="K51" t="e">
        <f t="shared" ca="1" si="12"/>
        <v>#DIV/0!</v>
      </c>
      <c r="L51" t="e">
        <f t="shared" ca="1" si="12"/>
        <v>#DIV/0!</v>
      </c>
      <c r="M51" t="e">
        <f t="shared" ca="1" si="12"/>
        <v>#DIV/0!</v>
      </c>
      <c r="N51" t="e">
        <f t="shared" ca="1" si="12"/>
        <v>#DIV/0!</v>
      </c>
    </row>
    <row r="53" spans="2:14" x14ac:dyDescent="0.25">
      <c r="B53" s="10" t="s">
        <v>343</v>
      </c>
      <c r="C53" s="10"/>
      <c r="D53" s="69" t="s">
        <v>90</v>
      </c>
      <c r="E53" s="10" t="e">
        <f ca="1">E37*G18</f>
        <v>#DIV/0!</v>
      </c>
      <c r="F53" s="10" t="e">
        <f t="shared" ref="F53:N53" ca="1" si="13">F37*H18</f>
        <v>#DIV/0!</v>
      </c>
      <c r="G53" s="10" t="e">
        <f t="shared" ca="1" si="13"/>
        <v>#DIV/0!</v>
      </c>
      <c r="H53" s="10" t="e">
        <f t="shared" ca="1" si="13"/>
        <v>#DIV/0!</v>
      </c>
      <c r="I53" s="10" t="e">
        <f t="shared" ca="1" si="13"/>
        <v>#DIV/0!</v>
      </c>
      <c r="J53" s="10" t="e">
        <f t="shared" ca="1" si="13"/>
        <v>#DIV/0!</v>
      </c>
      <c r="K53" s="10" t="e">
        <f t="shared" ca="1" si="13"/>
        <v>#DIV/0!</v>
      </c>
      <c r="L53" s="10" t="e">
        <f t="shared" ca="1" si="13"/>
        <v>#DIV/0!</v>
      </c>
      <c r="M53" s="10" t="e">
        <f t="shared" ca="1" si="13"/>
        <v>#DIV/0!</v>
      </c>
      <c r="N53" s="10" t="e">
        <f t="shared" ca="1" si="13"/>
        <v>#DIV/0!</v>
      </c>
    </row>
    <row r="54" spans="2:14" x14ac:dyDescent="0.25">
      <c r="B54" t="s">
        <v>114</v>
      </c>
      <c r="D54" s="69" t="s">
        <v>90</v>
      </c>
      <c r="E54" t="e">
        <f ca="1">E45</f>
        <v>#DIV/0!</v>
      </c>
      <c r="F54" t="e">
        <f t="shared" ref="F54:N54" ca="1" si="14">F45</f>
        <v>#DIV/0!</v>
      </c>
      <c r="G54" t="e">
        <f t="shared" ca="1" si="14"/>
        <v>#DIV/0!</v>
      </c>
      <c r="H54" t="e">
        <f t="shared" ca="1" si="14"/>
        <v>#DIV/0!</v>
      </c>
      <c r="I54" t="e">
        <f t="shared" ca="1" si="14"/>
        <v>#DIV/0!</v>
      </c>
      <c r="J54" t="e">
        <f t="shared" ca="1" si="14"/>
        <v>#DIV/0!</v>
      </c>
      <c r="K54" t="e">
        <f t="shared" ca="1" si="14"/>
        <v>#DIV/0!</v>
      </c>
      <c r="L54" t="e">
        <f t="shared" ca="1" si="14"/>
        <v>#DIV/0!</v>
      </c>
      <c r="M54" t="e">
        <f t="shared" ca="1" si="14"/>
        <v>#DIV/0!</v>
      </c>
      <c r="N54" t="e">
        <f t="shared" ca="1" si="14"/>
        <v>#DIV/0!</v>
      </c>
    </row>
    <row r="55" spans="2:14" x14ac:dyDescent="0.25">
      <c r="B55" t="s">
        <v>116</v>
      </c>
      <c r="D55" s="69" t="s">
        <v>90</v>
      </c>
      <c r="E55" s="138" t="e">
        <f ca="1">E46</f>
        <v>#DIV/0!</v>
      </c>
      <c r="F55" s="138" t="e">
        <f t="shared" ref="F55:N55" ca="1" si="15">F46</f>
        <v>#DIV/0!</v>
      </c>
      <c r="G55" s="138" t="e">
        <f t="shared" ca="1" si="15"/>
        <v>#DIV/0!</v>
      </c>
      <c r="H55" s="138" t="e">
        <f t="shared" ca="1" si="15"/>
        <v>#DIV/0!</v>
      </c>
      <c r="I55" s="138" t="e">
        <f t="shared" ca="1" si="15"/>
        <v>#DIV/0!</v>
      </c>
      <c r="J55" s="138" t="e">
        <f t="shared" ca="1" si="15"/>
        <v>#DIV/0!</v>
      </c>
      <c r="K55" s="138" t="e">
        <f t="shared" ca="1" si="15"/>
        <v>#DIV/0!</v>
      </c>
      <c r="L55" s="138" t="e">
        <f t="shared" ca="1" si="15"/>
        <v>#DIV/0!</v>
      </c>
      <c r="M55" s="138" t="e">
        <f t="shared" ca="1" si="15"/>
        <v>#DIV/0!</v>
      </c>
      <c r="N55" s="138" t="e">
        <f t="shared" ca="1" si="15"/>
        <v>#DIV/0!</v>
      </c>
    </row>
    <row r="56" spans="2:14" x14ac:dyDescent="0.25">
      <c r="B56" s="105" t="s">
        <v>344</v>
      </c>
      <c r="C56" s="105"/>
      <c r="D56" s="173">
        <f>-G26</f>
        <v>-2911481.7696000002</v>
      </c>
      <c r="E56" s="105" t="e">
        <f ca="1">(E53-E54+E55)*E58</f>
        <v>#DIV/0!</v>
      </c>
      <c r="F56" s="105" t="e">
        <f t="shared" ref="F56:N56" ca="1" si="16">(F53-F54+F55)*F58</f>
        <v>#DIV/0!</v>
      </c>
      <c r="G56" s="105" t="e">
        <f t="shared" ca="1" si="16"/>
        <v>#DIV/0!</v>
      </c>
      <c r="H56" s="105" t="e">
        <f t="shared" ca="1" si="16"/>
        <v>#DIV/0!</v>
      </c>
      <c r="I56" s="105" t="e">
        <f t="shared" ca="1" si="16"/>
        <v>#DIV/0!</v>
      </c>
      <c r="J56" s="105" t="e">
        <f t="shared" ca="1" si="16"/>
        <v>#DIV/0!</v>
      </c>
      <c r="K56" s="105" t="e">
        <f t="shared" ca="1" si="16"/>
        <v>#DIV/0!</v>
      </c>
      <c r="L56" s="105" t="e">
        <f t="shared" ca="1" si="16"/>
        <v>#DIV/0!</v>
      </c>
      <c r="M56" s="105" t="e">
        <f t="shared" ca="1" si="16"/>
        <v>#DIV/0!</v>
      </c>
      <c r="N56" s="105" t="e">
        <f t="shared" ca="1" si="16"/>
        <v>#DIV/0!</v>
      </c>
    </row>
    <row r="58" spans="2:14" x14ac:dyDescent="0.25">
      <c r="B58" t="s">
        <v>345</v>
      </c>
      <c r="D58" s="69" t="s">
        <v>90</v>
      </c>
      <c r="E58">
        <f ca="1">IF(E35=$N8, 1,0)</f>
        <v>0</v>
      </c>
      <c r="F58">
        <f t="shared" ref="F58:N58" ca="1" si="17">IF(F35=$N8, 1,0)</f>
        <v>0</v>
      </c>
      <c r="G58">
        <f t="shared" ca="1" si="17"/>
        <v>0</v>
      </c>
      <c r="H58">
        <f t="shared" ca="1" si="17"/>
        <v>0</v>
      </c>
      <c r="I58">
        <f t="shared" ca="1" si="17"/>
        <v>0</v>
      </c>
      <c r="J58">
        <f t="shared" ca="1" si="17"/>
        <v>0</v>
      </c>
      <c r="K58">
        <f t="shared" ca="1" si="17"/>
        <v>0</v>
      </c>
      <c r="L58">
        <f t="shared" ca="1" si="17"/>
        <v>0</v>
      </c>
      <c r="M58">
        <f t="shared" ca="1" si="17"/>
        <v>0</v>
      </c>
      <c r="N58">
        <f t="shared" ca="1" si="17"/>
        <v>0</v>
      </c>
    </row>
    <row r="59" spans="2:14" x14ac:dyDescent="0.25">
      <c r="B59" t="s">
        <v>346</v>
      </c>
      <c r="D59" s="69" t="s">
        <v>90</v>
      </c>
      <c r="E59" s="179" t="e">
        <f ca="1">(E56/-D56)</f>
        <v>#DIV/0!</v>
      </c>
      <c r="F59" s="179" t="e">
        <f t="shared" ref="F59:N59" ca="1" si="18">(F56/-E56)</f>
        <v>#DIV/0!</v>
      </c>
      <c r="G59" s="179" t="e">
        <f t="shared" ca="1" si="18"/>
        <v>#DIV/0!</v>
      </c>
      <c r="H59" s="179" t="e">
        <f t="shared" ca="1" si="18"/>
        <v>#DIV/0!</v>
      </c>
      <c r="I59" s="179" t="e">
        <f t="shared" ca="1" si="18"/>
        <v>#DIV/0!</v>
      </c>
      <c r="J59" s="179" t="e">
        <f t="shared" ca="1" si="18"/>
        <v>#DIV/0!</v>
      </c>
      <c r="K59" s="179" t="e">
        <f t="shared" ca="1" si="18"/>
        <v>#DIV/0!</v>
      </c>
      <c r="L59" s="179" t="e">
        <f t="shared" ca="1" si="18"/>
        <v>#DIV/0!</v>
      </c>
      <c r="M59" s="179" t="e">
        <f t="shared" ca="1" si="18"/>
        <v>#DIV/0!</v>
      </c>
      <c r="N59" s="179" t="e">
        <f t="shared" ca="1" si="18"/>
        <v>#DIV/0!</v>
      </c>
    </row>
    <row r="60" spans="2:14" ht="15.75" thickBot="1" x14ac:dyDescent="0.3"/>
    <row r="61" spans="2:14" x14ac:dyDescent="0.25">
      <c r="L61" s="174" t="s">
        <v>347</v>
      </c>
      <c r="M61" s="175"/>
      <c r="N61" s="176" t="e">
        <f ca="1">XIRR(E56:N56,E34:N34)</f>
        <v>#DIV/0!</v>
      </c>
    </row>
    <row r="62" spans="2:14" ht="15.75" thickBot="1" x14ac:dyDescent="0.3">
      <c r="L62" s="177" t="s">
        <v>346</v>
      </c>
      <c r="M62" s="178"/>
      <c r="N62" s="180" t="e">
        <f ca="1">SUM(E59:N59)</f>
        <v>#DIV/0!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E8FF-DC6B-4272-AFCB-632A77A27915}">
  <sheetPr codeName="Sheet17"/>
  <dimension ref="B1:AN105"/>
  <sheetViews>
    <sheetView zoomScaleNormal="100" workbookViewId="0">
      <selection activeCell="AI103" sqref="AI103"/>
    </sheetView>
  </sheetViews>
  <sheetFormatPr defaultRowHeight="15" x14ac:dyDescent="0.25"/>
  <cols>
    <col min="16" max="16" width="10.5703125" bestFit="1" customWidth="1"/>
  </cols>
  <sheetData>
    <row r="1" spans="2:10" ht="15.75" thickBot="1" x14ac:dyDescent="0.3"/>
    <row r="2" spans="2:10" x14ac:dyDescent="0.25">
      <c r="B2" s="184" t="s">
        <v>351</v>
      </c>
      <c r="C2" s="185"/>
      <c r="D2" s="185"/>
      <c r="E2" s="185"/>
      <c r="F2" s="186"/>
    </row>
    <row r="3" spans="2:10" x14ac:dyDescent="0.25">
      <c r="B3" s="187" t="s">
        <v>397</v>
      </c>
      <c r="F3" s="239" t="str">
        <f>Hub!T42</f>
        <v>METRO INC.</v>
      </c>
    </row>
    <row r="4" spans="2:10" x14ac:dyDescent="0.25">
      <c r="B4" s="187"/>
      <c r="F4" s="188"/>
    </row>
    <row r="5" spans="2:10" x14ac:dyDescent="0.25">
      <c r="B5" s="187" t="str">
        <f>TEXT(F3,) &amp;" - Current Share Price"</f>
        <v>METRO INC. - Current Share Price</v>
      </c>
      <c r="F5" s="189">
        <f>Hub!T45</f>
        <v>74.709999999999994</v>
      </c>
    </row>
    <row r="6" spans="2:10" x14ac:dyDescent="0.25">
      <c r="B6" s="187" t="str">
        <f>DCF!B2 &amp;" - Current Share Price"</f>
        <v>APPLE INC. - Current Share Price</v>
      </c>
      <c r="F6" s="189">
        <f>DCF!M11</f>
        <v>189.87</v>
      </c>
    </row>
    <row r="7" spans="2:10" x14ac:dyDescent="0.25">
      <c r="B7" s="187" t="s">
        <v>352</v>
      </c>
      <c r="F7" s="242">
        <f>Hub!T50</f>
        <v>0</v>
      </c>
    </row>
    <row r="8" spans="2:10" x14ac:dyDescent="0.25">
      <c r="B8" s="187"/>
      <c r="F8" s="188"/>
    </row>
    <row r="9" spans="2:10" x14ac:dyDescent="0.25">
      <c r="B9" s="187" t="str">
        <f ca="1">TEXT(F3,) &amp; " - Cash " &amp; DCF!H15 &amp; "A"</f>
        <v>METRO INC. - Cash 2023A</v>
      </c>
      <c r="F9" s="243">
        <f>Hub!T51</f>
        <v>0</v>
      </c>
    </row>
    <row r="10" spans="2:10" x14ac:dyDescent="0.25">
      <c r="B10" s="187"/>
      <c r="F10" s="243"/>
    </row>
    <row r="11" spans="2:10" x14ac:dyDescent="0.25">
      <c r="B11" s="187" t="s">
        <v>353</v>
      </c>
      <c r="F11" s="244">
        <f>Hub!T52</f>
        <v>0</v>
      </c>
    </row>
    <row r="12" spans="2:10" ht="15.75" thickBot="1" x14ac:dyDescent="0.3">
      <c r="B12" s="191" t="s">
        <v>354</v>
      </c>
      <c r="C12" s="192"/>
      <c r="D12" s="192"/>
      <c r="E12" s="192"/>
      <c r="F12" s="193">
        <f>LBO!N17</f>
        <v>0</v>
      </c>
    </row>
    <row r="13" spans="2:10" x14ac:dyDescent="0.25">
      <c r="G13" s="184" t="s">
        <v>355</v>
      </c>
      <c r="H13" s="185"/>
      <c r="I13" s="185"/>
      <c r="J13" s="186"/>
    </row>
    <row r="14" spans="2:10" x14ac:dyDescent="0.25">
      <c r="G14" s="187"/>
      <c r="J14" s="188"/>
    </row>
    <row r="15" spans="2:10" x14ac:dyDescent="0.25">
      <c r="G15" s="187" t="s">
        <v>356</v>
      </c>
      <c r="J15" s="245">
        <f>Hub!T48</f>
        <v>0</v>
      </c>
    </row>
    <row r="16" spans="2:10" x14ac:dyDescent="0.25">
      <c r="G16" s="194" t="s">
        <v>362</v>
      </c>
      <c r="J16" s="195">
        <f>(J15-F6)/F6</f>
        <v>-1</v>
      </c>
    </row>
    <row r="17" spans="7:16" x14ac:dyDescent="0.25">
      <c r="G17" s="187" t="s">
        <v>357</v>
      </c>
      <c r="J17" s="196">
        <f>DCF!M10</f>
        <v>15334.08</v>
      </c>
    </row>
    <row r="18" spans="7:16" x14ac:dyDescent="0.25">
      <c r="G18" s="197" t="s">
        <v>358</v>
      </c>
      <c r="H18" s="109"/>
      <c r="I18" s="109"/>
      <c r="J18" s="198">
        <f>J15*J17</f>
        <v>0</v>
      </c>
    </row>
    <row r="19" spans="7:16" x14ac:dyDescent="0.25">
      <c r="G19" s="187"/>
      <c r="J19" s="188"/>
    </row>
    <row r="20" spans="7:16" x14ac:dyDescent="0.25">
      <c r="G20" s="187" t="s">
        <v>359</v>
      </c>
      <c r="J20" s="199">
        <f>Debt_Schedule!Y41</f>
        <v>0</v>
      </c>
    </row>
    <row r="21" spans="7:16" x14ac:dyDescent="0.25">
      <c r="G21" s="187" t="s">
        <v>165</v>
      </c>
      <c r="J21" s="188">
        <f>Net_Working_Capital!H7</f>
        <v>0</v>
      </c>
    </row>
    <row r="22" spans="7:16" x14ac:dyDescent="0.25">
      <c r="G22" s="197" t="s">
        <v>360</v>
      </c>
      <c r="H22" s="109"/>
      <c r="I22" s="109"/>
      <c r="J22" s="198">
        <f>J18+J20-J21</f>
        <v>0</v>
      </c>
    </row>
    <row r="23" spans="7:16" ht="15.75" thickBot="1" x14ac:dyDescent="0.3">
      <c r="G23" s="200" t="s">
        <v>361</v>
      </c>
      <c r="H23" s="192"/>
      <c r="I23" s="192"/>
      <c r="J23" s="201" t="e">
        <f>J22/LBO!D37</f>
        <v>#DIV/0!</v>
      </c>
    </row>
    <row r="24" spans="7:16" x14ac:dyDescent="0.25">
      <c r="K24" s="184" t="s">
        <v>363</v>
      </c>
      <c r="L24" s="202"/>
      <c r="M24" s="202"/>
      <c r="N24" s="202"/>
      <c r="O24" s="202"/>
      <c r="P24" s="203"/>
    </row>
    <row r="25" spans="7:16" x14ac:dyDescent="0.25">
      <c r="K25" s="187"/>
      <c r="P25" s="188"/>
    </row>
    <row r="26" spans="7:16" x14ac:dyDescent="0.25">
      <c r="K26" s="187" t="str">
        <f ca="1">TEXT(F3,) &amp;" EBITDA - " &amp; LBO!E34 &amp; "E"</f>
        <v>METRO INC. EBITDA - 2024E</v>
      </c>
      <c r="P26" s="246">
        <f>Hub!T53</f>
        <v>0</v>
      </c>
    </row>
    <row r="27" spans="7:16" x14ac:dyDescent="0.25">
      <c r="K27" s="187" t="str">
        <f ca="1">DCF!B2 &amp;" EBITDA - " &amp; LBO!E34 &amp; "E"</f>
        <v>APPLE INC. EBITDA - 2024E</v>
      </c>
      <c r="P27" s="188" t="e">
        <f ca="1">DCF!I22</f>
        <v>#DIV/0!</v>
      </c>
    </row>
    <row r="28" spans="7:16" x14ac:dyDescent="0.25">
      <c r="K28" s="204" t="s">
        <v>364</v>
      </c>
      <c r="L28" s="23"/>
      <c r="M28" s="23"/>
      <c r="N28" s="23"/>
      <c r="O28" s="23"/>
      <c r="P28" s="205" t="e">
        <f ca="1">P26+P27</f>
        <v>#DIV/0!</v>
      </c>
    </row>
    <row r="29" spans="7:16" x14ac:dyDescent="0.25">
      <c r="K29" s="187"/>
      <c r="P29" s="188"/>
    </row>
    <row r="30" spans="7:16" x14ac:dyDescent="0.25">
      <c r="K30" s="187" t="s">
        <v>365</v>
      </c>
      <c r="P30" s="206">
        <f>F11</f>
        <v>0</v>
      </c>
    </row>
    <row r="31" spans="7:16" x14ac:dyDescent="0.25">
      <c r="K31" s="197" t="s">
        <v>366</v>
      </c>
      <c r="L31" s="109"/>
      <c r="M31" s="109"/>
      <c r="N31" s="109"/>
      <c r="O31" s="109"/>
      <c r="P31" s="198" t="e">
        <f ca="1">P28*P30</f>
        <v>#DIV/0!</v>
      </c>
    </row>
    <row r="32" spans="7:16" x14ac:dyDescent="0.25">
      <c r="K32" s="187"/>
      <c r="P32" s="188"/>
    </row>
    <row r="33" spans="11:26" x14ac:dyDescent="0.25">
      <c r="K33" s="187" t="str">
        <f ca="1">TEXT(F3,) &amp; " Debt - " &amp; DCF!H15 &amp; "A"</f>
        <v>METRO INC. Debt - 2023A</v>
      </c>
      <c r="P33" s="243">
        <f>Hub!T54</f>
        <v>0</v>
      </c>
    </row>
    <row r="34" spans="11:26" x14ac:dyDescent="0.25">
      <c r="K34" s="187" t="str">
        <f ca="1">TEXT(F3,) &amp; " Cash - " &amp; DCF!H15 &amp; "A (Outside Transaction)"</f>
        <v>METRO INC. Cash - 2023A (Outside Transaction)</v>
      </c>
      <c r="P34" s="188">
        <f>F9*(1-Z44)</f>
        <v>0</v>
      </c>
    </row>
    <row r="35" spans="11:26" x14ac:dyDescent="0.25">
      <c r="K35" s="187" t="str">
        <f>DCF!B2 &amp; " Debt"</f>
        <v>APPLE INC. Debt</v>
      </c>
      <c r="P35" s="188">
        <f>Debt_Schedule!Y41</f>
        <v>0</v>
      </c>
    </row>
    <row r="36" spans="11:26" x14ac:dyDescent="0.25">
      <c r="K36" s="187" t="str">
        <f>DCF!B2 &amp; " Rolled Cash"</f>
        <v>APPLE INC. Rolled Cash</v>
      </c>
      <c r="P36" s="188">
        <f>Net_Working_Capital!H7*(1-Z46)</f>
        <v>0</v>
      </c>
    </row>
    <row r="37" spans="11:26" x14ac:dyDescent="0.25">
      <c r="K37" s="187"/>
      <c r="P37" s="188"/>
    </row>
    <row r="38" spans="11:26" x14ac:dyDescent="0.25">
      <c r="K38" s="207" t="s">
        <v>367</v>
      </c>
      <c r="L38" s="183"/>
      <c r="M38" s="183"/>
      <c r="N38" s="183"/>
      <c r="O38" s="183"/>
      <c r="P38" s="208">
        <f>P36+P35</f>
        <v>0</v>
      </c>
    </row>
    <row r="39" spans="11:26" ht="15.75" thickBot="1" x14ac:dyDescent="0.3">
      <c r="K39" s="209" t="s">
        <v>368</v>
      </c>
      <c r="L39" s="210"/>
      <c r="M39" s="210"/>
      <c r="N39" s="210"/>
      <c r="O39" s="210"/>
      <c r="P39" s="211" t="e">
        <f ca="1">P31-P38</f>
        <v>#DIV/0!</v>
      </c>
    </row>
    <row r="40" spans="11:26" x14ac:dyDescent="0.25">
      <c r="Q40" s="184" t="s">
        <v>318</v>
      </c>
      <c r="R40" s="185"/>
      <c r="S40" s="185"/>
      <c r="T40" s="185"/>
      <c r="U40" s="185"/>
      <c r="V40" s="185"/>
      <c r="W40" s="185"/>
      <c r="X40" s="185"/>
      <c r="Y40" s="185"/>
      <c r="Z40" s="186"/>
    </row>
    <row r="41" spans="11:26" x14ac:dyDescent="0.25">
      <c r="Q41" s="187"/>
      <c r="Z41" s="188"/>
    </row>
    <row r="42" spans="11:26" x14ac:dyDescent="0.25">
      <c r="Q42" s="212" t="s">
        <v>319</v>
      </c>
      <c r="V42" s="213" t="s">
        <v>320</v>
      </c>
      <c r="Z42" s="188"/>
    </row>
    <row r="43" spans="11:26" x14ac:dyDescent="0.25">
      <c r="Q43" s="187" t="s">
        <v>358</v>
      </c>
      <c r="T43">
        <f>J18</f>
        <v>0</v>
      </c>
      <c r="V43" t="str">
        <f>TEXT(F3,) &amp; " Cash For Transaction"</f>
        <v>METRO INC. Cash For Transaction</v>
      </c>
      <c r="Z43" s="188">
        <f>Z44*F9</f>
        <v>0</v>
      </c>
    </row>
    <row r="44" spans="11:26" x14ac:dyDescent="0.25">
      <c r="Q44" s="187" t="str">
        <f>DCF!B2 &amp; " Debt"</f>
        <v>APPLE INC. Debt</v>
      </c>
      <c r="T44">
        <f>Debt_Schedule!Y41</f>
        <v>0</v>
      </c>
      <c r="V44" s="11" t="s">
        <v>370</v>
      </c>
      <c r="Z44" s="214"/>
    </row>
    <row r="45" spans="11:26" x14ac:dyDescent="0.25">
      <c r="Q45" s="187" t="s">
        <v>352</v>
      </c>
      <c r="T45">
        <f>F7*J22</f>
        <v>0</v>
      </c>
      <c r="V45" t="str">
        <f>DCF!B2 &amp; " Cash For Transaction"</f>
        <v>APPLE INC. Cash For Transaction</v>
      </c>
      <c r="Z45" s="188">
        <f>Net_Working_Capital!H7*Z46</f>
        <v>0</v>
      </c>
    </row>
    <row r="46" spans="11:26" x14ac:dyDescent="0.25">
      <c r="Q46" s="197" t="s">
        <v>329</v>
      </c>
      <c r="R46" s="109"/>
      <c r="S46" s="109"/>
      <c r="T46" s="109">
        <f>SUM(T43:T45)</f>
        <v>0</v>
      </c>
      <c r="V46" s="11" t="s">
        <v>370</v>
      </c>
      <c r="Z46" s="214"/>
    </row>
    <row r="47" spans="11:26" x14ac:dyDescent="0.25">
      <c r="Q47" s="187"/>
      <c r="V47" t="str">
        <f>DCF!B2 &amp; " Debt"</f>
        <v>APPLE INC. Debt</v>
      </c>
      <c r="Z47" s="188">
        <f>Debt_Schedule!Y41</f>
        <v>0</v>
      </c>
    </row>
    <row r="48" spans="11:26" x14ac:dyDescent="0.25">
      <c r="Q48" s="187"/>
      <c r="V48" t="s">
        <v>369</v>
      </c>
      <c r="Z48" s="188" t="e">
        <f ca="1">P39</f>
        <v>#DIV/0!</v>
      </c>
    </row>
    <row r="49" spans="17:40" x14ac:dyDescent="0.25">
      <c r="Q49" s="187"/>
      <c r="V49" t="str">
        <f>"Equity to " &amp; DCF!B2 &amp; " Shareholders"</f>
        <v>Equity to APPLE INC. Shareholders</v>
      </c>
      <c r="Z49" s="188" t="e">
        <f ca="1">Z50-Z48-Z47+Z45-Z43</f>
        <v>#DIV/0!</v>
      </c>
    </row>
    <row r="50" spans="17:40" ht="15.75" thickBot="1" x14ac:dyDescent="0.3">
      <c r="Q50" s="191"/>
      <c r="R50" s="192"/>
      <c r="S50" s="192"/>
      <c r="T50" s="192"/>
      <c r="U50" s="192"/>
      <c r="V50" s="215" t="s">
        <v>328</v>
      </c>
      <c r="W50" s="210"/>
      <c r="X50" s="210"/>
      <c r="Y50" s="210"/>
      <c r="Z50" s="211">
        <f>T46</f>
        <v>0</v>
      </c>
    </row>
    <row r="51" spans="17:40" x14ac:dyDescent="0.25">
      <c r="AA51" s="184" t="s">
        <v>371</v>
      </c>
      <c r="AB51" s="185"/>
      <c r="AC51" s="185"/>
      <c r="AD51" s="185"/>
      <c r="AE51" s="185"/>
      <c r="AF51" s="185"/>
      <c r="AG51" s="186"/>
    </row>
    <row r="52" spans="17:40" x14ac:dyDescent="0.25">
      <c r="AA52" s="187"/>
      <c r="AG52" s="188"/>
    </row>
    <row r="53" spans="17:40" x14ac:dyDescent="0.25">
      <c r="AA53" s="187" t="str">
        <f>DCF!B2 &amp; " Equity Take-Out"</f>
        <v>APPLE INC. Equity Take-Out</v>
      </c>
      <c r="AG53" s="188">
        <f>J18</f>
        <v>0</v>
      </c>
    </row>
    <row r="54" spans="17:40" x14ac:dyDescent="0.25">
      <c r="AA54" s="216" t="s">
        <v>372</v>
      </c>
      <c r="AG54" s="217" t="e">
        <f ca="1">Z49</f>
        <v>#DIV/0!</v>
      </c>
    </row>
    <row r="55" spans="17:40" x14ac:dyDescent="0.25">
      <c r="AA55" s="194" t="str">
        <f>"% Equity Issued to " &amp; DCF!B2</f>
        <v>% Equity Issued to APPLE INC.</v>
      </c>
      <c r="AG55" s="218" t="e">
        <f ca="1">AG54/AG53</f>
        <v>#DIV/0!</v>
      </c>
    </row>
    <row r="56" spans="17:40" x14ac:dyDescent="0.25">
      <c r="AA56" s="216" t="s">
        <v>373</v>
      </c>
      <c r="AG56" s="217" t="e">
        <f ca="1">AG53-AG54</f>
        <v>#DIV/0!</v>
      </c>
    </row>
    <row r="57" spans="17:40" x14ac:dyDescent="0.25">
      <c r="AA57" s="187"/>
      <c r="AG57" s="188"/>
    </row>
    <row r="58" spans="17:40" x14ac:dyDescent="0.25">
      <c r="AA58" s="187" t="s">
        <v>374</v>
      </c>
      <c r="AG58" s="188">
        <f>J15</f>
        <v>0</v>
      </c>
    </row>
    <row r="59" spans="17:40" x14ac:dyDescent="0.25">
      <c r="AA59" s="187" t="str">
        <f>F3 &amp; " Share Price"</f>
        <v>METRO INC. Share Price</v>
      </c>
      <c r="AG59" s="219">
        <f>Hub!T45</f>
        <v>74.709999999999994</v>
      </c>
    </row>
    <row r="60" spans="17:40" x14ac:dyDescent="0.25">
      <c r="AA60" s="220" t="s">
        <v>375</v>
      </c>
      <c r="AB60" s="183"/>
      <c r="AC60" s="183"/>
      <c r="AD60" s="183"/>
      <c r="AE60" s="183"/>
      <c r="AF60" s="183"/>
      <c r="AG60" s="208" t="e">
        <f>AG59/AG58</f>
        <v>#DIV/0!</v>
      </c>
    </row>
    <row r="61" spans="17:40" x14ac:dyDescent="0.25">
      <c r="AA61" s="216" t="s">
        <v>376</v>
      </c>
      <c r="AG61" s="188" t="e">
        <f ca="1">AG60*AG55</f>
        <v>#DIV/0!</v>
      </c>
    </row>
    <row r="62" spans="17:40" x14ac:dyDescent="0.25">
      <c r="AA62" s="187" t="str">
        <f>DCF!B2 &amp; " Shares Outstanding"</f>
        <v>APPLE INC. Shares Outstanding</v>
      </c>
      <c r="AG62" s="196">
        <f>DCF!M10</f>
        <v>15334.08</v>
      </c>
    </row>
    <row r="63" spans="17:40" ht="15.75" thickBot="1" x14ac:dyDescent="0.3">
      <c r="AA63" s="209" t="str">
        <f>"Shares Issued to " &amp; DCF!B2 &amp; " Shareholders"</f>
        <v>Shares Issued to APPLE INC. Shareholders</v>
      </c>
      <c r="AB63" s="210"/>
      <c r="AC63" s="210"/>
      <c r="AD63" s="210"/>
      <c r="AE63" s="210"/>
      <c r="AF63" s="210"/>
      <c r="AG63" s="211" t="e">
        <f ca="1">AG62*AG61</f>
        <v>#DIV/0!</v>
      </c>
    </row>
    <row r="64" spans="17:40" x14ac:dyDescent="0.25">
      <c r="AH64" s="184" t="s">
        <v>377</v>
      </c>
      <c r="AI64" s="202"/>
      <c r="AJ64" s="202"/>
      <c r="AK64" s="185"/>
      <c r="AL64" s="185"/>
      <c r="AM64" s="185"/>
      <c r="AN64" s="186"/>
    </row>
    <row r="65" spans="34:40" x14ac:dyDescent="0.25">
      <c r="AH65" s="187"/>
      <c r="AN65" s="188"/>
    </row>
    <row r="66" spans="34:40" x14ac:dyDescent="0.25">
      <c r="AH66" s="187"/>
      <c r="AL66" s="160">
        <f ca="1">DCF!I15</f>
        <v>2024</v>
      </c>
      <c r="AM66" s="160">
        <f ca="1">DCF!J15</f>
        <v>2025</v>
      </c>
      <c r="AN66" s="222">
        <f ca="1">DCF!K15</f>
        <v>2026</v>
      </c>
    </row>
    <row r="67" spans="34:40" x14ac:dyDescent="0.25">
      <c r="AH67" s="187" t="str">
        <f>F3 &amp; " Diluted EPS"</f>
        <v>METRO INC. Diluted EPS</v>
      </c>
      <c r="AL67" s="164"/>
      <c r="AM67" s="164"/>
      <c r="AN67" s="190"/>
    </row>
    <row r="68" spans="34:40" x14ac:dyDescent="0.25">
      <c r="AH68" s="187" t="str">
        <f>F3 &amp; " Diluted S/O"</f>
        <v>METRO INC. Diluted S/O</v>
      </c>
      <c r="AL68" s="164"/>
      <c r="AM68" s="164"/>
      <c r="AN68" s="190"/>
    </row>
    <row r="69" spans="34:40" x14ac:dyDescent="0.25">
      <c r="AH69" s="204" t="s">
        <v>378</v>
      </c>
      <c r="AI69" s="23"/>
      <c r="AJ69" s="23"/>
      <c r="AK69" s="23"/>
      <c r="AL69" s="12"/>
      <c r="AM69" s="12"/>
      <c r="AN69" s="223"/>
    </row>
    <row r="70" spans="34:40" x14ac:dyDescent="0.25">
      <c r="AH70" s="187"/>
      <c r="AN70" s="188"/>
    </row>
    <row r="71" spans="34:40" x14ac:dyDescent="0.25">
      <c r="AH71" s="216" t="str">
        <f>DCF!B2 &amp; " EBITDA"</f>
        <v>APPLE INC. EBITDA</v>
      </c>
      <c r="AL71" t="e">
        <f ca="1">DCF!I22</f>
        <v>#DIV/0!</v>
      </c>
      <c r="AM71" t="e">
        <f ca="1">DCF!J22</f>
        <v>#DIV/0!</v>
      </c>
      <c r="AN71" s="188" t="e">
        <f ca="1">DCF!K22</f>
        <v>#DIV/0!</v>
      </c>
    </row>
    <row r="72" spans="34:40" x14ac:dyDescent="0.25">
      <c r="AH72" s="187" t="s">
        <v>379</v>
      </c>
      <c r="AL72" t="e">
        <f ca="1">'DCF Synergies'!I23-DCF!I22</f>
        <v>#DIV/0!</v>
      </c>
      <c r="AM72" t="e">
        <f ca="1">'DCF Synergies'!J23-DCF!J22</f>
        <v>#DIV/0!</v>
      </c>
      <c r="AN72" s="188" t="e">
        <f ca="1">'DCF Synergies'!K23-DCF!K22</f>
        <v>#DIV/0!</v>
      </c>
    </row>
    <row r="73" spans="34:40" x14ac:dyDescent="0.25">
      <c r="AH73" s="187" t="s">
        <v>380</v>
      </c>
      <c r="AL73" s="164"/>
      <c r="AM73" s="164"/>
      <c r="AN73" s="190"/>
    </row>
    <row r="74" spans="34:40" x14ac:dyDescent="0.25">
      <c r="AH74" s="187" t="s">
        <v>381</v>
      </c>
      <c r="AL74" t="e">
        <f ca="1">F12*(P35+Z48)</f>
        <v>#DIV/0!</v>
      </c>
      <c r="AM74" t="e">
        <f ca="1">AL74</f>
        <v>#DIV/0!</v>
      </c>
      <c r="AN74" s="188" t="e">
        <f ca="1">AM74</f>
        <v>#DIV/0!</v>
      </c>
    </row>
    <row r="75" spans="34:40" x14ac:dyDescent="0.25">
      <c r="AH75" s="187" t="s">
        <v>149</v>
      </c>
      <c r="AL75" t="e">
        <f ca="1">'DCF Synergies'!I29</f>
        <v>#DIV/0!</v>
      </c>
      <c r="AM75" t="e">
        <f ca="1">'DCF Synergies'!J29</f>
        <v>#DIV/0!</v>
      </c>
      <c r="AN75" s="188" t="e">
        <f ca="1">'DCF Synergies'!K29</f>
        <v>#DIV/0!</v>
      </c>
    </row>
    <row r="76" spans="34:40" x14ac:dyDescent="0.25">
      <c r="AH76" s="204" t="s">
        <v>382</v>
      </c>
      <c r="AI76" s="23"/>
      <c r="AJ76" s="23"/>
      <c r="AK76" s="23"/>
      <c r="AL76" s="12" t="e">
        <f ca="1">AL71+AL72-AL73-AL74-AL75</f>
        <v>#DIV/0!</v>
      </c>
      <c r="AM76" s="12" t="e">
        <f t="shared" ref="AM76:AN76" ca="1" si="0">AM71+AM72-AM73-AM74-AM75</f>
        <v>#DIV/0!</v>
      </c>
      <c r="AN76" s="223" t="e">
        <f t="shared" ca="1" si="0"/>
        <v>#DIV/0!</v>
      </c>
    </row>
    <row r="77" spans="34:40" x14ac:dyDescent="0.25">
      <c r="AH77" s="187" t="s">
        <v>153</v>
      </c>
      <c r="AL77" t="e">
        <f ca="1">AL76*Hub!$T48</f>
        <v>#DIV/0!</v>
      </c>
      <c r="AM77" t="e">
        <f ca="1">AM76*Hub!$T48</f>
        <v>#DIV/0!</v>
      </c>
      <c r="AN77" s="188" t="e">
        <f ca="1">AN76*Hub!$T48</f>
        <v>#DIV/0!</v>
      </c>
    </row>
    <row r="78" spans="34:40" x14ac:dyDescent="0.25">
      <c r="AH78" s="204" t="s">
        <v>383</v>
      </c>
      <c r="AI78" s="23"/>
      <c r="AJ78" s="23"/>
      <c r="AK78" s="23"/>
      <c r="AL78" s="12" t="e">
        <f ca="1">AL76-AL77</f>
        <v>#DIV/0!</v>
      </c>
      <c r="AM78" s="12" t="e">
        <f t="shared" ref="AM78:AN78" ca="1" si="1">AM76-AM77</f>
        <v>#DIV/0!</v>
      </c>
      <c r="AN78" s="223" t="e">
        <f t="shared" ca="1" si="1"/>
        <v>#DIV/0!</v>
      </c>
    </row>
    <row r="79" spans="34:40" x14ac:dyDescent="0.25">
      <c r="AH79" s="187"/>
      <c r="AN79" s="188"/>
    </row>
    <row r="80" spans="34:40" x14ac:dyDescent="0.25">
      <c r="AH80" s="187" t="s">
        <v>384</v>
      </c>
      <c r="AL80" t="e">
        <f ca="1">AL69+AL78</f>
        <v>#DIV/0!</v>
      </c>
      <c r="AM80" t="e">
        <f t="shared" ref="AM80:AN80" ca="1" si="2">AM69+AM78</f>
        <v>#DIV/0!</v>
      </c>
      <c r="AN80" s="188" t="e">
        <f t="shared" ca="1" si="2"/>
        <v>#DIV/0!</v>
      </c>
    </row>
    <row r="81" spans="34:40" x14ac:dyDescent="0.25">
      <c r="AH81" s="187" t="s">
        <v>385</v>
      </c>
      <c r="AL81" t="e">
        <f ca="1">AL68+$AG63</f>
        <v>#DIV/0!</v>
      </c>
      <c r="AM81" t="e">
        <f ca="1">AM68+$AG63</f>
        <v>#DIV/0!</v>
      </c>
      <c r="AN81" s="188" t="e">
        <f ca="1">AN68+$AG63</f>
        <v>#DIV/0!</v>
      </c>
    </row>
    <row r="82" spans="34:40" x14ac:dyDescent="0.25">
      <c r="AH82" s="204" t="s">
        <v>386</v>
      </c>
      <c r="AI82" s="23"/>
      <c r="AJ82" s="23"/>
      <c r="AK82" s="23"/>
      <c r="AL82" s="23" t="e">
        <f ca="1">AL80/AL81</f>
        <v>#DIV/0!</v>
      </c>
      <c r="AM82" s="23" t="e">
        <f t="shared" ref="AM82:AN82" ca="1" si="3">AM80/AM81</f>
        <v>#DIV/0!</v>
      </c>
      <c r="AN82" s="205" t="e">
        <f t="shared" ca="1" si="3"/>
        <v>#DIV/0!</v>
      </c>
    </row>
    <row r="83" spans="34:40" x14ac:dyDescent="0.25">
      <c r="AH83" s="216"/>
      <c r="AN83" s="188"/>
    </row>
    <row r="84" spans="34:40" x14ac:dyDescent="0.25">
      <c r="AH84" s="224" t="s">
        <v>391</v>
      </c>
      <c r="AI84" s="112"/>
      <c r="AJ84" s="112"/>
      <c r="AK84" s="112"/>
      <c r="AL84" s="247" t="e">
        <f ca="1">AL82-AL67</f>
        <v>#DIV/0!</v>
      </c>
      <c r="AM84" s="247" t="e">
        <f t="shared" ref="AM84" ca="1" si="4">AM82-AM67</f>
        <v>#DIV/0!</v>
      </c>
      <c r="AN84" s="225" t="e">
        <f ca="1">AN82-AN67</f>
        <v>#DIV/0!</v>
      </c>
    </row>
    <row r="85" spans="34:40" x14ac:dyDescent="0.25">
      <c r="AH85" s="226" t="s">
        <v>392</v>
      </c>
      <c r="AI85" s="112"/>
      <c r="AJ85" s="112"/>
      <c r="AK85" s="112"/>
      <c r="AL85" s="221" t="e">
        <f ca="1">(AL84-AL67)/AL67</f>
        <v>#DIV/0!</v>
      </c>
      <c r="AM85" s="221" t="e">
        <f t="shared" ref="AM85:AN85" ca="1" si="5">(AM84-AM67)/AM67</f>
        <v>#DIV/0!</v>
      </c>
      <c r="AN85" s="227" t="e">
        <f t="shared" ca="1" si="5"/>
        <v>#DIV/0!</v>
      </c>
    </row>
    <row r="86" spans="34:40" x14ac:dyDescent="0.25">
      <c r="AH86" s="187"/>
      <c r="AN86" s="188"/>
    </row>
    <row r="87" spans="34:40" x14ac:dyDescent="0.25">
      <c r="AH87" s="228" t="s">
        <v>387</v>
      </c>
      <c r="AI87" s="16"/>
      <c r="AJ87" s="16"/>
      <c r="AK87" s="16"/>
      <c r="AL87" s="16"/>
      <c r="AM87" s="16"/>
      <c r="AN87" s="229"/>
    </row>
    <row r="88" spans="34:40" x14ac:dyDescent="0.25">
      <c r="AH88" s="187"/>
      <c r="AN88" s="188"/>
    </row>
    <row r="89" spans="34:40" x14ac:dyDescent="0.25">
      <c r="AH89" s="187"/>
      <c r="AL89" s="146" t="s">
        <v>389</v>
      </c>
      <c r="AM89" s="146" t="s">
        <v>390</v>
      </c>
      <c r="AN89" s="235" t="s">
        <v>396</v>
      </c>
    </row>
    <row r="90" spans="34:40" x14ac:dyDescent="0.25">
      <c r="AH90" s="187" t="str">
        <f ca="1">"Debt - " &amp; DCF!I15 &amp; "E"</f>
        <v>Debt - 2024E</v>
      </c>
      <c r="AL90">
        <f>P33</f>
        <v>0</v>
      </c>
      <c r="AM90" t="e">
        <f ca="1">Z47+Z48</f>
        <v>#DIV/0!</v>
      </c>
      <c r="AN90" s="188" t="e">
        <f ca="1">AL90+AM90</f>
        <v>#DIV/0!</v>
      </c>
    </row>
    <row r="91" spans="34:40" x14ac:dyDescent="0.25">
      <c r="AH91" s="187" t="str">
        <f ca="1">"Cash - " &amp; DCF!I15 &amp; "E"</f>
        <v>Cash - 2024E</v>
      </c>
      <c r="AL91">
        <f>F9</f>
        <v>0</v>
      </c>
      <c r="AM91">
        <f>Z43-Z45</f>
        <v>0</v>
      </c>
      <c r="AN91" s="188">
        <f>AL91+AM91</f>
        <v>0</v>
      </c>
    </row>
    <row r="92" spans="34:40" x14ac:dyDescent="0.25">
      <c r="AH92" s="197" t="str">
        <f ca="1">"Net Debt - " &amp; DCF!I15 &amp; "E"</f>
        <v>Net Debt - 2024E</v>
      </c>
      <c r="AI92" s="109"/>
      <c r="AJ92" s="109"/>
      <c r="AK92" s="109"/>
      <c r="AL92" s="105">
        <f>AL90-AL91</f>
        <v>0</v>
      </c>
      <c r="AM92" s="105" t="e">
        <f t="shared" ref="AM92:AN92" ca="1" si="6">AM90-AM91</f>
        <v>#DIV/0!</v>
      </c>
      <c r="AN92" s="230" t="e">
        <f t="shared" ca="1" si="6"/>
        <v>#DIV/0!</v>
      </c>
    </row>
    <row r="93" spans="34:40" x14ac:dyDescent="0.25">
      <c r="AH93" s="187"/>
      <c r="AN93" s="188"/>
    </row>
    <row r="94" spans="34:40" x14ac:dyDescent="0.25">
      <c r="AH94" s="187" t="str">
        <f ca="1">"EBITDA - " &amp; DCF!I15 &amp; "E"</f>
        <v>EBITDA - 2024E</v>
      </c>
      <c r="AL94">
        <f>P26</f>
        <v>0</v>
      </c>
      <c r="AM94" t="e">
        <f ca="1">P27</f>
        <v>#DIV/0!</v>
      </c>
      <c r="AN94" s="188" t="e">
        <f ca="1">AL94+AM94</f>
        <v>#DIV/0!</v>
      </c>
    </row>
    <row r="95" spans="34:40" x14ac:dyDescent="0.25">
      <c r="AH95" s="224" t="s">
        <v>388</v>
      </c>
      <c r="AI95" s="112"/>
      <c r="AJ95" s="112"/>
      <c r="AK95" s="112"/>
      <c r="AL95" s="248" t="e">
        <f>AL92/AL94</f>
        <v>#DIV/0!</v>
      </c>
      <c r="AM95" s="248" t="e">
        <f t="shared" ref="AM95:AN95" ca="1" si="7">AM92/AM94</f>
        <v>#DIV/0!</v>
      </c>
      <c r="AN95" s="231" t="e">
        <f t="shared" ca="1" si="7"/>
        <v>#DIV/0!</v>
      </c>
    </row>
    <row r="96" spans="34:40" x14ac:dyDescent="0.25">
      <c r="AH96" s="187"/>
      <c r="AN96" s="188"/>
    </row>
    <row r="97" spans="34:40" x14ac:dyDescent="0.25">
      <c r="AH97" s="228" t="str">
        <f ca="1">"FY" &amp; DCF!K15 &amp; "E Accretion/Dilution Sensitivity Analysis"</f>
        <v>FY2026E Accretion/Dilution Sensitivity Analysis</v>
      </c>
      <c r="AI97" s="16"/>
      <c r="AJ97" s="16"/>
      <c r="AK97" s="16"/>
      <c r="AL97" s="16"/>
      <c r="AM97" s="16"/>
      <c r="AN97" s="229"/>
    </row>
    <row r="98" spans="34:40" x14ac:dyDescent="0.25">
      <c r="AH98" s="187"/>
      <c r="AN98" s="188"/>
    </row>
    <row r="99" spans="34:40" x14ac:dyDescent="0.25">
      <c r="AH99" s="187"/>
      <c r="AL99" s="10" t="s">
        <v>379</v>
      </c>
      <c r="AN99" s="188"/>
    </row>
    <row r="100" spans="34:40" x14ac:dyDescent="0.25">
      <c r="AH100" s="187"/>
      <c r="AJ100" t="e">
        <f ca="1">AK100-5</f>
        <v>#DIV/0!</v>
      </c>
      <c r="AK100" t="e">
        <f ca="1">AL100-5</f>
        <v>#DIV/0!</v>
      </c>
      <c r="AL100" t="e">
        <f ca="1">AN72</f>
        <v>#DIV/0!</v>
      </c>
      <c r="AM100" t="e">
        <f ca="1">AL100+5</f>
        <v>#DIV/0!</v>
      </c>
      <c r="AN100" s="188" t="e">
        <f t="shared" ref="AN100" ca="1" si="8">AM100+5</f>
        <v>#DIV/0!</v>
      </c>
    </row>
    <row r="101" spans="34:40" x14ac:dyDescent="0.25">
      <c r="AH101" s="187"/>
      <c r="AI101" s="249">
        <f t="shared" ref="AI101" si="9">AI102-1</f>
        <v>-2</v>
      </c>
      <c r="AJ101" s="238" t="e">
        <f ca="1">(((($AN$71+AJ$100-$AN$73-$AN$74-$AN$75)*(1-DCF!$C$11))+$AN$69)/($AN$68+(((($AI101*$J$17)+$T$44+$T$45-$Z$43+$Z$45-$Z$47-$Z$48)/($AI101*$J$17))*($AI101/$AG$59)*$AG$62)))-$AN$67</f>
        <v>#DIV/0!</v>
      </c>
      <c r="AK101" s="23" t="e">
        <f ca="1">(((($AN$71+AK$100-$AN$73-$AN$74-$AN$75)*(1-DCF!$C$11))+$AN$69)/($AN$68+(((($AI101*$J$17)+$T$44+$T$45-$Z$43+$Z$45-$Z$47-$Z$48)/($AI101*$J$17))*($AI101/$AG$59)*$AG$62)))-$AN$67</f>
        <v>#DIV/0!</v>
      </c>
      <c r="AL101" s="23" t="e">
        <f ca="1">(((($AN$71+AL$100-$AN$73-$AN$74-$AN$75)*(1-DCF!$C$11))+$AN$69)/($AN$68+(((($AI101*$J$17)+$T$44+$T$45-$Z$43+$Z$45-$Z$47-$Z$48)/($AI101*$J$17))*($AI101/$AG$59)*$AG$62)))-$AN$67</f>
        <v>#DIV/0!</v>
      </c>
      <c r="AM101" s="23" t="e">
        <f ca="1">(((($AN$71+AM$100-$AN$73-$AN$74-$AN$75)*(1-DCF!$C$11))+$AN$69)/($AN$68+(((($AI101*$J$17)+$T$44+$T$45-$Z$43+$Z$45-$Z$47-$Z$48)/($AI101*$J$17))*($AI101/$AG$59)*$AG$62)))-$AN$67</f>
        <v>#DIV/0!</v>
      </c>
      <c r="AN101" s="205" t="e">
        <f ca="1">(((($AN$71+AN$100-$AN$73-$AN$74-$AN$75)*(1-DCF!$C$11))+$AN$69)/($AN$68+(((($AI101*$J$17)+$T$44+$T$45-$Z$43+$Z$45-$Z$47-$Z$48)/($AI101*$J$17))*($AI101/$AG$59)*$AG$62)))-$AN$67</f>
        <v>#DIV/0!</v>
      </c>
    </row>
    <row r="102" spans="34:40" x14ac:dyDescent="0.25">
      <c r="AH102" s="232" t="s">
        <v>393</v>
      </c>
      <c r="AI102" s="249">
        <f>AI103-1</f>
        <v>-1</v>
      </c>
      <c r="AJ102" s="236" t="e">
        <f ca="1">(((($AN$71+AJ$100-$AN$73-$AN$74-$AN$75)*(1-DCF!$C$11))+$AN$69)/($AN$68+(((($AI102*$J$17)+$T$44+$T$45-$Z$43+$Z$45-$Z$47-$Z$48)/($AI102*$J$17))*($AI102/$AG$59)*$AG$62)))-$AN$67</f>
        <v>#DIV/0!</v>
      </c>
      <c r="AK102" t="e">
        <f ca="1">(((($AN$71+AK$100-$AN$73-$AN$74-$AN$75)*(1-DCF!$C$11))+$AN$69)/($AN$68+(((($AI102*$J$17)+$T$44+$T$45-$Z$43+$Z$45-$Z$47-$Z$48)/($AI102*$J$17))*($AI102/$AG$59)*$AG$62)))-$AN$67</f>
        <v>#DIV/0!</v>
      </c>
      <c r="AL102" t="e">
        <f ca="1">(((($AN$71+AL$100-$AN$73-$AN$74-$AN$75)*(1-DCF!$C$11))+$AN$69)/($AN$68+(((($AI102*$J$17)+$T$44+$T$45-$Z$43+$Z$45-$Z$47-$Z$48)/($AI102*$J$17))*($AI102/$AG$59)*$AG$62)))-$AN$67</f>
        <v>#DIV/0!</v>
      </c>
      <c r="AM102" t="e">
        <f ca="1">(((($AN$71+AM$100-$AN$73-$AN$74-$AN$75)*(1-DCF!$C$11))+$AN$69)/($AN$68+(((($AI102*$J$17)+$T$44+$T$45-$Z$43+$Z$45-$Z$47-$Z$48)/($AI102*$J$17))*($AI102/$AG$59)*$AG$62)))-$AN$67</f>
        <v>#DIV/0!</v>
      </c>
      <c r="AN102" s="188" t="e">
        <f ca="1">(((($AN$71+AN$100-$AN$73-$AN$74-$AN$75)*(1-DCF!$C$11))+$AN$69)/($AN$68+(((($AI102*$J$17)+$T$44+$T$45-$Z$43+$Z$45-$Z$47-$Z$48)/($AI102*$J$17))*($AI102/$AG$59)*$AG$62)))-$AN$67</f>
        <v>#DIV/0!</v>
      </c>
    </row>
    <row r="103" spans="34:40" x14ac:dyDescent="0.25">
      <c r="AH103" s="232" t="s">
        <v>394</v>
      </c>
      <c r="AI103" s="249">
        <f>J15</f>
        <v>0</v>
      </c>
      <c r="AJ103" s="236" t="e">
        <f ca="1">(((($AN$71+AJ$100-$AN$73-$AN$74-$AN$75)*(1-DCF!$C$11))+$AN$69)/($AN$68+(((($AI103*$J$17)+$T$44+$T$45-$Z$43+$Z$45-$Z$47-$Z$48)/($AI103*$J$17))*($AI103/$AG$59)*$AG$62)))-$AN$67</f>
        <v>#DIV/0!</v>
      </c>
      <c r="AK103" t="e">
        <f ca="1">(((($AN$71+AK$100-$AN$73-$AN$74-$AN$75)*(1-DCF!$C$11))+$AN$69)/($AN$68+(((($AI103*$J$17)+$T$44+$T$45-$Z$43+$Z$45-$Z$47-$Z$48)/($AI103*$J$17))*($AI103/$AG$59)*$AG$62)))-$AN$67</f>
        <v>#DIV/0!</v>
      </c>
      <c r="AL103" t="e">
        <f ca="1">(((($AN$71+AL$100-$AN$73-$AN$74-$AN$75)*(1-DCF!$C$11))+$AN$69)/($AN$68+(((($AI103*$J$17)+$T$44+$T$45-$Z$43+$Z$45-$Z$47-$Z$48)/($AI103*$J$17))*($AI103/$AG$59)*$AG$62)))-$AN$67</f>
        <v>#DIV/0!</v>
      </c>
      <c r="AM103" t="e">
        <f ca="1">(((($AN$71+AM$100-$AN$73-$AN$74-$AN$75)*(1-DCF!$C$11))+$AN$69)/($AN$68+(((($AI103*$J$17)+$T$44+$T$45-$Z$43+$Z$45-$Z$47-$Z$48)/($AI103*$J$17))*($AI103/$AG$59)*$AG$62)))-$AN$67</f>
        <v>#DIV/0!</v>
      </c>
      <c r="AN103" s="188" t="e">
        <f ca="1">(((($AN$71+AN$100-$AN$73-$AN$74-$AN$75)*(1-DCF!$C$11))+$AN$69)/($AN$68+(((($AI103*$J$17)+$T$44+$T$45-$Z$43+$Z$45-$Z$47-$Z$48)/($AI103*$J$17))*($AI103/$AG$59)*$AG$62)))-$AN$67</f>
        <v>#DIV/0!</v>
      </c>
    </row>
    <row r="104" spans="34:40" x14ac:dyDescent="0.25">
      <c r="AH104" s="232" t="s">
        <v>395</v>
      </c>
      <c r="AI104" s="249">
        <f>AI103+1</f>
        <v>1</v>
      </c>
      <c r="AJ104" s="236" t="e">
        <f ca="1">(((($AN$71+AJ$100-$AN$73-$AN$74-$AN$75)*(1-DCF!$C$11))+$AN$69)/($AN$68+(((($AI104*$J$17)+$T$44+$T$45-$Z$43+$Z$45-$Z$47-$Z$48)/($AI104*$J$17))*($AI104/$AG$59)*$AG$62)))-$AN$67</f>
        <v>#DIV/0!</v>
      </c>
      <c r="AK104" t="e">
        <f ca="1">(((($AN$71+AK$100-$AN$73-$AN$74-$AN$75)*(1-DCF!$C$11))+$AN$69)/($AN$68+(((($AI104*$J$17)+$T$44+$T$45-$Z$43+$Z$45-$Z$47-$Z$48)/($AI104*$J$17))*($AI104/$AG$59)*$AG$62)))-$AN$67</f>
        <v>#DIV/0!</v>
      </c>
      <c r="AL104" t="e">
        <f ca="1">(((($AN$71+AL$100-$AN$73-$AN$74-$AN$75)*(1-DCF!$C$11))+$AN$69)/($AN$68+(((($AI104*$J$17)+$T$44+$T$45-$Z$43+$Z$45-$Z$47-$Z$48)/($AI104*$J$17))*($AI104/$AG$59)*$AG$62)))-$AN$67</f>
        <v>#DIV/0!</v>
      </c>
      <c r="AM104" t="e">
        <f ca="1">(((($AN$71+AM$100-$AN$73-$AN$74-$AN$75)*(1-DCF!$C$11))+$AN$69)/($AN$68+(((($AI104*$J$17)+$T$44+$T$45-$Z$43+$Z$45-$Z$47-$Z$48)/($AI104*$J$17))*($AI104/$AG$59)*$AG$62)))-$AN$67</f>
        <v>#DIV/0!</v>
      </c>
      <c r="AN104" s="188" t="e">
        <f ca="1">(((($AN$71+AN$100-$AN$73-$AN$74-$AN$75)*(1-DCF!$C$11))+$AN$69)/($AN$68+(((($AI104*$J$17)+$T$44+$T$45-$Z$43+$Z$45-$Z$47-$Z$48)/($AI104*$J$17))*($AI104/$AG$59)*$AG$62)))-$AN$67</f>
        <v>#DIV/0!</v>
      </c>
    </row>
    <row r="105" spans="34:40" ht="15.75" thickBot="1" x14ac:dyDescent="0.3">
      <c r="AH105" s="191"/>
      <c r="AI105" s="233">
        <f t="shared" ref="AI105" si="10">AI104+1</f>
        <v>2</v>
      </c>
      <c r="AJ105" s="237" t="e">
        <f ca="1">(((($AN$71+AJ$100-$AN$73-$AN$74-$AN$75)*(1-DCF!$C$11))+$AN$69)/($AN$68+(((($AI105*$J$17)+$T$44+$T$45-$Z$43+$Z$45-$Z$47-$Z$48)/($AI105*$J$17))*($AI105/$AG$59)*$AG$62)))-$AN$67</f>
        <v>#DIV/0!</v>
      </c>
      <c r="AK105" s="192" t="e">
        <f ca="1">(((($AN$71+AK$100-$AN$73-$AN$74-$AN$75)*(1-DCF!$C$11))+$AN$69)/($AN$68+(((($AI105*$J$17)+$T$44+$T$45-$Z$43+$Z$45-$Z$47-$Z$48)/($AI105*$J$17))*($AI105/$AG$59)*$AG$62)))-$AN$67</f>
        <v>#DIV/0!</v>
      </c>
      <c r="AL105" s="192" t="e">
        <f ca="1">(((($AN$71+AL$100-$AN$73-$AN$74-$AN$75)*(1-DCF!$C$11))+$AN$69)/($AN$68+(((($AI105*$J$17)+$T$44+$T$45-$Z$43+$Z$45-$Z$47-$Z$48)/($AI105*$J$17))*($AI105/$AG$59)*$AG$62)))-$AN$67</f>
        <v>#DIV/0!</v>
      </c>
      <c r="AM105" s="192" t="e">
        <f ca="1">(((($AN$71+AM$100-$AN$73-$AN$74-$AN$75)*(1-DCF!$C$11))+$AN$69)/($AN$68+(((($AI105*$J$17)+$T$44+$T$45-$Z$43+$Z$45-$Z$47-$Z$48)/($AI105*$J$17))*($AI105/$AG$59)*$AG$62)))-$AN$67</f>
        <v>#DIV/0!</v>
      </c>
      <c r="AN105" s="234" t="e">
        <f ca="1">(((($AN$71+AN$100-$AN$73-$AN$74-$AN$75)*(1-DCF!$C$11))+$AN$69)/($AN$68+(((($AI105*$J$17)+$T$44+$T$45-$Z$43+$Z$45-$Z$47-$Z$48)/($AI105*$J$17))*($AI105/$AG$59)*$AG$62)))-$AN$67</f>
        <v>#DIV/0!</v>
      </c>
    </row>
  </sheetData>
  <conditionalFormatting sqref="AJ101:AN105">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32A3-D59E-411E-9086-72D985B63757}">
  <sheetPr codeName="Sheet18">
    <tabColor rgb="FF0070C0"/>
  </sheetPr>
  <dimension ref="A1"/>
  <sheetViews>
    <sheetView workbookViewId="0">
      <selection activeCell="R31" sqref="R31"/>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0365-C7AB-4EF7-80AF-AA86B76002CA}">
  <sheetPr codeName="Sheet19"/>
  <dimension ref="B2:Y75"/>
  <sheetViews>
    <sheetView topLeftCell="B18" zoomScaleNormal="100" workbookViewId="0">
      <selection activeCell="U62" sqref="U62:Y66"/>
    </sheetView>
  </sheetViews>
  <sheetFormatPr defaultRowHeight="15" x14ac:dyDescent="0.25"/>
  <cols>
    <col min="2" max="2" width="32.42578125" customWidth="1"/>
    <col min="3" max="3" width="13.28515625" bestFit="1" customWidth="1"/>
    <col min="4" max="5" width="11.5703125" bestFit="1" customWidth="1"/>
    <col min="6" max="8" width="11.85546875" bestFit="1" customWidth="1"/>
    <col min="9" max="18" width="11.7109375" bestFit="1" customWidth="1"/>
    <col min="21" max="25" width="12.42578125" bestFit="1" customWidth="1"/>
  </cols>
  <sheetData>
    <row r="2" spans="2:18" ht="15.75" thickBot="1" x14ac:dyDescent="0.3">
      <c r="B2" s="6" t="str">
        <f>IF(Hub!N4="No", Hub!R6, Hub!D6)</f>
        <v>APPLE INC.</v>
      </c>
      <c r="C2" s="6" t="s">
        <v>350</v>
      </c>
      <c r="D2" s="19"/>
      <c r="E2" s="19"/>
      <c r="F2" s="19"/>
      <c r="G2" s="19"/>
      <c r="H2" s="19"/>
      <c r="I2" s="19"/>
      <c r="J2" s="19"/>
      <c r="K2" s="19"/>
      <c r="L2" s="19"/>
      <c r="M2" s="19"/>
      <c r="N2" s="19"/>
      <c r="O2" s="19"/>
      <c r="P2" s="19"/>
      <c r="Q2" s="19"/>
      <c r="R2" s="19"/>
    </row>
    <row r="3" spans="2:18" ht="15.75" thickTop="1" x14ac:dyDescent="0.25">
      <c r="B3" t="s">
        <v>76</v>
      </c>
    </row>
    <row r="4" spans="2:18" x14ac:dyDescent="0.25">
      <c r="B4" t="s">
        <v>77</v>
      </c>
      <c r="G4" s="121" t="str">
        <f>IF(Dashboard!I3="Yes", "Dashboard Master Override Enabled", "Dashboard Master Override Disabled")</f>
        <v>Dashboard Master Override Disabled</v>
      </c>
    </row>
    <row r="7" spans="2:18" x14ac:dyDescent="0.25">
      <c r="B7" s="2" t="s">
        <v>78</v>
      </c>
      <c r="C7" s="2"/>
      <c r="D7" s="1"/>
      <c r="E7" s="1"/>
      <c r="F7" s="1"/>
      <c r="G7" s="1"/>
      <c r="H7" s="1"/>
      <c r="I7" s="1"/>
      <c r="J7" s="1"/>
      <c r="K7" s="1"/>
      <c r="L7" s="1"/>
      <c r="M7" s="1"/>
      <c r="N7" s="1"/>
      <c r="O7" s="1"/>
      <c r="P7" s="1"/>
      <c r="Q7" s="1"/>
      <c r="R7" s="1"/>
    </row>
    <row r="9" spans="2:18" x14ac:dyDescent="0.25">
      <c r="B9" t="s">
        <v>79</v>
      </c>
      <c r="C9" s="20">
        <f ca="1">IF(ISBLANK(Hub!D10), TODAY(), Hub!D10)</f>
        <v>45431</v>
      </c>
      <c r="E9" t="s">
        <v>80</v>
      </c>
      <c r="H9" s="21">
        <f>H23</f>
        <v>0</v>
      </c>
      <c r="J9" t="s">
        <v>36</v>
      </c>
      <c r="M9" s="125">
        <f>IF(Dashboard!I3="Yes", Dashboard!E8, Hub!D22)</f>
        <v>0</v>
      </c>
    </row>
    <row r="10" spans="2:18" x14ac:dyDescent="0.25">
      <c r="B10" t="s">
        <v>81</v>
      </c>
      <c r="C10" s="20">
        <f ca="1">IF(ISBLANK(Hub!D11), DATE(YEAR(C9)-1,12,31),Hub!D11)</f>
        <v>45291</v>
      </c>
      <c r="E10" t="s">
        <v>82</v>
      </c>
      <c r="H10" s="22">
        <f>IF(Dashboard!I3="Yes", Dashboard!E9, IF(Hub!H24="Yes", ((M10*M11-Net_Working_Capital!H7+Debt_Schedule!Y41)/H23), Hub!D21))</f>
        <v>0</v>
      </c>
      <c r="J10" t="s">
        <v>11</v>
      </c>
      <c r="M10" s="141">
        <f>IF(Dashboard!I3="YES", Dashboard!J8, IF(Hub!N4="No", Hub!V7, Hub!H7))</f>
        <v>15334.08</v>
      </c>
    </row>
    <row r="11" spans="2:18" x14ac:dyDescent="0.25">
      <c r="B11" t="s">
        <v>15</v>
      </c>
      <c r="C11" s="108">
        <f>Hub!H10</f>
        <v>0.21</v>
      </c>
      <c r="E11" t="s">
        <v>48</v>
      </c>
      <c r="H11" s="125" t="e">
        <f>IF(Dashboard!I3="Yes", Dashboard!E6, IF(ISBLANK(Hub!D44), WACC_Calculator!D4, Hub!D44))</f>
        <v>#DIV/0!</v>
      </c>
      <c r="J11" t="s">
        <v>83</v>
      </c>
      <c r="M11" s="144">
        <f>IF(Hub!N4="No", Hub!V6, Hub!H6)</f>
        <v>189.87</v>
      </c>
    </row>
    <row r="12" spans="2:18" x14ac:dyDescent="0.25">
      <c r="B12" t="s">
        <v>84</v>
      </c>
      <c r="C12" s="125">
        <f>IF(Dashboard!I3="Yes", Dashboard!J7, Hub!H23)</f>
        <v>0</v>
      </c>
      <c r="E12" t="s">
        <v>49</v>
      </c>
      <c r="H12" s="125" t="e">
        <f>IF(Dashboard!I3="Yes", Dashboard!E7, IF(ISBLANK(Hub!D45), IF(ISBLANK(Hub!D44), WACC_Calculator!D4, Hub!D44), Hub!D45))</f>
        <v>#DIV/0!</v>
      </c>
      <c r="J12" t="s">
        <v>37</v>
      </c>
      <c r="M12" s="125">
        <f>IF(Dashboard!I3="YES", Dashboard!J6, Hub!H22)</f>
        <v>0</v>
      </c>
    </row>
    <row r="13" spans="2:18" x14ac:dyDescent="0.25">
      <c r="B13" t="s">
        <v>294</v>
      </c>
      <c r="C13" s="125">
        <f>IF(Dashboard!I3="Yes", Dashboard!O6, Hub!T23)</f>
        <v>0</v>
      </c>
      <c r="E13" t="s">
        <v>295</v>
      </c>
      <c r="H13" s="125">
        <f>IF(Dashboard!I3="Yes", Dashboard!O7, Hub!T24)</f>
        <v>0</v>
      </c>
      <c r="J13" t="s">
        <v>296</v>
      </c>
      <c r="M13" s="125">
        <f>IF(Dashboard!I3="Yes", Dashboard!O8, Hub!T25)</f>
        <v>0</v>
      </c>
    </row>
    <row r="15" spans="2:18" x14ac:dyDescent="0.25">
      <c r="D15" s="5"/>
      <c r="E15" s="1"/>
      <c r="F15" s="2" t="s">
        <v>85</v>
      </c>
      <c r="G15" s="1"/>
      <c r="H15" s="1"/>
      <c r="I15" s="4"/>
      <c r="J15" s="3"/>
      <c r="K15" s="3"/>
      <c r="L15" s="3"/>
      <c r="M15" s="3" t="s">
        <v>86</v>
      </c>
      <c r="N15" s="3"/>
      <c r="O15" s="3"/>
      <c r="P15" s="3"/>
      <c r="Q15" s="3"/>
      <c r="R15" s="3"/>
    </row>
    <row r="16" spans="2:18" x14ac:dyDescent="0.25">
      <c r="D16" s="7">
        <f ca="1">YEAR(D17)</f>
        <v>2019</v>
      </c>
      <c r="E16" s="7">
        <f t="shared" ref="E16:H16" ca="1" si="0">YEAR(E17)</f>
        <v>2020</v>
      </c>
      <c r="F16" s="7">
        <f t="shared" ca="1" si="0"/>
        <v>2021</v>
      </c>
      <c r="G16" s="7">
        <f t="shared" ca="1" si="0"/>
        <v>2022</v>
      </c>
      <c r="H16" s="7">
        <f t="shared" ca="1" si="0"/>
        <v>2023</v>
      </c>
      <c r="I16" s="8">
        <f ca="1">YEAR(I17)</f>
        <v>2024</v>
      </c>
      <c r="J16" s="8">
        <f t="shared" ref="J16:R16" ca="1" si="1">YEAR(J17)</f>
        <v>2025</v>
      </c>
      <c r="K16" s="8">
        <f t="shared" ca="1" si="1"/>
        <v>2026</v>
      </c>
      <c r="L16" s="8">
        <f t="shared" ca="1" si="1"/>
        <v>2027</v>
      </c>
      <c r="M16" s="8">
        <f t="shared" ca="1" si="1"/>
        <v>2028</v>
      </c>
      <c r="N16" s="8">
        <f t="shared" ca="1" si="1"/>
        <v>2029</v>
      </c>
      <c r="O16" s="8">
        <f t="shared" ca="1" si="1"/>
        <v>2030</v>
      </c>
      <c r="P16" s="8">
        <f t="shared" ca="1" si="1"/>
        <v>2031</v>
      </c>
      <c r="Q16" s="8">
        <f t="shared" ca="1" si="1"/>
        <v>2032</v>
      </c>
      <c r="R16" s="8">
        <f t="shared" ca="1" si="1"/>
        <v>2033</v>
      </c>
    </row>
    <row r="17" spans="2:18" x14ac:dyDescent="0.25">
      <c r="D17" s="9">
        <f t="shared" ref="D17:F17" ca="1" si="2">EOMONTH(E17,-12)</f>
        <v>43830</v>
      </c>
      <c r="E17" s="9">
        <f t="shared" ca="1" si="2"/>
        <v>44196</v>
      </c>
      <c r="F17" s="9">
        <f t="shared" ca="1" si="2"/>
        <v>44561</v>
      </c>
      <c r="G17" s="9">
        <f ca="1">EOMONTH(H17,-12)</f>
        <v>44926</v>
      </c>
      <c r="H17" s="9">
        <f ca="1">C10</f>
        <v>45291</v>
      </c>
      <c r="I17" s="9">
        <f ca="1">EOMONTH(H17,12)</f>
        <v>45657</v>
      </c>
      <c r="J17" s="9">
        <f t="shared" ref="J17:M17" ca="1" si="3">EOMONTH(I17,12)</f>
        <v>46022</v>
      </c>
      <c r="K17" s="9">
        <f t="shared" ca="1" si="3"/>
        <v>46387</v>
      </c>
      <c r="L17" s="9">
        <f t="shared" ca="1" si="3"/>
        <v>46752</v>
      </c>
      <c r="M17" s="9">
        <f t="shared" ca="1" si="3"/>
        <v>47118</v>
      </c>
      <c r="N17" s="9">
        <f t="shared" ref="N17" ca="1" si="4">EOMONTH(M17,12)</f>
        <v>47483</v>
      </c>
      <c r="O17" s="9">
        <f t="shared" ref="O17" ca="1" si="5">EOMONTH(N17,12)</f>
        <v>47848</v>
      </c>
      <c r="P17" s="9">
        <f t="shared" ref="P17" ca="1" si="6">EOMONTH(O17,12)</f>
        <v>48213</v>
      </c>
      <c r="Q17" s="9">
        <f t="shared" ref="Q17" ca="1" si="7">EOMONTH(P17,12)</f>
        <v>48579</v>
      </c>
      <c r="R17" s="9">
        <f t="shared" ref="R17" ca="1" si="8">EOMONTH(Q17,12)</f>
        <v>48944</v>
      </c>
    </row>
    <row r="18" spans="2:18" x14ac:dyDescent="0.25">
      <c r="B18" s="2" t="s">
        <v>87</v>
      </c>
      <c r="C18" s="2"/>
      <c r="D18" s="1"/>
      <c r="E18" s="1"/>
      <c r="F18" s="1"/>
      <c r="G18" s="1"/>
      <c r="H18" s="1"/>
      <c r="I18" s="1"/>
      <c r="J18" s="1"/>
      <c r="K18" s="1"/>
      <c r="L18" s="1"/>
      <c r="M18" s="1"/>
      <c r="N18" s="1"/>
      <c r="O18" s="1"/>
      <c r="P18" s="1"/>
      <c r="Q18" s="1"/>
      <c r="R18" s="1"/>
    </row>
    <row r="20" spans="2:18" x14ac:dyDescent="0.25">
      <c r="B20" s="10" t="s">
        <v>88</v>
      </c>
      <c r="D20" s="307">
        <f>Revenue_Build!C36</f>
        <v>0</v>
      </c>
      <c r="E20" s="307">
        <f>Revenue_Build!D36</f>
        <v>0</v>
      </c>
      <c r="F20" s="307">
        <f>Revenue_Build!E36</f>
        <v>0</v>
      </c>
      <c r="G20" s="307">
        <f>Revenue_Build!F36</f>
        <v>0</v>
      </c>
      <c r="H20" s="307">
        <f>Revenue_Build!G36</f>
        <v>0</v>
      </c>
      <c r="I20" s="307">
        <f>Revenue_Build!H36*(1+$C13)</f>
        <v>0</v>
      </c>
      <c r="J20" s="307">
        <f>Revenue_Build!I36*(1+$C13)</f>
        <v>0</v>
      </c>
      <c r="K20" s="307">
        <f>Revenue_Build!J36*(1+$C13)</f>
        <v>0</v>
      </c>
      <c r="L20" s="307">
        <f>Revenue_Build!K36*(1+$C13)</f>
        <v>0</v>
      </c>
      <c r="M20" s="307">
        <f>Revenue_Build!L36*(1+$C13)</f>
        <v>0</v>
      </c>
      <c r="N20" s="307">
        <f>Revenue_Build!M36*(1+$C13)</f>
        <v>0</v>
      </c>
      <c r="O20" s="307">
        <f>Revenue_Build!N36*(1+$C13)</f>
        <v>0</v>
      </c>
      <c r="P20" s="307">
        <f>Revenue_Build!O36*(1+$C13)</f>
        <v>0</v>
      </c>
      <c r="Q20" s="307">
        <f>Revenue_Build!P36*(1+$C13)</f>
        <v>0</v>
      </c>
      <c r="R20" s="307">
        <f>Revenue_Build!Q36*(1+$C13)</f>
        <v>0</v>
      </c>
    </row>
    <row r="21" spans="2:18" x14ac:dyDescent="0.25">
      <c r="B21" s="11" t="s">
        <v>89</v>
      </c>
      <c r="D21" s="69" t="s">
        <v>90</v>
      </c>
      <c r="E21" s="14" t="e">
        <f>(E20-D20)/D20</f>
        <v>#DIV/0!</v>
      </c>
      <c r="F21" s="14" t="e">
        <f t="shared" ref="F21:M21" si="9">(F20-E20)/E20</f>
        <v>#DIV/0!</v>
      </c>
      <c r="G21" s="14" t="e">
        <f t="shared" si="9"/>
        <v>#DIV/0!</v>
      </c>
      <c r="H21" s="14" t="e">
        <f t="shared" si="9"/>
        <v>#DIV/0!</v>
      </c>
      <c r="I21" s="14" t="e">
        <f t="shared" si="9"/>
        <v>#DIV/0!</v>
      </c>
      <c r="J21" s="14" t="e">
        <f t="shared" si="9"/>
        <v>#DIV/0!</v>
      </c>
      <c r="K21" s="14" t="e">
        <f t="shared" si="9"/>
        <v>#DIV/0!</v>
      </c>
      <c r="L21" s="14" t="e">
        <f t="shared" si="9"/>
        <v>#DIV/0!</v>
      </c>
      <c r="M21" s="14" t="e">
        <f t="shared" si="9"/>
        <v>#DIV/0!</v>
      </c>
      <c r="N21" s="14" t="e">
        <f t="shared" ref="N21" si="10">(N20-M20)/M20</f>
        <v>#DIV/0!</v>
      </c>
      <c r="O21" s="14" t="e">
        <f t="shared" ref="O21" si="11">(O20-N20)/N20</f>
        <v>#DIV/0!</v>
      </c>
      <c r="P21" s="14" t="e">
        <f t="shared" ref="P21" si="12">(P20-O20)/O20</f>
        <v>#DIV/0!</v>
      </c>
      <c r="Q21" s="14" t="e">
        <f t="shared" ref="Q21" si="13">(Q20-P20)/P20</f>
        <v>#DIV/0!</v>
      </c>
      <c r="R21" s="14" t="e">
        <f t="shared" ref="R21" si="14">(R20-Q20)/Q20</f>
        <v>#DIV/0!</v>
      </c>
    </row>
    <row r="23" spans="2:18" x14ac:dyDescent="0.25">
      <c r="B23" s="10" t="s">
        <v>91</v>
      </c>
      <c r="D23" s="307">
        <f>Operating_Model!D76</f>
        <v>0</v>
      </c>
      <c r="E23" s="307">
        <f>Operating_Model!E76</f>
        <v>0</v>
      </c>
      <c r="F23" s="307">
        <f>Operating_Model!F76</f>
        <v>0</v>
      </c>
      <c r="G23" s="307">
        <f>Operating_Model!G76</f>
        <v>0</v>
      </c>
      <c r="H23" s="307">
        <f>Operating_Model!H76</f>
        <v>0</v>
      </c>
      <c r="I23" s="307" t="e">
        <f ca="1">'DCF Synergies'!I20-((Operating_Model!I48+Operating_Model!I51)*(1-'DCF Synergies'!$H13)+(Operating_Model!I59+Operating_Model!I62+Operating_Model!I65)*(1-'DCF Synergies'!$M13))+Operating_Model!I71</f>
        <v>#DIV/0!</v>
      </c>
      <c r="J23" s="307" t="e">
        <f ca="1">'DCF Synergies'!J20-((Operating_Model!J48+Operating_Model!J51)*(1-'DCF Synergies'!$H13)+(Operating_Model!J59+Operating_Model!J62+Operating_Model!J65)*(1-'DCF Synergies'!$M13))+Operating_Model!J71</f>
        <v>#DIV/0!</v>
      </c>
      <c r="K23" s="307" t="e">
        <f ca="1">'DCF Synergies'!K20-((Operating_Model!K48+Operating_Model!K51)*(1-'DCF Synergies'!$H13)+(Operating_Model!K59+Operating_Model!K62+Operating_Model!K65)*(1-'DCF Synergies'!$M13))+Operating_Model!K71</f>
        <v>#DIV/0!</v>
      </c>
      <c r="L23" s="307" t="e">
        <f ca="1">'DCF Synergies'!L20-((Operating_Model!L48+Operating_Model!L51)*(1-'DCF Synergies'!$H13)+(Operating_Model!L59+Operating_Model!L62+Operating_Model!L65)*(1-'DCF Synergies'!$M13))+Operating_Model!L71</f>
        <v>#DIV/0!</v>
      </c>
      <c r="M23" s="307" t="e">
        <f ca="1">'DCF Synergies'!M20-((Operating_Model!M48+Operating_Model!M51)*(1-'DCF Synergies'!$H13)+(Operating_Model!M59+Operating_Model!M62+Operating_Model!M65)*(1-'DCF Synergies'!$M13))+Operating_Model!M71</f>
        <v>#DIV/0!</v>
      </c>
      <c r="N23" s="307" t="e">
        <f ca="1">'DCF Synergies'!N20-((Operating_Model!N48+Operating_Model!N51)*(1-'DCF Synergies'!$H13)+(Operating_Model!N59+Operating_Model!N62+Operating_Model!N65)*(1-'DCF Synergies'!$M13))+Operating_Model!N71</f>
        <v>#DIV/0!</v>
      </c>
      <c r="O23" s="307" t="e">
        <f ca="1">'DCF Synergies'!O20-((Operating_Model!O48+Operating_Model!O51)*(1-'DCF Synergies'!$H13)+(Operating_Model!O59+Operating_Model!O62+Operating_Model!O65)*(1-'DCF Synergies'!$M13))+Operating_Model!O71</f>
        <v>#DIV/0!</v>
      </c>
      <c r="P23" s="307" t="e">
        <f ca="1">'DCF Synergies'!P20-((Operating_Model!P48+Operating_Model!P51)*(1-'DCF Synergies'!$H13)+(Operating_Model!P59+Operating_Model!P62+Operating_Model!P65)*(1-'DCF Synergies'!$M13))+Operating_Model!P71</f>
        <v>#DIV/0!</v>
      </c>
      <c r="Q23" s="307" t="e">
        <f ca="1">'DCF Synergies'!Q20-((Operating_Model!Q48+Operating_Model!Q51)*(1-'DCF Synergies'!$H13)+(Operating_Model!Q59+Operating_Model!Q62+Operating_Model!Q65)*(1-'DCF Synergies'!$M13))+Operating_Model!Q71</f>
        <v>#DIV/0!</v>
      </c>
      <c r="R23" s="307" t="e">
        <f ca="1">'DCF Synergies'!R20-((Operating_Model!R48+Operating_Model!R51)*(1-'DCF Synergies'!$H13)+(Operating_Model!R59+Operating_Model!R62+Operating_Model!R65)*(1-'DCF Synergies'!$M13))+Operating_Model!R71</f>
        <v>#DIV/0!</v>
      </c>
    </row>
    <row r="24" spans="2:18" x14ac:dyDescent="0.25">
      <c r="B24" s="11" t="s">
        <v>92</v>
      </c>
      <c r="D24" s="15" t="e">
        <f t="shared" ref="D24:M24" si="15">D23/D20</f>
        <v>#DIV/0!</v>
      </c>
      <c r="E24" s="15" t="e">
        <f t="shared" si="15"/>
        <v>#DIV/0!</v>
      </c>
      <c r="F24" s="15" t="e">
        <f t="shared" si="15"/>
        <v>#DIV/0!</v>
      </c>
      <c r="G24" s="15" t="e">
        <f t="shared" si="15"/>
        <v>#DIV/0!</v>
      </c>
      <c r="H24" s="15" t="e">
        <f t="shared" si="15"/>
        <v>#DIV/0!</v>
      </c>
      <c r="I24" s="15" t="e">
        <f t="shared" ca="1" si="15"/>
        <v>#DIV/0!</v>
      </c>
      <c r="J24" s="15" t="e">
        <f t="shared" ca="1" si="15"/>
        <v>#DIV/0!</v>
      </c>
      <c r="K24" s="15" t="e">
        <f t="shared" ca="1" si="15"/>
        <v>#DIV/0!</v>
      </c>
      <c r="L24" s="15" t="e">
        <f t="shared" ca="1" si="15"/>
        <v>#DIV/0!</v>
      </c>
      <c r="M24" s="15" t="e">
        <f t="shared" ca="1" si="15"/>
        <v>#DIV/0!</v>
      </c>
      <c r="N24" s="15" t="e">
        <f t="shared" ref="N24:R24" ca="1" si="16">N23/N20</f>
        <v>#DIV/0!</v>
      </c>
      <c r="O24" s="15" t="e">
        <f t="shared" ca="1" si="16"/>
        <v>#DIV/0!</v>
      </c>
      <c r="P24" s="15" t="e">
        <f t="shared" ca="1" si="16"/>
        <v>#DIV/0!</v>
      </c>
      <c r="Q24" s="15" t="e">
        <f t="shared" ca="1" si="16"/>
        <v>#DIV/0!</v>
      </c>
      <c r="R24" s="15" t="e">
        <f t="shared" ca="1" si="16"/>
        <v>#DIV/0!</v>
      </c>
    </row>
    <row r="25" spans="2:18" x14ac:dyDescent="0.25">
      <c r="B25" t="s">
        <v>93</v>
      </c>
      <c r="D25" s="260">
        <f>Operating_Model!D83</f>
        <v>0</v>
      </c>
      <c r="E25" s="260">
        <f>Operating_Model!E83</f>
        <v>0</v>
      </c>
      <c r="F25" s="260">
        <f>Operating_Model!F83</f>
        <v>0</v>
      </c>
      <c r="G25" s="260">
        <f>Operating_Model!G83</f>
        <v>0</v>
      </c>
      <c r="H25" s="260">
        <f>Operating_Model!H83</f>
        <v>0</v>
      </c>
      <c r="I25" s="260" t="e">
        <f ca="1">Operating_Model!I83</f>
        <v>#DIV/0!</v>
      </c>
      <c r="J25" s="260" t="e">
        <f ca="1">Operating_Model!J83</f>
        <v>#DIV/0!</v>
      </c>
      <c r="K25" s="260" t="e">
        <f ca="1">Operating_Model!K83</f>
        <v>#DIV/0!</v>
      </c>
      <c r="L25" s="260" t="e">
        <f ca="1">Operating_Model!L83</f>
        <v>#DIV/0!</v>
      </c>
      <c r="M25" s="260" t="e">
        <f ca="1">Operating_Model!M83</f>
        <v>#DIV/0!</v>
      </c>
      <c r="N25" s="260" t="e">
        <f ca="1">Operating_Model!N83</f>
        <v>#DIV/0!</v>
      </c>
      <c r="O25" s="260" t="e">
        <f ca="1">Operating_Model!O83</f>
        <v>#DIV/0!</v>
      </c>
      <c r="P25" s="260" t="e">
        <f ca="1">Operating_Model!P83</f>
        <v>#DIV/0!</v>
      </c>
      <c r="Q25" s="260" t="e">
        <f ca="1">Operating_Model!Q83</f>
        <v>#DIV/0!</v>
      </c>
      <c r="R25" s="260" t="e">
        <f ca="1">Operating_Model!R83</f>
        <v>#DIV/0!</v>
      </c>
    </row>
    <row r="26" spans="2:18" x14ac:dyDescent="0.25">
      <c r="B26" s="12" t="s">
        <v>94</v>
      </c>
      <c r="C26" s="23"/>
      <c r="D26" s="308">
        <f>D23-D25</f>
        <v>0</v>
      </c>
      <c r="E26" s="308">
        <f t="shared" ref="E26:M26" si="17">E23-E25</f>
        <v>0</v>
      </c>
      <c r="F26" s="308">
        <f t="shared" si="17"/>
        <v>0</v>
      </c>
      <c r="G26" s="308">
        <f t="shared" si="17"/>
        <v>0</v>
      </c>
      <c r="H26" s="308">
        <f t="shared" si="17"/>
        <v>0</v>
      </c>
      <c r="I26" s="308" t="e">
        <f ca="1">I23-I25</f>
        <v>#DIV/0!</v>
      </c>
      <c r="J26" s="308" t="e">
        <f t="shared" ca="1" si="17"/>
        <v>#DIV/0!</v>
      </c>
      <c r="K26" s="308" t="e">
        <f t="shared" ca="1" si="17"/>
        <v>#DIV/0!</v>
      </c>
      <c r="L26" s="308" t="e">
        <f t="shared" ca="1" si="17"/>
        <v>#DIV/0!</v>
      </c>
      <c r="M26" s="308" t="e">
        <f t="shared" ca="1" si="17"/>
        <v>#DIV/0!</v>
      </c>
      <c r="N26" s="308" t="e">
        <f t="shared" ref="N26:R26" ca="1" si="18">N23-N25</f>
        <v>#DIV/0!</v>
      </c>
      <c r="O26" s="308" t="e">
        <f t="shared" ca="1" si="18"/>
        <v>#DIV/0!</v>
      </c>
      <c r="P26" s="308" t="e">
        <f t="shared" ca="1" si="18"/>
        <v>#DIV/0!</v>
      </c>
      <c r="Q26" s="308" t="e">
        <f t="shared" ca="1" si="18"/>
        <v>#DIV/0!</v>
      </c>
      <c r="R26" s="308" t="e">
        <f t="shared" ca="1" si="18"/>
        <v>#DIV/0!</v>
      </c>
    </row>
    <row r="27" spans="2:18" x14ac:dyDescent="0.25">
      <c r="B27" t="s">
        <v>95</v>
      </c>
      <c r="D27" s="260">
        <f>Operating_Model!D101</f>
        <v>0</v>
      </c>
      <c r="E27" s="260">
        <f>Operating_Model!E101</f>
        <v>0</v>
      </c>
      <c r="F27" s="260">
        <f>Operating_Model!F101</f>
        <v>0</v>
      </c>
      <c r="G27" s="260">
        <f>Operating_Model!G101</f>
        <v>0</v>
      </c>
      <c r="H27" s="260">
        <f>Operating_Model!H101</f>
        <v>0</v>
      </c>
      <c r="I27" s="260" t="e">
        <f ca="1">(I26-Operating_Model!I91)*'DCF Synergies'!$C11</f>
        <v>#DIV/0!</v>
      </c>
      <c r="J27" s="260" t="e">
        <f ca="1">(J26-Operating_Model!J91)*'DCF Synergies'!$C11</f>
        <v>#DIV/0!</v>
      </c>
      <c r="K27" s="260" t="e">
        <f ca="1">(K26-Operating_Model!K91)*'DCF Synergies'!$C11</f>
        <v>#DIV/0!</v>
      </c>
      <c r="L27" s="260" t="e">
        <f ca="1">(L26-Operating_Model!L91)*'DCF Synergies'!$C11</f>
        <v>#DIV/0!</v>
      </c>
      <c r="M27" s="260" t="e">
        <f ca="1">(M26-Operating_Model!M91)*'DCF Synergies'!$C11</f>
        <v>#DIV/0!</v>
      </c>
      <c r="N27" s="260" t="e">
        <f ca="1">(N26-Operating_Model!N91)*'DCF Synergies'!$C11</f>
        <v>#DIV/0!</v>
      </c>
      <c r="O27" s="260" t="e">
        <f ca="1">(O26-Operating_Model!O91)*'DCF Synergies'!$C11</f>
        <v>#DIV/0!</v>
      </c>
      <c r="P27" s="260" t="e">
        <f ca="1">(P26-Operating_Model!P91)*'DCF Synergies'!$C11</f>
        <v>#DIV/0!</v>
      </c>
      <c r="Q27" s="260" t="e">
        <f ca="1">(Q26-Operating_Model!Q91)*'DCF Synergies'!$C11</f>
        <v>#DIV/0!</v>
      </c>
      <c r="R27" s="260" t="e">
        <f ca="1">(R26-Operating_Model!R91)*'DCF Synergies'!$C11</f>
        <v>#DIV/0!</v>
      </c>
    </row>
    <row r="28" spans="2:18" x14ac:dyDescent="0.25">
      <c r="B28" s="10" t="s">
        <v>96</v>
      </c>
      <c r="D28" s="307">
        <f>D26-D27</f>
        <v>0</v>
      </c>
      <c r="E28" s="307">
        <f t="shared" ref="E28:M28" si="19">E26-E27</f>
        <v>0</v>
      </c>
      <c r="F28" s="307">
        <f t="shared" si="19"/>
        <v>0</v>
      </c>
      <c r="G28" s="307">
        <f t="shared" si="19"/>
        <v>0</v>
      </c>
      <c r="H28" s="307">
        <f t="shared" si="19"/>
        <v>0</v>
      </c>
      <c r="I28" s="307" t="e">
        <f ca="1">I26-I27</f>
        <v>#DIV/0!</v>
      </c>
      <c r="J28" s="307" t="e">
        <f t="shared" ca="1" si="19"/>
        <v>#DIV/0!</v>
      </c>
      <c r="K28" s="307" t="e">
        <f t="shared" ca="1" si="19"/>
        <v>#DIV/0!</v>
      </c>
      <c r="L28" s="307" t="e">
        <f t="shared" ca="1" si="19"/>
        <v>#DIV/0!</v>
      </c>
      <c r="M28" s="307" t="e">
        <f t="shared" ca="1" si="19"/>
        <v>#DIV/0!</v>
      </c>
      <c r="N28" s="307" t="e">
        <f t="shared" ref="N28:R28" ca="1" si="20">N26-N27</f>
        <v>#DIV/0!</v>
      </c>
      <c r="O28" s="307" t="e">
        <f t="shared" ca="1" si="20"/>
        <v>#DIV/0!</v>
      </c>
      <c r="P28" s="307" t="e">
        <f t="shared" ca="1" si="20"/>
        <v>#DIV/0!</v>
      </c>
      <c r="Q28" s="307" t="e">
        <f t="shared" ca="1" si="20"/>
        <v>#DIV/0!</v>
      </c>
      <c r="R28" s="307" t="e">
        <f t="shared" ca="1" si="20"/>
        <v>#DIV/0!</v>
      </c>
    </row>
    <row r="29" spans="2:18" x14ac:dyDescent="0.25">
      <c r="B29" t="s">
        <v>97</v>
      </c>
      <c r="D29" s="260">
        <f>D25</f>
        <v>0</v>
      </c>
      <c r="E29" s="260">
        <f t="shared" ref="E29:M29" si="21">E25</f>
        <v>0</v>
      </c>
      <c r="F29" s="260">
        <f t="shared" si="21"/>
        <v>0</v>
      </c>
      <c r="G29" s="260">
        <f t="shared" si="21"/>
        <v>0</v>
      </c>
      <c r="H29" s="260">
        <f t="shared" si="21"/>
        <v>0</v>
      </c>
      <c r="I29" s="260" t="e">
        <f t="shared" ca="1" si="21"/>
        <v>#DIV/0!</v>
      </c>
      <c r="J29" s="260" t="e">
        <f t="shared" ca="1" si="21"/>
        <v>#DIV/0!</v>
      </c>
      <c r="K29" s="260" t="e">
        <f t="shared" ca="1" si="21"/>
        <v>#DIV/0!</v>
      </c>
      <c r="L29" s="260" t="e">
        <f t="shared" ca="1" si="21"/>
        <v>#DIV/0!</v>
      </c>
      <c r="M29" s="260" t="e">
        <f t="shared" ca="1" si="21"/>
        <v>#DIV/0!</v>
      </c>
      <c r="N29" s="260" t="e">
        <f t="shared" ref="N29:R29" ca="1" si="22">N25</f>
        <v>#DIV/0!</v>
      </c>
      <c r="O29" s="260" t="e">
        <f t="shared" ca="1" si="22"/>
        <v>#DIV/0!</v>
      </c>
      <c r="P29" s="260" t="e">
        <f t="shared" ca="1" si="22"/>
        <v>#DIV/0!</v>
      </c>
      <c r="Q29" s="260" t="e">
        <f t="shared" ca="1" si="22"/>
        <v>#DIV/0!</v>
      </c>
      <c r="R29" s="260" t="e">
        <f t="shared" ca="1" si="22"/>
        <v>#DIV/0!</v>
      </c>
    </row>
    <row r="30" spans="2:18" x14ac:dyDescent="0.25">
      <c r="B30" t="s">
        <v>98</v>
      </c>
      <c r="D30" s="264">
        <f>DCF!D29</f>
        <v>0</v>
      </c>
      <c r="E30" s="264">
        <f>DCF!E29</f>
        <v>0</v>
      </c>
      <c r="F30" s="264">
        <f>DCF!F29</f>
        <v>0</v>
      </c>
      <c r="G30" s="264">
        <f>DCF!G29</f>
        <v>0</v>
      </c>
      <c r="H30" s="264">
        <f>DCF!H29</f>
        <v>0</v>
      </c>
      <c r="I30" s="260" t="e">
        <f ca="1">'D&amp;A+CAPEX'!I43</f>
        <v>#DIV/0!</v>
      </c>
      <c r="J30" s="260" t="e">
        <f ca="1">'D&amp;A+CAPEX'!J43</f>
        <v>#DIV/0!</v>
      </c>
      <c r="K30" s="260" t="e">
        <f ca="1">'D&amp;A+CAPEX'!K43</f>
        <v>#DIV/0!</v>
      </c>
      <c r="L30" s="260" t="e">
        <f ca="1">'D&amp;A+CAPEX'!L43</f>
        <v>#DIV/0!</v>
      </c>
      <c r="M30" s="260" t="e">
        <f ca="1">'D&amp;A+CAPEX'!M43</f>
        <v>#DIV/0!</v>
      </c>
      <c r="N30" s="260" t="e">
        <f ca="1">'D&amp;A+CAPEX'!N43</f>
        <v>#DIV/0!</v>
      </c>
      <c r="O30" s="260" t="e">
        <f ca="1">'D&amp;A+CAPEX'!O43</f>
        <v>#DIV/0!</v>
      </c>
      <c r="P30" s="260" t="e">
        <f ca="1">'D&amp;A+CAPEX'!P43</f>
        <v>#DIV/0!</v>
      </c>
      <c r="Q30" s="260" t="e">
        <f ca="1">'D&amp;A+CAPEX'!Q43</f>
        <v>#DIV/0!</v>
      </c>
      <c r="R30" s="260" t="e">
        <f ca="1">'D&amp;A+CAPEX'!R43</f>
        <v>#DIV/0!</v>
      </c>
    </row>
    <row r="31" spans="2:18" x14ac:dyDescent="0.25">
      <c r="B31" t="s">
        <v>99</v>
      </c>
      <c r="D31" s="260">
        <f>Net_Working_Capital!D23</f>
        <v>0</v>
      </c>
      <c r="E31" s="260">
        <f>Net_Working_Capital!E23</f>
        <v>0</v>
      </c>
      <c r="F31" s="260">
        <f>Net_Working_Capital!F23</f>
        <v>0</v>
      </c>
      <c r="G31" s="260">
        <f>Net_Working_Capital!G23</f>
        <v>0</v>
      </c>
      <c r="H31" s="260">
        <f>Net_Working_Capital!H23</f>
        <v>0</v>
      </c>
      <c r="I31" s="260" t="e">
        <f ca="1">Net_Working_Capital!I23</f>
        <v>#DIV/0!</v>
      </c>
      <c r="J31" s="260" t="e">
        <f ca="1">Net_Working_Capital!J23</f>
        <v>#DIV/0!</v>
      </c>
      <c r="K31" s="260" t="e">
        <f ca="1">Net_Working_Capital!K23</f>
        <v>#DIV/0!</v>
      </c>
      <c r="L31" s="260" t="e">
        <f ca="1">Net_Working_Capital!L23</f>
        <v>#DIV/0!</v>
      </c>
      <c r="M31" s="260" t="e">
        <f ca="1">Net_Working_Capital!M23</f>
        <v>#DIV/0!</v>
      </c>
      <c r="N31" s="260" t="e">
        <f ca="1">Net_Working_Capital!N23</f>
        <v>#DIV/0!</v>
      </c>
      <c r="O31" s="260" t="e">
        <f ca="1">Net_Working_Capital!O23</f>
        <v>#DIV/0!</v>
      </c>
      <c r="P31" s="260" t="e">
        <f ca="1">Net_Working_Capital!P23</f>
        <v>#DIV/0!</v>
      </c>
      <c r="Q31" s="260" t="e">
        <f ca="1">Net_Working_Capital!Q23</f>
        <v>#DIV/0!</v>
      </c>
      <c r="R31" s="260" t="e">
        <f ca="1">Net_Working_Capital!R23</f>
        <v>#DIV/0!</v>
      </c>
    </row>
    <row r="32" spans="2:18" x14ac:dyDescent="0.25">
      <c r="B32" s="13" t="s">
        <v>100</v>
      </c>
      <c r="C32" s="24"/>
      <c r="D32" s="285">
        <f t="shared" ref="D32:G32" si="23">D28+D29-D30-D31</f>
        <v>0</v>
      </c>
      <c r="E32" s="285">
        <f t="shared" si="23"/>
        <v>0</v>
      </c>
      <c r="F32" s="285">
        <f t="shared" si="23"/>
        <v>0</v>
      </c>
      <c r="G32" s="285">
        <f t="shared" si="23"/>
        <v>0</v>
      </c>
      <c r="H32" s="285">
        <f>H28+H29-H30-H31</f>
        <v>0</v>
      </c>
      <c r="I32" s="285" t="e">
        <f t="shared" ref="I32:M32" ca="1" si="24">I28+I29-I30-I31</f>
        <v>#DIV/0!</v>
      </c>
      <c r="J32" s="285" t="e">
        <f t="shared" ca="1" si="24"/>
        <v>#DIV/0!</v>
      </c>
      <c r="K32" s="285" t="e">
        <f t="shared" ca="1" si="24"/>
        <v>#DIV/0!</v>
      </c>
      <c r="L32" s="285" t="e">
        <f t="shared" ca="1" si="24"/>
        <v>#DIV/0!</v>
      </c>
      <c r="M32" s="285" t="e">
        <f t="shared" ca="1" si="24"/>
        <v>#DIV/0!</v>
      </c>
      <c r="N32" s="285" t="e">
        <f t="shared" ref="N32:R32" ca="1" si="25">N28+N29-N30-N31</f>
        <v>#DIV/0!</v>
      </c>
      <c r="O32" s="285" t="e">
        <f t="shared" ca="1" si="25"/>
        <v>#DIV/0!</v>
      </c>
      <c r="P32" s="285" t="e">
        <f t="shared" ca="1" si="25"/>
        <v>#DIV/0!</v>
      </c>
      <c r="Q32" s="285" t="e">
        <f t="shared" ca="1" si="25"/>
        <v>#DIV/0!</v>
      </c>
      <c r="R32" s="285" t="e">
        <f t="shared" ca="1" si="25"/>
        <v>#DIV/0!</v>
      </c>
    </row>
    <row r="33" spans="2:25" x14ac:dyDescent="0.25">
      <c r="B33" t="s">
        <v>101</v>
      </c>
      <c r="I33" s="25" t="e">
        <f ca="1">1/((1+$H$11)^((I$17-$C$9)/365))</f>
        <v>#DIV/0!</v>
      </c>
      <c r="J33" s="25" t="e">
        <f t="shared" ref="J33:L33" ca="1" si="26">1/((1+$H$11)^((J$17-$C$9)/365))</f>
        <v>#DIV/0!</v>
      </c>
      <c r="K33" s="25" t="e">
        <f t="shared" ca="1" si="26"/>
        <v>#DIV/0!</v>
      </c>
      <c r="L33" s="25" t="e">
        <f t="shared" ca="1" si="26"/>
        <v>#DIV/0!</v>
      </c>
      <c r="M33" s="25" t="e">
        <f ca="1">1/((1+$H$11)^((M$17-$C$9)/365))</f>
        <v>#DIV/0!</v>
      </c>
      <c r="N33" s="25" t="e">
        <f t="shared" ref="N33:R33" ca="1" si="27">1/((1+$H$11)^((N$17-$C$9)/365))</f>
        <v>#DIV/0!</v>
      </c>
      <c r="O33" s="25" t="e">
        <f t="shared" ca="1" si="27"/>
        <v>#DIV/0!</v>
      </c>
      <c r="P33" s="25" t="e">
        <f t="shared" ca="1" si="27"/>
        <v>#DIV/0!</v>
      </c>
      <c r="Q33" s="25" t="e">
        <f t="shared" ca="1" si="27"/>
        <v>#DIV/0!</v>
      </c>
      <c r="R33" s="25" t="e">
        <f t="shared" ca="1" si="27"/>
        <v>#DIV/0!</v>
      </c>
    </row>
    <row r="34" spans="2:25" x14ac:dyDescent="0.25">
      <c r="B34" t="s">
        <v>102</v>
      </c>
      <c r="C34" s="48" t="e">
        <f>H11</f>
        <v>#DIV/0!</v>
      </c>
    </row>
    <row r="35" spans="2:25" x14ac:dyDescent="0.25">
      <c r="B35" s="13" t="s">
        <v>103</v>
      </c>
      <c r="C35" s="24"/>
      <c r="D35" s="24"/>
      <c r="E35" s="24"/>
      <c r="F35" s="24"/>
      <c r="G35" s="24"/>
      <c r="H35" s="24"/>
      <c r="I35" s="309" t="e">
        <f ca="1">I32*I33</f>
        <v>#DIV/0!</v>
      </c>
      <c r="J35" s="309" t="e">
        <f t="shared" ref="J35:R35" ca="1" si="28">J32*J33</f>
        <v>#DIV/0!</v>
      </c>
      <c r="K35" s="309" t="e">
        <f t="shared" ca="1" si="28"/>
        <v>#DIV/0!</v>
      </c>
      <c r="L35" s="309" t="e">
        <f t="shared" ca="1" si="28"/>
        <v>#DIV/0!</v>
      </c>
      <c r="M35" s="309" t="e">
        <f t="shared" ca="1" si="28"/>
        <v>#DIV/0!</v>
      </c>
      <c r="N35" s="309" t="e">
        <f t="shared" ca="1" si="28"/>
        <v>#DIV/0!</v>
      </c>
      <c r="O35" s="309" t="e">
        <f t="shared" ca="1" si="28"/>
        <v>#DIV/0!</v>
      </c>
      <c r="P35" s="309" t="e">
        <f t="shared" ca="1" si="28"/>
        <v>#DIV/0!</v>
      </c>
      <c r="Q35" s="309" t="e">
        <f t="shared" ca="1" si="28"/>
        <v>#DIV/0!</v>
      </c>
      <c r="R35" s="309" t="e">
        <f t="shared" ca="1" si="28"/>
        <v>#DIV/0!</v>
      </c>
    </row>
    <row r="37" spans="2:25" x14ac:dyDescent="0.25">
      <c r="S37" s="26" t="s">
        <v>104</v>
      </c>
      <c r="T37" s="27"/>
      <c r="U37" s="27"/>
      <c r="V37" s="27"/>
      <c r="W37" s="27"/>
      <c r="X37" s="27"/>
      <c r="Y37" s="27"/>
    </row>
    <row r="38" spans="2:25" x14ac:dyDescent="0.25">
      <c r="B38" s="3" t="s">
        <v>105</v>
      </c>
      <c r="C38" s="287" t="e">
        <f ca="1">SUM(I35:M35)</f>
        <v>#DIV/0!</v>
      </c>
      <c r="S38" s="28"/>
      <c r="T38" s="28"/>
      <c r="U38" s="28"/>
      <c r="V38" s="28"/>
      <c r="W38" s="28"/>
      <c r="X38" s="28"/>
      <c r="Y38" s="28"/>
    </row>
    <row r="39" spans="2:25" x14ac:dyDescent="0.25">
      <c r="S39" s="28"/>
      <c r="T39" s="28"/>
      <c r="U39" s="28"/>
      <c r="V39" s="28"/>
      <c r="W39" s="29" t="s">
        <v>106</v>
      </c>
      <c r="X39" s="28"/>
      <c r="Y39" s="28"/>
    </row>
    <row r="40" spans="2:25" x14ac:dyDescent="0.25">
      <c r="B40" s="2" t="s">
        <v>107</v>
      </c>
      <c r="C40" s="16"/>
      <c r="S40" s="28"/>
      <c r="T40" s="30"/>
      <c r="U40" s="31"/>
      <c r="V40" s="31"/>
      <c r="W40" s="32" t="s">
        <v>48</v>
      </c>
      <c r="X40" s="31"/>
      <c r="Y40" s="31"/>
    </row>
    <row r="41" spans="2:25" x14ac:dyDescent="0.25">
      <c r="B41" t="s">
        <v>108</v>
      </c>
      <c r="C41" s="33">
        <f>H10</f>
        <v>0</v>
      </c>
      <c r="S41" s="28"/>
      <c r="T41" s="34">
        <f>E42</f>
        <v>0</v>
      </c>
      <c r="U41" s="35" t="e">
        <f t="shared" ref="U41:V41" si="29">V41-0.005</f>
        <v>#DIV/0!</v>
      </c>
      <c r="V41" s="35" t="e">
        <f t="shared" si="29"/>
        <v>#DIV/0!</v>
      </c>
      <c r="W41" s="36" t="e">
        <f>H11</f>
        <v>#DIV/0!</v>
      </c>
      <c r="X41" s="35" t="e">
        <f t="shared" ref="X41:Y41" si="30">W41+0.005</f>
        <v>#DIV/0!</v>
      </c>
      <c r="Y41" s="35" t="e">
        <f t="shared" si="30"/>
        <v>#DIV/0!</v>
      </c>
    </row>
    <row r="42" spans="2:25" x14ac:dyDescent="0.25">
      <c r="B42" t="s">
        <v>109</v>
      </c>
      <c r="C42" s="260" t="e">
        <f ca="1">M23*H10</f>
        <v>#DIV/0!</v>
      </c>
      <c r="S42" s="37"/>
      <c r="T42" s="38">
        <f t="shared" ref="T42:T43" si="31">T43-0.5</f>
        <v>-1</v>
      </c>
      <c r="U42" s="324" t="e">
        <f t="shared" ref="U42:Y46" ca="1" si="32">(SUM($I$35:$M$35))+($T42*$M$23*(1/((1+U$41)^(($M$17-$C$9)/365))))-$C$45+$C$46</f>
        <v>#DIV/0!</v>
      </c>
      <c r="V42" s="324" t="e">
        <f t="shared" ca="1" si="32"/>
        <v>#DIV/0!</v>
      </c>
      <c r="W42" s="324" t="e">
        <f t="shared" ca="1" si="32"/>
        <v>#DIV/0!</v>
      </c>
      <c r="X42" s="324" t="e">
        <f t="shared" ca="1" si="32"/>
        <v>#DIV/0!</v>
      </c>
      <c r="Y42" s="324" t="e">
        <f t="shared" ca="1" si="32"/>
        <v>#DIV/0!</v>
      </c>
    </row>
    <row r="43" spans="2:25" x14ac:dyDescent="0.25">
      <c r="B43" t="s">
        <v>110</v>
      </c>
      <c r="C43" s="260" t="e">
        <f ca="1">C42*M33</f>
        <v>#DIV/0!</v>
      </c>
      <c r="S43" s="39" t="s">
        <v>111</v>
      </c>
      <c r="T43" s="38">
        <f t="shared" si="31"/>
        <v>-0.5</v>
      </c>
      <c r="U43" s="324" t="e">
        <f t="shared" ca="1" si="32"/>
        <v>#DIV/0!</v>
      </c>
      <c r="V43" s="325" t="e">
        <f t="shared" ca="1" si="32"/>
        <v>#DIV/0!</v>
      </c>
      <c r="W43" s="325" t="e">
        <f t="shared" ca="1" si="32"/>
        <v>#DIV/0!</v>
      </c>
      <c r="X43" s="325" t="e">
        <f t="shared" ca="1" si="32"/>
        <v>#DIV/0!</v>
      </c>
      <c r="Y43" s="324" t="e">
        <f t="shared" ca="1" si="32"/>
        <v>#DIV/0!</v>
      </c>
    </row>
    <row r="44" spans="2:25" x14ac:dyDescent="0.25">
      <c r="B44" s="13" t="s">
        <v>112</v>
      </c>
      <c r="C44" s="285" t="e">
        <f ca="1">C43+C38</f>
        <v>#DIV/0!</v>
      </c>
      <c r="S44" s="39" t="s">
        <v>113</v>
      </c>
      <c r="T44" s="40">
        <f>H10</f>
        <v>0</v>
      </c>
      <c r="U44" s="324" t="e">
        <f t="shared" ca="1" si="32"/>
        <v>#DIV/0!</v>
      </c>
      <c r="V44" s="325" t="e">
        <f t="shared" ca="1" si="32"/>
        <v>#DIV/0!</v>
      </c>
      <c r="W44" s="325" t="e">
        <f t="shared" ca="1" si="32"/>
        <v>#DIV/0!</v>
      </c>
      <c r="X44" s="325" t="e">
        <f t="shared" ca="1" si="32"/>
        <v>#DIV/0!</v>
      </c>
      <c r="Y44" s="324" t="e">
        <f t="shared" ca="1" si="32"/>
        <v>#DIV/0!</v>
      </c>
    </row>
    <row r="45" spans="2:25" x14ac:dyDescent="0.25">
      <c r="B45" t="s">
        <v>114</v>
      </c>
      <c r="C45" s="260">
        <f>WACC_Calculator!L8</f>
        <v>0</v>
      </c>
      <c r="S45" s="39" t="s">
        <v>115</v>
      </c>
      <c r="T45" s="38">
        <f t="shared" ref="T45:T46" si="33">T44+0.5</f>
        <v>0.5</v>
      </c>
      <c r="U45" s="324" t="e">
        <f t="shared" ca="1" si="32"/>
        <v>#DIV/0!</v>
      </c>
      <c r="V45" s="325" t="e">
        <f t="shared" ca="1" si="32"/>
        <v>#DIV/0!</v>
      </c>
      <c r="W45" s="325" t="e">
        <f t="shared" ca="1" si="32"/>
        <v>#DIV/0!</v>
      </c>
      <c r="X45" s="325" t="e">
        <f t="shared" ca="1" si="32"/>
        <v>#DIV/0!</v>
      </c>
      <c r="Y45" s="324" t="e">
        <f t="shared" ca="1" si="32"/>
        <v>#DIV/0!</v>
      </c>
    </row>
    <row r="46" spans="2:25" x14ac:dyDescent="0.25">
      <c r="B46" t="s">
        <v>116</v>
      </c>
      <c r="C46" s="260">
        <f>Net_Working_Capital!H7</f>
        <v>0</v>
      </c>
      <c r="S46" s="41"/>
      <c r="T46" s="38">
        <f t="shared" si="33"/>
        <v>1</v>
      </c>
      <c r="U46" s="324" t="e">
        <f t="shared" ca="1" si="32"/>
        <v>#DIV/0!</v>
      </c>
      <c r="V46" s="324" t="e">
        <f t="shared" ca="1" si="32"/>
        <v>#DIV/0!</v>
      </c>
      <c r="W46" s="324" t="e">
        <f t="shared" ca="1" si="32"/>
        <v>#DIV/0!</v>
      </c>
      <c r="X46" s="324" t="e">
        <f t="shared" ca="1" si="32"/>
        <v>#DIV/0!</v>
      </c>
      <c r="Y46" s="324" t="e">
        <f t="shared" ca="1" si="32"/>
        <v>#DIV/0!</v>
      </c>
    </row>
    <row r="47" spans="2:25" x14ac:dyDescent="0.25">
      <c r="B47" s="13" t="s">
        <v>106</v>
      </c>
      <c r="C47" s="285" t="e">
        <f ca="1">C44-C45+C46</f>
        <v>#DIV/0!</v>
      </c>
      <c r="S47" s="28"/>
      <c r="T47" s="28"/>
      <c r="U47" s="28"/>
      <c r="V47" s="28"/>
      <c r="W47" s="28"/>
      <c r="X47" s="28"/>
      <c r="Y47" s="28"/>
    </row>
    <row r="48" spans="2:25" x14ac:dyDescent="0.25">
      <c r="B48" t="s">
        <v>117</v>
      </c>
      <c r="C48" s="260">
        <f>M10</f>
        <v>15334.08</v>
      </c>
      <c r="S48" s="28"/>
      <c r="T48" s="28"/>
      <c r="U48" s="28"/>
      <c r="V48" s="28"/>
      <c r="W48" s="29" t="s">
        <v>118</v>
      </c>
      <c r="X48" s="28"/>
      <c r="Y48" s="28"/>
    </row>
    <row r="49" spans="2:25" x14ac:dyDescent="0.25">
      <c r="B49" s="18" t="s">
        <v>119</v>
      </c>
      <c r="C49" s="286" t="e">
        <f ca="1">C47/C48</f>
        <v>#DIV/0!</v>
      </c>
      <c r="S49" s="28"/>
      <c r="T49" s="28"/>
      <c r="U49" s="31"/>
      <c r="V49" s="31"/>
      <c r="W49" s="32" t="s">
        <v>48</v>
      </c>
      <c r="X49" s="31"/>
      <c r="Y49" s="31"/>
    </row>
    <row r="50" spans="2:25" x14ac:dyDescent="0.25">
      <c r="B50" s="11" t="s">
        <v>120</v>
      </c>
      <c r="C50" s="120" t="e">
        <f ca="1">(C49-M11)/M11</f>
        <v>#DIV/0!</v>
      </c>
      <c r="S50" s="28"/>
      <c r="T50" s="42">
        <f>E48</f>
        <v>0</v>
      </c>
      <c r="U50" s="35" t="e">
        <f t="shared" ref="U50:V50" si="34">V50-0.005</f>
        <v>#DIV/0!</v>
      </c>
      <c r="V50" s="35" t="e">
        <f t="shared" si="34"/>
        <v>#DIV/0!</v>
      </c>
      <c r="W50" s="36" t="e">
        <f>W41</f>
        <v>#DIV/0!</v>
      </c>
      <c r="X50" s="35" t="e">
        <f t="shared" ref="X50:Y50" si="35">W50+0.005</f>
        <v>#DIV/0!</v>
      </c>
      <c r="Y50" s="35" t="e">
        <f t="shared" si="35"/>
        <v>#DIV/0!</v>
      </c>
    </row>
    <row r="51" spans="2:25" x14ac:dyDescent="0.25">
      <c r="S51" s="37"/>
      <c r="T51" s="38">
        <f t="shared" ref="T51:T52" si="36">T52-0.5</f>
        <v>-1</v>
      </c>
      <c r="U51" s="46" t="e">
        <f t="shared" ref="U51:Y55" ca="1" si="37">(U42-$C$47)/$C$47</f>
        <v>#DIV/0!</v>
      </c>
      <c r="V51" s="46" t="e">
        <f t="shared" ca="1" si="37"/>
        <v>#DIV/0!</v>
      </c>
      <c r="W51" s="46" t="e">
        <f t="shared" ca="1" si="37"/>
        <v>#DIV/0!</v>
      </c>
      <c r="X51" s="46" t="e">
        <f ca="1">(X42-$C$47)/$C$47</f>
        <v>#DIV/0!</v>
      </c>
      <c r="Y51" s="46" t="e">
        <f t="shared" ca="1" si="37"/>
        <v>#DIV/0!</v>
      </c>
    </row>
    <row r="52" spans="2:25" x14ac:dyDescent="0.25">
      <c r="S52" s="39" t="s">
        <v>111</v>
      </c>
      <c r="T52" s="38">
        <f t="shared" si="36"/>
        <v>-0.5</v>
      </c>
      <c r="U52" s="46" t="e">
        <f t="shared" ca="1" si="37"/>
        <v>#DIV/0!</v>
      </c>
      <c r="V52" s="47" t="e">
        <f t="shared" ca="1" si="37"/>
        <v>#DIV/0!</v>
      </c>
      <c r="W52" s="47" t="e">
        <f t="shared" ca="1" si="37"/>
        <v>#DIV/0!</v>
      </c>
      <c r="X52" s="47" t="e">
        <f t="shared" ca="1" si="37"/>
        <v>#DIV/0!</v>
      </c>
      <c r="Y52" s="46" t="e">
        <f t="shared" ca="1" si="37"/>
        <v>#DIV/0!</v>
      </c>
    </row>
    <row r="53" spans="2:25" x14ac:dyDescent="0.25">
      <c r="S53" s="39" t="s">
        <v>113</v>
      </c>
      <c r="T53" s="40">
        <f>T44</f>
        <v>0</v>
      </c>
      <c r="U53" s="46" t="e">
        <f t="shared" ca="1" si="37"/>
        <v>#DIV/0!</v>
      </c>
      <c r="V53" s="47" t="e">
        <f t="shared" ca="1" si="37"/>
        <v>#DIV/0!</v>
      </c>
      <c r="W53" s="47" t="e">
        <f ca="1">(W44-$C$47)/$C$47</f>
        <v>#DIV/0!</v>
      </c>
      <c r="X53" s="47" t="e">
        <f t="shared" ca="1" si="37"/>
        <v>#DIV/0!</v>
      </c>
      <c r="Y53" s="46" t="e">
        <f t="shared" ca="1" si="37"/>
        <v>#DIV/0!</v>
      </c>
    </row>
    <row r="54" spans="2:25" x14ac:dyDescent="0.25">
      <c r="B54" s="2" t="s">
        <v>121</v>
      </c>
      <c r="C54" s="2"/>
      <c r="S54" s="39" t="s">
        <v>115</v>
      </c>
      <c r="T54" s="38">
        <f t="shared" ref="T54:T55" si="38">T53+0.5</f>
        <v>0.5</v>
      </c>
      <c r="U54" s="46" t="e">
        <f t="shared" ca="1" si="37"/>
        <v>#DIV/0!</v>
      </c>
      <c r="V54" s="47" t="e">
        <f t="shared" ca="1" si="37"/>
        <v>#DIV/0!</v>
      </c>
      <c r="W54" s="47" t="e">
        <f t="shared" ca="1" si="37"/>
        <v>#DIV/0!</v>
      </c>
      <c r="X54" s="47" t="e">
        <f t="shared" ca="1" si="37"/>
        <v>#DIV/0!</v>
      </c>
      <c r="Y54" s="46" t="e">
        <f t="shared" ca="1" si="37"/>
        <v>#DIV/0!</v>
      </c>
    </row>
    <row r="55" spans="2:25" x14ac:dyDescent="0.25">
      <c r="B55" t="s">
        <v>36</v>
      </c>
      <c r="C55" s="43">
        <f>M9</f>
        <v>0</v>
      </c>
      <c r="S55" s="41"/>
      <c r="T55" s="38">
        <f t="shared" si="38"/>
        <v>1</v>
      </c>
      <c r="U55" s="46" t="e">
        <f t="shared" ca="1" si="37"/>
        <v>#DIV/0!</v>
      </c>
      <c r="V55" s="46" t="e">
        <f t="shared" ca="1" si="37"/>
        <v>#DIV/0!</v>
      </c>
      <c r="W55" s="46" t="e">
        <f t="shared" ca="1" si="37"/>
        <v>#DIV/0!</v>
      </c>
      <c r="X55" s="46" t="e">
        <f t="shared" ca="1" si="37"/>
        <v>#DIV/0!</v>
      </c>
      <c r="Y55" s="46" t="e">
        <f t="shared" ca="1" si="37"/>
        <v>#DIV/0!</v>
      </c>
    </row>
    <row r="56" spans="2:25" x14ac:dyDescent="0.25">
      <c r="B56" t="s">
        <v>122</v>
      </c>
      <c r="C56" s="260" t="e">
        <f ca="1">C38</f>
        <v>#DIV/0!</v>
      </c>
      <c r="S56" s="28"/>
      <c r="T56" s="28"/>
      <c r="U56" s="28"/>
      <c r="V56" s="28"/>
      <c r="W56" s="28"/>
      <c r="X56" s="28"/>
      <c r="Y56" s="28"/>
    </row>
    <row r="57" spans="2:25" x14ac:dyDescent="0.25">
      <c r="B57" t="s">
        <v>110</v>
      </c>
      <c r="C57" s="260" t="e">
        <f ca="1">(((M32)*(1+M9))/(H12-M9))*M33</f>
        <v>#DIV/0!</v>
      </c>
      <c r="S57" s="26" t="s">
        <v>123</v>
      </c>
      <c r="T57" s="27"/>
      <c r="U57" s="27"/>
      <c r="V57" s="27"/>
      <c r="W57" s="27"/>
      <c r="X57" s="27"/>
      <c r="Y57" s="27"/>
    </row>
    <row r="58" spans="2:25" x14ac:dyDescent="0.25">
      <c r="B58" s="13" t="s">
        <v>112</v>
      </c>
      <c r="C58" s="285" t="e">
        <f ca="1">C56+C57</f>
        <v>#DIV/0!</v>
      </c>
      <c r="S58" s="28"/>
      <c r="T58" s="28"/>
      <c r="U58" s="28"/>
      <c r="V58" s="28"/>
      <c r="W58" s="28"/>
      <c r="X58" s="28"/>
      <c r="Y58" s="28"/>
    </row>
    <row r="59" spans="2:25" x14ac:dyDescent="0.25">
      <c r="B59" t="s">
        <v>114</v>
      </c>
      <c r="C59" s="260">
        <f>WACC_Calculator!L8</f>
        <v>0</v>
      </c>
      <c r="S59" s="28"/>
      <c r="T59" s="28"/>
      <c r="U59" s="28"/>
      <c r="V59" s="28"/>
      <c r="W59" s="29" t="s">
        <v>106</v>
      </c>
      <c r="X59" s="28"/>
      <c r="Y59" s="28"/>
    </row>
    <row r="60" spans="2:25" x14ac:dyDescent="0.25">
      <c r="B60" t="s">
        <v>116</v>
      </c>
      <c r="C60" s="260">
        <f>C46</f>
        <v>0</v>
      </c>
      <c r="S60" s="28"/>
      <c r="T60" s="28"/>
      <c r="U60" s="31"/>
      <c r="V60" s="31"/>
      <c r="W60" s="32" t="s">
        <v>48</v>
      </c>
      <c r="X60" s="31"/>
      <c r="Y60" s="31"/>
    </row>
    <row r="61" spans="2:25" x14ac:dyDescent="0.25">
      <c r="B61" s="13" t="s">
        <v>106</v>
      </c>
      <c r="C61" s="285" t="e">
        <f ca="1">C58-C59+C60</f>
        <v>#DIV/0!</v>
      </c>
      <c r="S61" s="28"/>
      <c r="T61" s="34">
        <f>E65</f>
        <v>0</v>
      </c>
      <c r="U61" s="35" t="e">
        <f t="shared" ref="U61:V61" si="39">V61-0.005</f>
        <v>#DIV/0!</v>
      </c>
      <c r="V61" s="35" t="e">
        <f t="shared" si="39"/>
        <v>#DIV/0!</v>
      </c>
      <c r="W61" s="36" t="e">
        <f>W41</f>
        <v>#DIV/0!</v>
      </c>
      <c r="X61" s="35" t="e">
        <f t="shared" ref="X61" si="40">W61+0.005</f>
        <v>#DIV/0!</v>
      </c>
      <c r="Y61" s="35" t="e">
        <f>X61+0.005</f>
        <v>#DIV/0!</v>
      </c>
    </row>
    <row r="62" spans="2:25" x14ac:dyDescent="0.25">
      <c r="B62" t="s">
        <v>117</v>
      </c>
      <c r="C62" s="260">
        <f>M10</f>
        <v>15334.08</v>
      </c>
      <c r="S62" s="37"/>
      <c r="T62" s="44">
        <f>T63-0.005</f>
        <v>-0.01</v>
      </c>
      <c r="U62" s="324" t="e">
        <f t="shared" ref="U62:Y66" ca="1" si="41">(SUM($I$35:$M$35))+((($M$32*(1+$T62))/(U$61-$T62))*(1/((1+U$61)^(($M$17-$C$9)/365))))-$C$45+$C$46</f>
        <v>#DIV/0!</v>
      </c>
      <c r="V62" s="324" t="e">
        <f t="shared" ca="1" si="41"/>
        <v>#DIV/0!</v>
      </c>
      <c r="W62" s="324" t="e">
        <f t="shared" ca="1" si="41"/>
        <v>#DIV/0!</v>
      </c>
      <c r="X62" s="324" t="e">
        <f t="shared" ca="1" si="41"/>
        <v>#DIV/0!</v>
      </c>
      <c r="Y62" s="324" t="e">
        <f t="shared" ca="1" si="41"/>
        <v>#DIV/0!</v>
      </c>
    </row>
    <row r="63" spans="2:25" x14ac:dyDescent="0.25">
      <c r="B63" s="18" t="s">
        <v>119</v>
      </c>
      <c r="C63" s="286" t="e">
        <f ca="1">C61/C62</f>
        <v>#DIV/0!</v>
      </c>
      <c r="S63" s="39" t="s">
        <v>124</v>
      </c>
      <c r="T63" s="44">
        <f>T64-0.005</f>
        <v>-5.0000000000000001E-3</v>
      </c>
      <c r="U63" s="324" t="e">
        <f t="shared" ca="1" si="41"/>
        <v>#DIV/0!</v>
      </c>
      <c r="V63" s="325" t="e">
        <f t="shared" ca="1" si="41"/>
        <v>#DIV/0!</v>
      </c>
      <c r="W63" s="325" t="e">
        <f t="shared" ca="1" si="41"/>
        <v>#DIV/0!</v>
      </c>
      <c r="X63" s="325" t="e">
        <f t="shared" ca="1" si="41"/>
        <v>#DIV/0!</v>
      </c>
      <c r="Y63" s="324" t="e">
        <f t="shared" ca="1" si="41"/>
        <v>#DIV/0!</v>
      </c>
    </row>
    <row r="64" spans="2:25" x14ac:dyDescent="0.25">
      <c r="B64" s="11" t="s">
        <v>120</v>
      </c>
      <c r="C64" s="120" t="e">
        <f ca="1">(C63-M11)/M11</f>
        <v>#DIV/0!</v>
      </c>
      <c r="S64" s="39" t="s">
        <v>125</v>
      </c>
      <c r="T64" s="45">
        <f>M9</f>
        <v>0</v>
      </c>
      <c r="U64" s="324" t="e">
        <f t="shared" ca="1" si="41"/>
        <v>#DIV/0!</v>
      </c>
      <c r="V64" s="325" t="e">
        <f t="shared" ca="1" si="41"/>
        <v>#DIV/0!</v>
      </c>
      <c r="W64" s="325" t="e">
        <f t="shared" ca="1" si="41"/>
        <v>#DIV/0!</v>
      </c>
      <c r="X64" s="325" t="e">
        <f t="shared" ca="1" si="41"/>
        <v>#DIV/0!</v>
      </c>
      <c r="Y64" s="324" t="e">
        <f t="shared" ca="1" si="41"/>
        <v>#DIV/0!</v>
      </c>
    </row>
    <row r="65" spans="19:25" x14ac:dyDescent="0.25">
      <c r="S65" s="39" t="s">
        <v>126</v>
      </c>
      <c r="T65" s="44">
        <f>T64+0.005</f>
        <v>5.0000000000000001E-3</v>
      </c>
      <c r="U65" s="324" t="e">
        <f t="shared" ca="1" si="41"/>
        <v>#DIV/0!</v>
      </c>
      <c r="V65" s="325" t="e">
        <f t="shared" ca="1" si="41"/>
        <v>#DIV/0!</v>
      </c>
      <c r="W65" s="325" t="e">
        <f t="shared" ca="1" si="41"/>
        <v>#DIV/0!</v>
      </c>
      <c r="X65" s="325" t="e">
        <f t="shared" ca="1" si="41"/>
        <v>#DIV/0!</v>
      </c>
      <c r="Y65" s="324" t="e">
        <f t="shared" ca="1" si="41"/>
        <v>#DIV/0!</v>
      </c>
    </row>
    <row r="66" spans="19:25" x14ac:dyDescent="0.25">
      <c r="S66" s="41"/>
      <c r="T66" s="44">
        <f>T65+0.005</f>
        <v>0.01</v>
      </c>
      <c r="U66" s="324" t="e">
        <f t="shared" ca="1" si="41"/>
        <v>#DIV/0!</v>
      </c>
      <c r="V66" s="324" t="e">
        <f t="shared" ca="1" si="41"/>
        <v>#DIV/0!</v>
      </c>
      <c r="W66" s="324" t="e">
        <f t="shared" ca="1" si="41"/>
        <v>#DIV/0!</v>
      </c>
      <c r="X66" s="324" t="e">
        <f t="shared" ca="1" si="41"/>
        <v>#DIV/0!</v>
      </c>
      <c r="Y66" s="324" t="e">
        <f t="shared" ca="1" si="41"/>
        <v>#DIV/0!</v>
      </c>
    </row>
    <row r="67" spans="19:25" x14ac:dyDescent="0.25">
      <c r="S67" s="28"/>
      <c r="T67" s="28"/>
      <c r="U67" s="28"/>
      <c r="V67" s="28"/>
      <c r="W67" s="28"/>
      <c r="X67" s="28"/>
      <c r="Y67" s="28"/>
    </row>
    <row r="68" spans="19:25" x14ac:dyDescent="0.25">
      <c r="S68" s="28"/>
      <c r="T68" s="28"/>
      <c r="U68" s="28"/>
      <c r="V68" s="28"/>
      <c r="W68" s="29" t="s">
        <v>118</v>
      </c>
      <c r="X68" s="28"/>
      <c r="Y68" s="28"/>
    </row>
    <row r="69" spans="19:25" x14ac:dyDescent="0.25">
      <c r="S69" s="28"/>
      <c r="T69" s="28"/>
      <c r="U69" s="31"/>
      <c r="V69" s="31"/>
      <c r="W69" s="32" t="s">
        <v>48</v>
      </c>
      <c r="X69" s="31"/>
      <c r="Y69" s="31"/>
    </row>
    <row r="70" spans="19:25" x14ac:dyDescent="0.25">
      <c r="S70" s="28"/>
      <c r="T70" s="34">
        <f>E71</f>
        <v>0</v>
      </c>
      <c r="U70" s="35" t="e">
        <f t="shared" ref="U70:V70" si="42">V70-0.005</f>
        <v>#DIV/0!</v>
      </c>
      <c r="V70" s="35" t="e">
        <f t="shared" si="42"/>
        <v>#DIV/0!</v>
      </c>
      <c r="W70" s="36" t="e">
        <f>W41</f>
        <v>#DIV/0!</v>
      </c>
      <c r="X70" s="35" t="e">
        <f t="shared" ref="X70:Y70" si="43">W70+0.005</f>
        <v>#DIV/0!</v>
      </c>
      <c r="Y70" s="35" t="e">
        <f t="shared" si="43"/>
        <v>#DIV/0!</v>
      </c>
    </row>
    <row r="71" spans="19:25" x14ac:dyDescent="0.25">
      <c r="S71" s="37"/>
      <c r="T71" s="44">
        <f>T72-0.005</f>
        <v>-0.01</v>
      </c>
      <c r="U71" s="46" t="e">
        <f t="shared" ref="U71:Y75" ca="1" si="44">(U62-$C$61)/$C$61</f>
        <v>#DIV/0!</v>
      </c>
      <c r="V71" s="46" t="e">
        <f t="shared" ca="1" si="44"/>
        <v>#DIV/0!</v>
      </c>
      <c r="W71" s="46" t="e">
        <f t="shared" ca="1" si="44"/>
        <v>#DIV/0!</v>
      </c>
      <c r="X71" s="46" t="e">
        <f t="shared" ca="1" si="44"/>
        <v>#DIV/0!</v>
      </c>
      <c r="Y71" s="46" t="e">
        <f t="shared" ca="1" si="44"/>
        <v>#DIV/0!</v>
      </c>
    </row>
    <row r="72" spans="19:25" x14ac:dyDescent="0.25">
      <c r="S72" s="39" t="s">
        <v>124</v>
      </c>
      <c r="T72" s="44">
        <f>T73-0.005</f>
        <v>-5.0000000000000001E-3</v>
      </c>
      <c r="U72" s="46" t="e">
        <f t="shared" ca="1" si="44"/>
        <v>#DIV/0!</v>
      </c>
      <c r="V72" s="47" t="e">
        <f t="shared" ca="1" si="44"/>
        <v>#DIV/0!</v>
      </c>
      <c r="W72" s="47" t="e">
        <f t="shared" ca="1" si="44"/>
        <v>#DIV/0!</v>
      </c>
      <c r="X72" s="47" t="e">
        <f t="shared" ca="1" si="44"/>
        <v>#DIV/0!</v>
      </c>
      <c r="Y72" s="46" t="e">
        <f t="shared" ca="1" si="44"/>
        <v>#DIV/0!</v>
      </c>
    </row>
    <row r="73" spans="19:25" x14ac:dyDescent="0.25">
      <c r="S73" s="39" t="s">
        <v>125</v>
      </c>
      <c r="T73" s="45">
        <f>T64</f>
        <v>0</v>
      </c>
      <c r="U73" s="46" t="e">
        <f t="shared" ca="1" si="44"/>
        <v>#DIV/0!</v>
      </c>
      <c r="V73" s="47" t="e">
        <f ca="1">(V64-$C$61)/$C$61</f>
        <v>#DIV/0!</v>
      </c>
      <c r="W73" s="47" t="e">
        <f ca="1">(W64-$C$61)/$C$61</f>
        <v>#DIV/0!</v>
      </c>
      <c r="X73" s="47" t="e">
        <f t="shared" ca="1" si="44"/>
        <v>#DIV/0!</v>
      </c>
      <c r="Y73" s="46" t="e">
        <f ca="1">(Y64-$C$61)/$C$61</f>
        <v>#DIV/0!</v>
      </c>
    </row>
    <row r="74" spans="19:25" x14ac:dyDescent="0.25">
      <c r="S74" s="39" t="s">
        <v>126</v>
      </c>
      <c r="T74" s="44">
        <f>T73+0.005</f>
        <v>5.0000000000000001E-3</v>
      </c>
      <c r="U74" s="46" t="e">
        <f t="shared" ca="1" si="44"/>
        <v>#DIV/0!</v>
      </c>
      <c r="V74" s="47" t="e">
        <f t="shared" ca="1" si="44"/>
        <v>#DIV/0!</v>
      </c>
      <c r="W74" s="47" t="e">
        <f t="shared" ca="1" si="44"/>
        <v>#DIV/0!</v>
      </c>
      <c r="X74" s="47" t="e">
        <f t="shared" ca="1" si="44"/>
        <v>#DIV/0!</v>
      </c>
      <c r="Y74" s="46" t="e">
        <f t="shared" ca="1" si="44"/>
        <v>#DIV/0!</v>
      </c>
    </row>
    <row r="75" spans="19:25" x14ac:dyDescent="0.25">
      <c r="S75" s="41"/>
      <c r="T75" s="44">
        <f>T74+0.005</f>
        <v>0.01</v>
      </c>
      <c r="U75" s="46" t="e">
        <f t="shared" ca="1" si="44"/>
        <v>#DIV/0!</v>
      </c>
      <c r="V75" s="46" t="e">
        <f t="shared" ca="1" si="44"/>
        <v>#DIV/0!</v>
      </c>
      <c r="W75" s="46" t="e">
        <f t="shared" ca="1" si="44"/>
        <v>#DIV/0!</v>
      </c>
      <c r="X75" s="46" t="e">
        <f t="shared" ca="1" si="44"/>
        <v>#DIV/0!</v>
      </c>
      <c r="Y75" s="46" t="e">
        <f t="shared" ca="1" si="44"/>
        <v>#DIV/0!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E6F3C-93A5-42F6-9AAC-4B3270529811}">
  <sheetPr codeName="Sheet20">
    <tabColor rgb="FF0070C0"/>
  </sheetPr>
  <dimension ref="A1"/>
  <sheetViews>
    <sheetView workbookViewId="0">
      <selection activeCell="S35" sqref="S35"/>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C96E7-435A-4044-BEC3-51375FDAEEAE}">
  <sheetPr codeName="Sheet4"/>
  <dimension ref="B2:T106"/>
  <sheetViews>
    <sheetView zoomScale="85" zoomScaleNormal="85" workbookViewId="0">
      <selection activeCell="D51" sqref="D51:H51"/>
    </sheetView>
  </sheetViews>
  <sheetFormatPr defaultRowHeight="15" x14ac:dyDescent="0.25"/>
  <cols>
    <col min="2" max="2" width="29.7109375" customWidth="1"/>
    <col min="4" max="5" width="11.5703125" bestFit="1" customWidth="1"/>
    <col min="6" max="6" width="11.5703125" customWidth="1"/>
    <col min="7" max="7" width="11.5703125" bestFit="1" customWidth="1"/>
    <col min="8" max="10" width="11.5703125" customWidth="1"/>
    <col min="11" max="18" width="11.5703125" bestFit="1" customWidth="1"/>
  </cols>
  <sheetData>
    <row r="2" spans="2:18" ht="15.75" thickBot="1" x14ac:dyDescent="0.3">
      <c r="B2" s="6" t="str">
        <f>DCF!B2</f>
        <v>APPLE INC.</v>
      </c>
      <c r="C2" s="6" t="s">
        <v>29</v>
      </c>
      <c r="D2" s="19"/>
      <c r="E2" s="19"/>
      <c r="F2" s="19"/>
      <c r="G2" s="19"/>
      <c r="H2" s="19"/>
      <c r="I2" s="19"/>
      <c r="J2" s="19"/>
      <c r="K2" s="19"/>
      <c r="L2" s="19"/>
      <c r="M2" s="19"/>
      <c r="N2" s="19"/>
      <c r="O2" s="19"/>
      <c r="P2" s="19"/>
      <c r="Q2" s="19"/>
      <c r="R2" s="19"/>
    </row>
    <row r="3" spans="2:18" ht="15.75" thickTop="1" x14ac:dyDescent="0.25">
      <c r="B3" t="s">
        <v>76</v>
      </c>
    </row>
    <row r="4" spans="2:18" x14ac:dyDescent="0.25">
      <c r="B4" t="s">
        <v>77</v>
      </c>
    </row>
    <row r="6" spans="2:18" x14ac:dyDescent="0.25">
      <c r="D6" s="5"/>
      <c r="E6" s="1"/>
      <c r="F6" s="2" t="s">
        <v>85</v>
      </c>
      <c r="G6" s="1"/>
      <c r="H6" s="1"/>
      <c r="I6" s="4"/>
      <c r="J6" s="3"/>
      <c r="K6" s="3"/>
      <c r="L6" s="3"/>
      <c r="M6" s="3" t="s">
        <v>86</v>
      </c>
      <c r="N6" s="3"/>
      <c r="O6" s="3"/>
      <c r="P6" s="3"/>
      <c r="Q6" s="3"/>
      <c r="R6" s="3"/>
    </row>
    <row r="7" spans="2:18" x14ac:dyDescent="0.25">
      <c r="D7" s="7">
        <f ca="1">YEAR(D8)</f>
        <v>2019</v>
      </c>
      <c r="E7" s="7">
        <f t="shared" ref="E7:H7" ca="1" si="0">YEAR(E8)</f>
        <v>2020</v>
      </c>
      <c r="F7" s="7">
        <f t="shared" ca="1" si="0"/>
        <v>2021</v>
      </c>
      <c r="G7" s="7">
        <f t="shared" ca="1" si="0"/>
        <v>2022</v>
      </c>
      <c r="H7" s="7">
        <f t="shared" ca="1" si="0"/>
        <v>2023</v>
      </c>
      <c r="I7" s="8">
        <f ca="1">YEAR(I8)</f>
        <v>2024</v>
      </c>
      <c r="J7" s="8">
        <f t="shared" ref="J7:R7" ca="1" si="1">YEAR(J8)</f>
        <v>2025</v>
      </c>
      <c r="K7" s="8">
        <f t="shared" ca="1" si="1"/>
        <v>2026</v>
      </c>
      <c r="L7" s="8">
        <f t="shared" ca="1" si="1"/>
        <v>2027</v>
      </c>
      <c r="M7" s="8">
        <f t="shared" ca="1" si="1"/>
        <v>2028</v>
      </c>
      <c r="N7" s="8">
        <f t="shared" ca="1" si="1"/>
        <v>2029</v>
      </c>
      <c r="O7" s="8">
        <f t="shared" ca="1" si="1"/>
        <v>2030</v>
      </c>
      <c r="P7" s="8">
        <f t="shared" ca="1" si="1"/>
        <v>2031</v>
      </c>
      <c r="Q7" s="8">
        <f t="shared" ca="1" si="1"/>
        <v>2032</v>
      </c>
      <c r="R7" s="8">
        <f t="shared" ca="1" si="1"/>
        <v>2033</v>
      </c>
    </row>
    <row r="8" spans="2:18" x14ac:dyDescent="0.25">
      <c r="D8" s="9">
        <f t="shared" ref="D8:F8" ca="1" si="2">EOMONTH(E8,-12)</f>
        <v>43830</v>
      </c>
      <c r="E8" s="9">
        <f t="shared" ca="1" si="2"/>
        <v>44196</v>
      </c>
      <c r="F8" s="9">
        <f t="shared" ca="1" si="2"/>
        <v>44561</v>
      </c>
      <c r="G8" s="9">
        <f ca="1">EOMONTH(H8,-12)</f>
        <v>44926</v>
      </c>
      <c r="H8" s="9">
        <f ca="1">DCF!C10</f>
        <v>45291</v>
      </c>
      <c r="I8" s="9">
        <f ca="1">EOMONTH(H8,12)</f>
        <v>45657</v>
      </c>
      <c r="J8" s="9">
        <f t="shared" ref="J8:M8" ca="1" si="3">EOMONTH(I8,12)</f>
        <v>46022</v>
      </c>
      <c r="K8" s="9">
        <f t="shared" ca="1" si="3"/>
        <v>46387</v>
      </c>
      <c r="L8" s="9">
        <f t="shared" ca="1" si="3"/>
        <v>46752</v>
      </c>
      <c r="M8" s="9">
        <f t="shared" ca="1" si="3"/>
        <v>47118</v>
      </c>
      <c r="N8" s="9">
        <f t="shared" ref="N8" ca="1" si="4">EOMONTH(M8,12)</f>
        <v>47483</v>
      </c>
      <c r="O8" s="9">
        <f t="shared" ref="O8" ca="1" si="5">EOMONTH(N8,12)</f>
        <v>47848</v>
      </c>
      <c r="P8" s="9">
        <f t="shared" ref="P8" ca="1" si="6">EOMONTH(O8,12)</f>
        <v>48213</v>
      </c>
      <c r="Q8" s="9">
        <f t="shared" ref="Q8" ca="1" si="7">EOMONTH(P8,12)</f>
        <v>48579</v>
      </c>
      <c r="R8" s="9">
        <f t="shared" ref="R8" ca="1" si="8">EOMONTH(Q8,12)</f>
        <v>48944</v>
      </c>
    </row>
    <row r="10" spans="2:18" x14ac:dyDescent="0.25">
      <c r="B10" s="10" t="s">
        <v>127</v>
      </c>
      <c r="C10" s="69"/>
      <c r="D10" s="69"/>
      <c r="E10" s="69"/>
      <c r="F10" s="69"/>
      <c r="G10" s="69"/>
      <c r="H10" s="69"/>
      <c r="I10" s="69"/>
      <c r="J10" s="69"/>
      <c r="K10" s="69"/>
      <c r="L10" s="69"/>
      <c r="M10" s="69"/>
      <c r="N10" s="69"/>
      <c r="O10" s="69"/>
      <c r="P10" s="69"/>
      <c r="Q10" s="69"/>
      <c r="R10" s="69"/>
    </row>
    <row r="11" spans="2:18" x14ac:dyDescent="0.25">
      <c r="C11" s="69"/>
      <c r="D11" s="69"/>
      <c r="E11" s="69"/>
      <c r="F11" s="69"/>
      <c r="G11" s="69"/>
      <c r="H11" s="69"/>
      <c r="I11" s="69"/>
      <c r="J11" s="69"/>
      <c r="K11" s="69"/>
      <c r="L11" s="69"/>
      <c r="M11" s="69"/>
      <c r="N11" s="69"/>
      <c r="O11" s="69"/>
      <c r="P11" s="69"/>
      <c r="Q11" s="69"/>
      <c r="R11" s="69"/>
    </row>
    <row r="12" spans="2:18" x14ac:dyDescent="0.25">
      <c r="B12" t="s">
        <v>128</v>
      </c>
      <c r="C12" s="69"/>
      <c r="D12" s="256">
        <f>Revenue_Build!C6</f>
        <v>0</v>
      </c>
      <c r="E12" s="256">
        <f>Revenue_Build!D6</f>
        <v>0</v>
      </c>
      <c r="F12" s="256">
        <f>Revenue_Build!E6</f>
        <v>0</v>
      </c>
      <c r="G12" s="256">
        <f>Revenue_Build!F6</f>
        <v>0</v>
      </c>
      <c r="H12" s="256">
        <f>Revenue_Build!G6</f>
        <v>0</v>
      </c>
      <c r="I12" s="256" t="e">
        <f>Revenue_Build!H6</f>
        <v>#DIV/0!</v>
      </c>
      <c r="J12" s="256" t="e">
        <f>Revenue_Build!I6</f>
        <v>#DIV/0!</v>
      </c>
      <c r="K12" s="256" t="e">
        <f>Revenue_Build!J6</f>
        <v>#DIV/0!</v>
      </c>
      <c r="L12" s="256" t="e">
        <f>Revenue_Build!K6</f>
        <v>#DIV/0!</v>
      </c>
      <c r="M12" s="256" t="e">
        <f>Revenue_Build!L6</f>
        <v>#DIV/0!</v>
      </c>
      <c r="N12" s="256" t="e">
        <f>Revenue_Build!M6</f>
        <v>#DIV/0!</v>
      </c>
      <c r="O12" s="256" t="e">
        <f>Revenue_Build!N6</f>
        <v>#DIV/0!</v>
      </c>
      <c r="P12" s="256" t="e">
        <f>Revenue_Build!O6</f>
        <v>#DIV/0!</v>
      </c>
      <c r="Q12" s="256" t="e">
        <f>Revenue_Build!P6</f>
        <v>#DIV/0!</v>
      </c>
      <c r="R12" s="256" t="e">
        <f>Revenue_Build!Q6</f>
        <v>#DIV/0!</v>
      </c>
    </row>
    <row r="13" spans="2:18" x14ac:dyDescent="0.25">
      <c r="B13" s="11" t="s">
        <v>89</v>
      </c>
      <c r="C13" s="69"/>
      <c r="D13" s="107" t="s">
        <v>90</v>
      </c>
      <c r="E13" s="107" t="e">
        <f>((E12-D12)/D12)</f>
        <v>#DIV/0!</v>
      </c>
      <c r="F13" s="107" t="e">
        <f t="shared" ref="F13:M13" si="9">((F12-E12)/E12)</f>
        <v>#DIV/0!</v>
      </c>
      <c r="G13" s="107" t="e">
        <f t="shared" si="9"/>
        <v>#DIV/0!</v>
      </c>
      <c r="H13" s="107" t="e">
        <f t="shared" si="9"/>
        <v>#DIV/0!</v>
      </c>
      <c r="I13" s="107" t="e">
        <f t="shared" si="9"/>
        <v>#DIV/0!</v>
      </c>
      <c r="J13" s="107" t="e">
        <f t="shared" si="9"/>
        <v>#DIV/0!</v>
      </c>
      <c r="K13" s="107" t="e">
        <f t="shared" si="9"/>
        <v>#DIV/0!</v>
      </c>
      <c r="L13" s="107" t="e">
        <f t="shared" si="9"/>
        <v>#DIV/0!</v>
      </c>
      <c r="M13" s="107" t="e">
        <f t="shared" si="9"/>
        <v>#DIV/0!</v>
      </c>
      <c r="N13" s="107" t="e">
        <f t="shared" ref="N13" si="10">((N12-M12)/M12)</f>
        <v>#DIV/0!</v>
      </c>
      <c r="O13" s="107" t="e">
        <f t="shared" ref="O13" si="11">((O12-N12)/N12)</f>
        <v>#DIV/0!</v>
      </c>
      <c r="P13" s="107" t="e">
        <f t="shared" ref="P13" si="12">((P12-O12)/O12)</f>
        <v>#DIV/0!</v>
      </c>
      <c r="Q13" s="107" t="e">
        <f t="shared" ref="Q13" si="13">((Q12-P12)/P12)</f>
        <v>#DIV/0!</v>
      </c>
      <c r="R13" s="107" t="e">
        <f t="shared" ref="R13" si="14">((R12-Q12)/Q12)</f>
        <v>#DIV/0!</v>
      </c>
    </row>
    <row r="14" spans="2:18" x14ac:dyDescent="0.25">
      <c r="B14" s="11"/>
      <c r="C14" s="69"/>
      <c r="D14" s="69"/>
      <c r="E14" s="69"/>
      <c r="F14" s="69"/>
      <c r="G14" s="69"/>
      <c r="H14" s="69"/>
      <c r="I14" s="69"/>
      <c r="J14" s="69"/>
      <c r="K14" s="69"/>
      <c r="L14" s="69"/>
      <c r="M14" s="69"/>
      <c r="N14" s="69"/>
      <c r="O14" s="69"/>
      <c r="P14" s="69"/>
      <c r="Q14" s="69"/>
      <c r="R14" s="69"/>
    </row>
    <row r="15" spans="2:18" x14ac:dyDescent="0.25">
      <c r="B15" t="s">
        <v>129</v>
      </c>
      <c r="C15" s="69"/>
      <c r="D15" s="256">
        <f>Revenue_Build!C9</f>
        <v>0</v>
      </c>
      <c r="E15" s="256">
        <f>Revenue_Build!D9</f>
        <v>0</v>
      </c>
      <c r="F15" s="256">
        <f>Revenue_Build!E9</f>
        <v>0</v>
      </c>
      <c r="G15" s="256">
        <f>Revenue_Build!F9</f>
        <v>0</v>
      </c>
      <c r="H15" s="256">
        <f>Revenue_Build!G9</f>
        <v>0</v>
      </c>
      <c r="I15" s="256" t="e">
        <f>Revenue_Build!H9</f>
        <v>#DIV/0!</v>
      </c>
      <c r="J15" s="256" t="e">
        <f>Revenue_Build!I9</f>
        <v>#DIV/0!</v>
      </c>
      <c r="K15" s="256" t="e">
        <f>Revenue_Build!J9</f>
        <v>#DIV/0!</v>
      </c>
      <c r="L15" s="256" t="e">
        <f>Revenue_Build!K9</f>
        <v>#DIV/0!</v>
      </c>
      <c r="M15" s="256" t="e">
        <f>Revenue_Build!L9</f>
        <v>#DIV/0!</v>
      </c>
      <c r="N15" s="256" t="e">
        <f>Revenue_Build!M9</f>
        <v>#DIV/0!</v>
      </c>
      <c r="O15" s="256" t="e">
        <f>Revenue_Build!N9</f>
        <v>#DIV/0!</v>
      </c>
      <c r="P15" s="256" t="e">
        <f>Revenue_Build!O9</f>
        <v>#DIV/0!</v>
      </c>
      <c r="Q15" s="256" t="e">
        <f>Revenue_Build!P9</f>
        <v>#DIV/0!</v>
      </c>
      <c r="R15" s="256" t="e">
        <f>Revenue_Build!Q9</f>
        <v>#DIV/0!</v>
      </c>
    </row>
    <row r="16" spans="2:18" x14ac:dyDescent="0.25">
      <c r="B16" s="11" t="s">
        <v>89</v>
      </c>
      <c r="C16" s="69"/>
      <c r="D16" s="107" t="s">
        <v>90</v>
      </c>
      <c r="E16" s="107" t="e">
        <f>((E15-D15)/D15)</f>
        <v>#DIV/0!</v>
      </c>
      <c r="F16" s="107" t="e">
        <f t="shared" ref="F16" si="15">((F15-E15)/E15)</f>
        <v>#DIV/0!</v>
      </c>
      <c r="G16" s="107" t="e">
        <f t="shared" ref="G16" si="16">((G15-F15)/F15)</f>
        <v>#DIV/0!</v>
      </c>
      <c r="H16" s="107" t="e">
        <f t="shared" ref="H16" si="17">((H15-G15)/G15)</f>
        <v>#DIV/0!</v>
      </c>
      <c r="I16" s="107" t="e">
        <f t="shared" ref="I16" si="18">((I15-H15)/H15)</f>
        <v>#DIV/0!</v>
      </c>
      <c r="J16" s="107" t="e">
        <f t="shared" ref="J16" si="19">((J15-I15)/I15)</f>
        <v>#DIV/0!</v>
      </c>
      <c r="K16" s="107" t="e">
        <f t="shared" ref="K16" si="20">((K15-J15)/J15)</f>
        <v>#DIV/0!</v>
      </c>
      <c r="L16" s="107" t="e">
        <f t="shared" ref="L16" si="21">((L15-K15)/K15)</f>
        <v>#DIV/0!</v>
      </c>
      <c r="M16" s="107" t="e">
        <f t="shared" ref="M16" si="22">((M15-L15)/L15)</f>
        <v>#DIV/0!</v>
      </c>
      <c r="N16" s="107" t="e">
        <f t="shared" ref="N16" si="23">((N15-M15)/M15)</f>
        <v>#DIV/0!</v>
      </c>
      <c r="O16" s="107" t="e">
        <f t="shared" ref="O16" si="24">((O15-N15)/N15)</f>
        <v>#DIV/0!</v>
      </c>
      <c r="P16" s="107" t="e">
        <f t="shared" ref="P16" si="25">((P15-O15)/O15)</f>
        <v>#DIV/0!</v>
      </c>
      <c r="Q16" s="107" t="e">
        <f t="shared" ref="Q16" si="26">((Q15-P15)/P15)</f>
        <v>#DIV/0!</v>
      </c>
      <c r="R16" s="107" t="e">
        <f t="shared" ref="R16" si="27">((R15-Q15)/Q15)</f>
        <v>#DIV/0!</v>
      </c>
    </row>
    <row r="17" spans="2:18" x14ac:dyDescent="0.25">
      <c r="B17" s="11"/>
      <c r="C17" s="69"/>
      <c r="D17" s="69"/>
      <c r="E17" s="69"/>
      <c r="F17" s="69"/>
      <c r="G17" s="69"/>
      <c r="H17" s="69"/>
      <c r="I17" s="69"/>
      <c r="J17" s="69"/>
      <c r="K17" s="69"/>
      <c r="L17" s="69"/>
      <c r="M17" s="69"/>
      <c r="N17" s="69"/>
      <c r="O17" s="69"/>
      <c r="P17" s="69"/>
      <c r="Q17" s="69"/>
      <c r="R17" s="69"/>
    </row>
    <row r="18" spans="2:18" x14ac:dyDescent="0.25">
      <c r="B18" t="s">
        <v>130</v>
      </c>
      <c r="C18" s="69"/>
      <c r="D18" s="256">
        <f>Revenue_Build!C12</f>
        <v>0</v>
      </c>
      <c r="E18" s="256">
        <f>Revenue_Build!D12</f>
        <v>0</v>
      </c>
      <c r="F18" s="256">
        <f>Revenue_Build!E12</f>
        <v>0</v>
      </c>
      <c r="G18" s="256">
        <f>Revenue_Build!F12</f>
        <v>0</v>
      </c>
      <c r="H18" s="256">
        <f>Revenue_Build!G12</f>
        <v>0</v>
      </c>
      <c r="I18" s="256" t="e">
        <f>Revenue_Build!H12</f>
        <v>#DIV/0!</v>
      </c>
      <c r="J18" s="256" t="e">
        <f>Revenue_Build!I12</f>
        <v>#DIV/0!</v>
      </c>
      <c r="K18" s="256" t="e">
        <f>Revenue_Build!J12</f>
        <v>#DIV/0!</v>
      </c>
      <c r="L18" s="256" t="e">
        <f>Revenue_Build!K12</f>
        <v>#DIV/0!</v>
      </c>
      <c r="M18" s="256" t="e">
        <f>Revenue_Build!L12</f>
        <v>#DIV/0!</v>
      </c>
      <c r="N18" s="256" t="e">
        <f>Revenue_Build!M12</f>
        <v>#DIV/0!</v>
      </c>
      <c r="O18" s="256" t="e">
        <f>Revenue_Build!N12</f>
        <v>#DIV/0!</v>
      </c>
      <c r="P18" s="256" t="e">
        <f>Revenue_Build!O12</f>
        <v>#DIV/0!</v>
      </c>
      <c r="Q18" s="256" t="e">
        <f>Revenue_Build!P12</f>
        <v>#DIV/0!</v>
      </c>
      <c r="R18" s="256" t="e">
        <f>Revenue_Build!Q12</f>
        <v>#DIV/0!</v>
      </c>
    </row>
    <row r="19" spans="2:18" x14ac:dyDescent="0.25">
      <c r="B19" s="11" t="s">
        <v>89</v>
      </c>
      <c r="C19" s="69"/>
      <c r="D19" s="107" t="s">
        <v>90</v>
      </c>
      <c r="E19" s="107" t="e">
        <f>((E18-D18)/D18)</f>
        <v>#DIV/0!</v>
      </c>
      <c r="F19" s="107" t="e">
        <f t="shared" ref="F19" si="28">((F18-E18)/E18)</f>
        <v>#DIV/0!</v>
      </c>
      <c r="G19" s="107" t="e">
        <f t="shared" ref="G19" si="29">((G18-F18)/F18)</f>
        <v>#DIV/0!</v>
      </c>
      <c r="H19" s="107" t="e">
        <f t="shared" ref="H19" si="30">((H18-G18)/G18)</f>
        <v>#DIV/0!</v>
      </c>
      <c r="I19" s="107" t="e">
        <f t="shared" ref="I19" si="31">((I18-H18)/H18)</f>
        <v>#DIV/0!</v>
      </c>
      <c r="J19" s="107" t="e">
        <f t="shared" ref="J19" si="32">((J18-I18)/I18)</f>
        <v>#DIV/0!</v>
      </c>
      <c r="K19" s="107" t="e">
        <f t="shared" ref="K19" si="33">((K18-J18)/J18)</f>
        <v>#DIV/0!</v>
      </c>
      <c r="L19" s="107" t="e">
        <f t="shared" ref="L19" si="34">((L18-K18)/K18)</f>
        <v>#DIV/0!</v>
      </c>
      <c r="M19" s="107" t="e">
        <f t="shared" ref="M19" si="35">((M18-L18)/L18)</f>
        <v>#DIV/0!</v>
      </c>
      <c r="N19" s="107" t="e">
        <f t="shared" ref="N19" si="36">((N18-M18)/M18)</f>
        <v>#DIV/0!</v>
      </c>
      <c r="O19" s="107" t="e">
        <f t="shared" ref="O19" si="37">((O18-N18)/N18)</f>
        <v>#DIV/0!</v>
      </c>
      <c r="P19" s="107" t="e">
        <f t="shared" ref="P19" si="38">((P18-O18)/O18)</f>
        <v>#DIV/0!</v>
      </c>
      <c r="Q19" s="107" t="e">
        <f t="shared" ref="Q19" si="39">((Q18-P18)/P18)</f>
        <v>#DIV/0!</v>
      </c>
      <c r="R19" s="107" t="e">
        <f t="shared" ref="R19" si="40">((R18-Q18)/Q18)</f>
        <v>#DIV/0!</v>
      </c>
    </row>
    <row r="20" spans="2:18" x14ac:dyDescent="0.25">
      <c r="B20" s="11"/>
      <c r="C20" s="69"/>
      <c r="D20" s="69"/>
      <c r="E20" s="69"/>
      <c r="F20" s="69"/>
      <c r="G20" s="69"/>
      <c r="H20" s="69"/>
      <c r="I20" s="69"/>
      <c r="J20" s="69"/>
      <c r="K20" s="69"/>
      <c r="L20" s="69"/>
      <c r="M20" s="69"/>
      <c r="N20" s="69"/>
      <c r="O20" s="69"/>
      <c r="P20" s="69"/>
      <c r="Q20" s="69"/>
      <c r="R20" s="69"/>
    </row>
    <row r="21" spans="2:18" x14ac:dyDescent="0.25">
      <c r="B21" t="s">
        <v>131</v>
      </c>
      <c r="C21" s="69"/>
      <c r="D21" s="256">
        <f>Revenue_Build!C15</f>
        <v>0</v>
      </c>
      <c r="E21" s="256">
        <f>Revenue_Build!D15</f>
        <v>0</v>
      </c>
      <c r="F21" s="256">
        <f>Revenue_Build!E15</f>
        <v>0</v>
      </c>
      <c r="G21" s="256">
        <f>Revenue_Build!F15</f>
        <v>0</v>
      </c>
      <c r="H21" s="256">
        <f>Revenue_Build!G15</f>
        <v>0</v>
      </c>
      <c r="I21" s="256" t="e">
        <f>Revenue_Build!H15</f>
        <v>#DIV/0!</v>
      </c>
      <c r="J21" s="256" t="e">
        <f>Revenue_Build!I15</f>
        <v>#DIV/0!</v>
      </c>
      <c r="K21" s="256" t="e">
        <f>Revenue_Build!J15</f>
        <v>#DIV/0!</v>
      </c>
      <c r="L21" s="256" t="e">
        <f>Revenue_Build!K15</f>
        <v>#DIV/0!</v>
      </c>
      <c r="M21" s="256" t="e">
        <f>Revenue_Build!L15</f>
        <v>#DIV/0!</v>
      </c>
      <c r="N21" s="256" t="e">
        <f>Revenue_Build!M15</f>
        <v>#DIV/0!</v>
      </c>
      <c r="O21" s="256" t="e">
        <f>Revenue_Build!N15</f>
        <v>#DIV/0!</v>
      </c>
      <c r="P21" s="256" t="e">
        <f>Revenue_Build!O15</f>
        <v>#DIV/0!</v>
      </c>
      <c r="Q21" s="256" t="e">
        <f>Revenue_Build!P15</f>
        <v>#DIV/0!</v>
      </c>
      <c r="R21" s="256" t="e">
        <f>Revenue_Build!Q15</f>
        <v>#DIV/0!</v>
      </c>
    </row>
    <row r="22" spans="2:18" x14ac:dyDescent="0.25">
      <c r="B22" s="11" t="s">
        <v>89</v>
      </c>
      <c r="C22" s="69"/>
      <c r="D22" s="107" t="s">
        <v>90</v>
      </c>
      <c r="E22" s="107" t="e">
        <f>((E21-D21)/D21)</f>
        <v>#DIV/0!</v>
      </c>
      <c r="F22" s="107" t="e">
        <f t="shared" ref="F22" si="41">((F21-E21)/E21)</f>
        <v>#DIV/0!</v>
      </c>
      <c r="G22" s="107" t="e">
        <f t="shared" ref="G22" si="42">((G21-F21)/F21)</f>
        <v>#DIV/0!</v>
      </c>
      <c r="H22" s="107" t="e">
        <f t="shared" ref="H22" si="43">((H21-G21)/G21)</f>
        <v>#DIV/0!</v>
      </c>
      <c r="I22" s="107" t="e">
        <f t="shared" ref="I22" si="44">((I21-H21)/H21)</f>
        <v>#DIV/0!</v>
      </c>
      <c r="J22" s="107" t="e">
        <f t="shared" ref="J22" si="45">((J21-I21)/I21)</f>
        <v>#DIV/0!</v>
      </c>
      <c r="K22" s="107" t="e">
        <f t="shared" ref="K22" si="46">((K21-J21)/J21)</f>
        <v>#DIV/0!</v>
      </c>
      <c r="L22" s="107" t="e">
        <f t="shared" ref="L22" si="47">((L21-K21)/K21)</f>
        <v>#DIV/0!</v>
      </c>
      <c r="M22" s="107" t="e">
        <f t="shared" ref="M22" si="48">((M21-L21)/L21)</f>
        <v>#DIV/0!</v>
      </c>
      <c r="N22" s="107" t="e">
        <f t="shared" ref="N22" si="49">((N21-M21)/M21)</f>
        <v>#DIV/0!</v>
      </c>
      <c r="O22" s="107" t="e">
        <f t="shared" ref="O22" si="50">((O21-N21)/N21)</f>
        <v>#DIV/0!</v>
      </c>
      <c r="P22" s="107" t="e">
        <f t="shared" ref="P22" si="51">((P21-O21)/O21)</f>
        <v>#DIV/0!</v>
      </c>
      <c r="Q22" s="107" t="e">
        <f t="shared" ref="Q22" si="52">((Q21-P21)/P21)</f>
        <v>#DIV/0!</v>
      </c>
      <c r="R22" s="107" t="e">
        <f t="shared" ref="R22" si="53">((R21-Q21)/Q21)</f>
        <v>#DIV/0!</v>
      </c>
    </row>
    <row r="23" spans="2:18" x14ac:dyDescent="0.25">
      <c r="B23" s="11"/>
      <c r="C23" s="69"/>
      <c r="D23" s="69"/>
      <c r="E23" s="69"/>
      <c r="F23" s="69"/>
      <c r="G23" s="69"/>
      <c r="H23" s="69"/>
      <c r="I23" s="69"/>
      <c r="J23" s="69"/>
      <c r="K23" s="69"/>
      <c r="L23" s="69"/>
      <c r="M23" s="69"/>
      <c r="N23" s="69"/>
      <c r="O23" s="69"/>
      <c r="P23" s="69"/>
      <c r="Q23" s="69"/>
      <c r="R23" s="69"/>
    </row>
    <row r="24" spans="2:18" x14ac:dyDescent="0.25">
      <c r="B24" t="s">
        <v>132</v>
      </c>
      <c r="C24" s="69"/>
      <c r="D24" s="256">
        <f>Revenue_Build!C18</f>
        <v>0</v>
      </c>
      <c r="E24" s="256">
        <f>Revenue_Build!D18</f>
        <v>0</v>
      </c>
      <c r="F24" s="256">
        <f>Revenue_Build!E18</f>
        <v>0</v>
      </c>
      <c r="G24" s="256">
        <f>Revenue_Build!F18</f>
        <v>0</v>
      </c>
      <c r="H24" s="256">
        <f>Revenue_Build!G18</f>
        <v>0</v>
      </c>
      <c r="I24" s="256" t="e">
        <f>Revenue_Build!H18</f>
        <v>#DIV/0!</v>
      </c>
      <c r="J24" s="256" t="e">
        <f>Revenue_Build!I18</f>
        <v>#DIV/0!</v>
      </c>
      <c r="K24" s="256" t="e">
        <f>Revenue_Build!J18</f>
        <v>#DIV/0!</v>
      </c>
      <c r="L24" s="256" t="e">
        <f>Revenue_Build!K18</f>
        <v>#DIV/0!</v>
      </c>
      <c r="M24" s="256" t="e">
        <f>Revenue_Build!L18</f>
        <v>#DIV/0!</v>
      </c>
      <c r="N24" s="256" t="e">
        <f>Revenue_Build!M18</f>
        <v>#DIV/0!</v>
      </c>
      <c r="O24" s="256" t="e">
        <f>Revenue_Build!N18</f>
        <v>#DIV/0!</v>
      </c>
      <c r="P24" s="256" t="e">
        <f>Revenue_Build!O18</f>
        <v>#DIV/0!</v>
      </c>
      <c r="Q24" s="256" t="e">
        <f>Revenue_Build!P18</f>
        <v>#DIV/0!</v>
      </c>
      <c r="R24" s="256" t="e">
        <f>Revenue_Build!Q18</f>
        <v>#DIV/0!</v>
      </c>
    </row>
    <row r="25" spans="2:18" x14ac:dyDescent="0.25">
      <c r="B25" s="11" t="s">
        <v>89</v>
      </c>
      <c r="C25" s="69"/>
      <c r="D25" s="107" t="s">
        <v>90</v>
      </c>
      <c r="E25" s="107" t="e">
        <f>((E24-D24)/D24)</f>
        <v>#DIV/0!</v>
      </c>
      <c r="F25" s="107" t="e">
        <f t="shared" ref="F25" si="54">((F24-E24)/E24)</f>
        <v>#DIV/0!</v>
      </c>
      <c r="G25" s="107" t="e">
        <f t="shared" ref="G25" si="55">((G24-F24)/F24)</f>
        <v>#DIV/0!</v>
      </c>
      <c r="H25" s="107" t="e">
        <f t="shared" ref="H25" si="56">((H24-G24)/G24)</f>
        <v>#DIV/0!</v>
      </c>
      <c r="I25" s="107" t="e">
        <f t="shared" ref="I25" si="57">((I24-H24)/H24)</f>
        <v>#DIV/0!</v>
      </c>
      <c r="J25" s="107" t="e">
        <f t="shared" ref="J25" si="58">((J24-I24)/I24)</f>
        <v>#DIV/0!</v>
      </c>
      <c r="K25" s="107" t="e">
        <f t="shared" ref="K25" si="59">((K24-J24)/J24)</f>
        <v>#DIV/0!</v>
      </c>
      <c r="L25" s="107" t="e">
        <f t="shared" ref="L25" si="60">((L24-K24)/K24)</f>
        <v>#DIV/0!</v>
      </c>
      <c r="M25" s="107" t="e">
        <f t="shared" ref="M25" si="61">((M24-L24)/L24)</f>
        <v>#DIV/0!</v>
      </c>
      <c r="N25" s="107" t="e">
        <f t="shared" ref="N25" si="62">((N24-M24)/M24)</f>
        <v>#DIV/0!</v>
      </c>
      <c r="O25" s="107" t="e">
        <f t="shared" ref="O25" si="63">((O24-N24)/N24)</f>
        <v>#DIV/0!</v>
      </c>
      <c r="P25" s="107" t="e">
        <f t="shared" ref="P25" si="64">((P24-O24)/O24)</f>
        <v>#DIV/0!</v>
      </c>
      <c r="Q25" s="107" t="e">
        <f t="shared" ref="Q25" si="65">((Q24-P24)/P24)</f>
        <v>#DIV/0!</v>
      </c>
      <c r="R25" s="107" t="e">
        <f t="shared" ref="R25" si="66">((R24-Q24)/Q24)</f>
        <v>#DIV/0!</v>
      </c>
    </row>
    <row r="26" spans="2:18" x14ac:dyDescent="0.25">
      <c r="B26" s="11"/>
      <c r="C26" s="69"/>
      <c r="D26" s="69"/>
      <c r="E26" s="69"/>
      <c r="F26" s="69"/>
      <c r="G26" s="69"/>
      <c r="H26" s="69"/>
      <c r="I26" s="69"/>
      <c r="J26" s="69"/>
      <c r="K26" s="69"/>
      <c r="L26" s="69"/>
      <c r="M26" s="69"/>
      <c r="N26" s="69"/>
      <c r="O26" s="69"/>
      <c r="P26" s="69"/>
      <c r="Q26" s="69"/>
      <c r="R26" s="69"/>
    </row>
    <row r="27" spans="2:18" ht="15" customHeight="1" x14ac:dyDescent="0.25">
      <c r="B27" t="s">
        <v>133</v>
      </c>
      <c r="C27" s="69"/>
      <c r="D27" s="256">
        <f>Revenue_Build!C21</f>
        <v>0</v>
      </c>
      <c r="E27" s="256">
        <f>Revenue_Build!D21</f>
        <v>0</v>
      </c>
      <c r="F27" s="257">
        <f>Revenue_Build!E21</f>
        <v>0</v>
      </c>
      <c r="G27" s="256">
        <f>Revenue_Build!F21</f>
        <v>0</v>
      </c>
      <c r="H27" s="256">
        <f>Revenue_Build!G21</f>
        <v>0</v>
      </c>
      <c r="I27" s="256" t="e">
        <f>Revenue_Build!H21</f>
        <v>#DIV/0!</v>
      </c>
      <c r="J27" s="256" t="e">
        <f>Revenue_Build!I21</f>
        <v>#DIV/0!</v>
      </c>
      <c r="K27" s="256" t="e">
        <f>Revenue_Build!J21</f>
        <v>#DIV/0!</v>
      </c>
      <c r="L27" s="256" t="e">
        <f>Revenue_Build!K21</f>
        <v>#DIV/0!</v>
      </c>
      <c r="M27" s="256" t="e">
        <f>Revenue_Build!L21</f>
        <v>#DIV/0!</v>
      </c>
      <c r="N27" s="256" t="e">
        <f>Revenue_Build!M21</f>
        <v>#DIV/0!</v>
      </c>
      <c r="O27" s="256" t="e">
        <f>Revenue_Build!N21</f>
        <v>#DIV/0!</v>
      </c>
      <c r="P27" s="256" t="e">
        <f>Revenue_Build!O21</f>
        <v>#DIV/0!</v>
      </c>
      <c r="Q27" s="256" t="e">
        <f>Revenue_Build!P21</f>
        <v>#DIV/0!</v>
      </c>
      <c r="R27" s="256" t="e">
        <f>Revenue_Build!Q21</f>
        <v>#DIV/0!</v>
      </c>
    </row>
    <row r="28" spans="2:18" x14ac:dyDescent="0.25">
      <c r="B28" s="11" t="s">
        <v>89</v>
      </c>
      <c r="C28" s="69"/>
      <c r="D28" s="107" t="s">
        <v>90</v>
      </c>
      <c r="E28" s="107" t="e">
        <f>((E27-D27)/D27)</f>
        <v>#DIV/0!</v>
      </c>
      <c r="F28" s="107" t="e">
        <f t="shared" ref="F28" si="67">((F27-E27)/E27)</f>
        <v>#DIV/0!</v>
      </c>
      <c r="G28" s="107" t="e">
        <f t="shared" ref="G28" si="68">((G27-F27)/F27)</f>
        <v>#DIV/0!</v>
      </c>
      <c r="H28" s="107" t="e">
        <f t="shared" ref="H28" si="69">((H27-G27)/G27)</f>
        <v>#DIV/0!</v>
      </c>
      <c r="I28" s="107" t="e">
        <f t="shared" ref="I28" si="70">((I27-H27)/H27)</f>
        <v>#DIV/0!</v>
      </c>
      <c r="J28" s="107" t="e">
        <f t="shared" ref="J28" si="71">((J27-I27)/I27)</f>
        <v>#DIV/0!</v>
      </c>
      <c r="K28" s="107" t="e">
        <f t="shared" ref="K28" si="72">((K27-J27)/J27)</f>
        <v>#DIV/0!</v>
      </c>
      <c r="L28" s="107" t="e">
        <f t="shared" ref="L28" si="73">((L27-K27)/K27)</f>
        <v>#DIV/0!</v>
      </c>
      <c r="M28" s="107" t="e">
        <f t="shared" ref="M28" si="74">((M27-L27)/L27)</f>
        <v>#DIV/0!</v>
      </c>
      <c r="N28" s="107" t="e">
        <f t="shared" ref="N28" si="75">((N27-M27)/M27)</f>
        <v>#DIV/0!</v>
      </c>
      <c r="O28" s="107" t="e">
        <f t="shared" ref="O28" si="76">((O27-N27)/N27)</f>
        <v>#DIV/0!</v>
      </c>
      <c r="P28" s="107" t="e">
        <f t="shared" ref="P28" si="77">((P27-O27)/O27)</f>
        <v>#DIV/0!</v>
      </c>
      <c r="Q28" s="107" t="e">
        <f t="shared" ref="Q28" si="78">((Q27-P27)/P27)</f>
        <v>#DIV/0!</v>
      </c>
      <c r="R28" s="107" t="e">
        <f t="shared" ref="R28" si="79">((R27-Q27)/Q27)</f>
        <v>#DIV/0!</v>
      </c>
    </row>
    <row r="29" spans="2:18" x14ac:dyDescent="0.25">
      <c r="B29" s="11"/>
      <c r="C29" s="69"/>
      <c r="D29" s="69"/>
      <c r="E29" s="69"/>
      <c r="F29" s="69"/>
      <c r="G29" s="69"/>
      <c r="H29" s="69"/>
      <c r="I29" s="69"/>
      <c r="J29" s="69"/>
      <c r="K29" s="69"/>
      <c r="L29" s="69"/>
      <c r="M29" s="69"/>
      <c r="N29" s="69"/>
      <c r="O29" s="69"/>
      <c r="P29" s="69"/>
      <c r="Q29" s="69"/>
      <c r="R29" s="69"/>
    </row>
    <row r="30" spans="2:18" x14ac:dyDescent="0.25">
      <c r="B30" t="s">
        <v>134</v>
      </c>
      <c r="C30" s="69"/>
      <c r="D30" s="256">
        <f>Revenue_Build!C24</f>
        <v>0</v>
      </c>
      <c r="E30" s="256">
        <f>Revenue_Build!D24</f>
        <v>0</v>
      </c>
      <c r="F30" s="256">
        <f>Revenue_Build!E24</f>
        <v>0</v>
      </c>
      <c r="G30" s="256">
        <f>Revenue_Build!F24</f>
        <v>0</v>
      </c>
      <c r="H30" s="256">
        <f>Revenue_Build!G24</f>
        <v>0</v>
      </c>
      <c r="I30" s="256" t="e">
        <f>Revenue_Build!H24</f>
        <v>#DIV/0!</v>
      </c>
      <c r="J30" s="256" t="e">
        <f>Revenue_Build!I24</f>
        <v>#DIV/0!</v>
      </c>
      <c r="K30" s="256" t="e">
        <f>Revenue_Build!J24</f>
        <v>#DIV/0!</v>
      </c>
      <c r="L30" s="256" t="e">
        <f>Revenue_Build!K24</f>
        <v>#DIV/0!</v>
      </c>
      <c r="M30" s="256" t="e">
        <f>Revenue_Build!L24</f>
        <v>#DIV/0!</v>
      </c>
      <c r="N30" s="256" t="e">
        <f>Revenue_Build!M24</f>
        <v>#DIV/0!</v>
      </c>
      <c r="O30" s="256" t="e">
        <f>Revenue_Build!N24</f>
        <v>#DIV/0!</v>
      </c>
      <c r="P30" s="256" t="e">
        <f>Revenue_Build!O24</f>
        <v>#DIV/0!</v>
      </c>
      <c r="Q30" s="256" t="e">
        <f>Revenue_Build!P24</f>
        <v>#DIV/0!</v>
      </c>
      <c r="R30" s="256" t="e">
        <f>Revenue_Build!Q24</f>
        <v>#DIV/0!</v>
      </c>
    </row>
    <row r="31" spans="2:18" x14ac:dyDescent="0.25">
      <c r="B31" s="11" t="s">
        <v>89</v>
      </c>
      <c r="C31" s="69"/>
      <c r="D31" s="107" t="s">
        <v>90</v>
      </c>
      <c r="E31" s="107" t="e">
        <f>((E30-D30)/D30)</f>
        <v>#DIV/0!</v>
      </c>
      <c r="F31" s="107" t="e">
        <f t="shared" ref="F31" si="80">((F30-E30)/E30)</f>
        <v>#DIV/0!</v>
      </c>
      <c r="G31" s="107" t="e">
        <f t="shared" ref="G31" si="81">((G30-F30)/F30)</f>
        <v>#DIV/0!</v>
      </c>
      <c r="H31" s="107" t="e">
        <f t="shared" ref="H31" si="82">((H30-G30)/G30)</f>
        <v>#DIV/0!</v>
      </c>
      <c r="I31" s="107" t="e">
        <f t="shared" ref="I31" si="83">((I30-H30)/H30)</f>
        <v>#DIV/0!</v>
      </c>
      <c r="J31" s="107" t="e">
        <f t="shared" ref="J31" si="84">((J30-I30)/I30)</f>
        <v>#DIV/0!</v>
      </c>
      <c r="K31" s="107" t="e">
        <f t="shared" ref="K31" si="85">((K30-J30)/J30)</f>
        <v>#DIV/0!</v>
      </c>
      <c r="L31" s="107" t="e">
        <f t="shared" ref="L31" si="86">((L30-K30)/K30)</f>
        <v>#DIV/0!</v>
      </c>
      <c r="M31" s="107" t="e">
        <f t="shared" ref="M31" si="87">((M30-L30)/L30)</f>
        <v>#DIV/0!</v>
      </c>
      <c r="N31" s="107" t="e">
        <f t="shared" ref="N31" si="88">((N30-M30)/M30)</f>
        <v>#DIV/0!</v>
      </c>
      <c r="O31" s="107" t="e">
        <f t="shared" ref="O31" si="89">((O30-N30)/N30)</f>
        <v>#DIV/0!</v>
      </c>
      <c r="P31" s="107" t="e">
        <f t="shared" ref="P31" si="90">((P30-O30)/O30)</f>
        <v>#DIV/0!</v>
      </c>
      <c r="Q31" s="107" t="e">
        <f t="shared" ref="Q31" si="91">((Q30-P30)/P30)</f>
        <v>#DIV/0!</v>
      </c>
      <c r="R31" s="107" t="e">
        <f t="shared" ref="R31" si="92">((R30-Q30)/Q30)</f>
        <v>#DIV/0!</v>
      </c>
    </row>
    <row r="32" spans="2:18" x14ac:dyDescent="0.25">
      <c r="B32" s="11"/>
      <c r="C32" s="69"/>
      <c r="D32" s="69"/>
      <c r="E32" s="69"/>
      <c r="F32" s="69"/>
      <c r="G32" s="69"/>
      <c r="H32" s="69"/>
      <c r="I32" s="69"/>
      <c r="J32" s="69"/>
      <c r="K32" s="69"/>
      <c r="L32" s="69"/>
      <c r="M32" s="69"/>
      <c r="N32" s="69"/>
      <c r="O32" s="69"/>
      <c r="P32" s="69"/>
      <c r="Q32" s="69"/>
      <c r="R32" s="69"/>
    </row>
    <row r="33" spans="2:18" x14ac:dyDescent="0.25">
      <c r="B33" t="s">
        <v>135</v>
      </c>
      <c r="C33" s="69"/>
      <c r="D33" s="256">
        <f>Revenue_Build!C27</f>
        <v>0</v>
      </c>
      <c r="E33" s="256">
        <f>Revenue_Build!D27</f>
        <v>0</v>
      </c>
      <c r="F33" s="256">
        <f>Revenue_Build!E27</f>
        <v>0</v>
      </c>
      <c r="G33" s="256">
        <f>Revenue_Build!F27</f>
        <v>0</v>
      </c>
      <c r="H33" s="256">
        <f>Revenue_Build!G27</f>
        <v>0</v>
      </c>
      <c r="I33" s="256" t="e">
        <f>Revenue_Build!H27</f>
        <v>#DIV/0!</v>
      </c>
      <c r="J33" s="256" t="e">
        <f>Revenue_Build!I27</f>
        <v>#DIV/0!</v>
      </c>
      <c r="K33" s="256" t="e">
        <f>Revenue_Build!J27</f>
        <v>#DIV/0!</v>
      </c>
      <c r="L33" s="256" t="e">
        <f>Revenue_Build!K27</f>
        <v>#DIV/0!</v>
      </c>
      <c r="M33" s="256" t="e">
        <f>Revenue_Build!L27</f>
        <v>#DIV/0!</v>
      </c>
      <c r="N33" s="256" t="e">
        <f>Revenue_Build!M27</f>
        <v>#DIV/0!</v>
      </c>
      <c r="O33" s="256" t="e">
        <f>Revenue_Build!N27</f>
        <v>#DIV/0!</v>
      </c>
      <c r="P33" s="256" t="e">
        <f>Revenue_Build!O27</f>
        <v>#DIV/0!</v>
      </c>
      <c r="Q33" s="256" t="e">
        <f>Revenue_Build!P27</f>
        <v>#DIV/0!</v>
      </c>
      <c r="R33" s="256" t="e">
        <f>Revenue_Build!Q27</f>
        <v>#DIV/0!</v>
      </c>
    </row>
    <row r="34" spans="2:18" x14ac:dyDescent="0.25">
      <c r="B34" s="11" t="s">
        <v>89</v>
      </c>
      <c r="C34" s="69"/>
      <c r="D34" s="107" t="s">
        <v>90</v>
      </c>
      <c r="E34" s="107" t="e">
        <f>((E33-D33)/D33)</f>
        <v>#DIV/0!</v>
      </c>
      <c r="F34" s="107" t="e">
        <f t="shared" ref="F34" si="93">((F33-E33)/E33)</f>
        <v>#DIV/0!</v>
      </c>
      <c r="G34" s="107" t="e">
        <f t="shared" ref="G34" si="94">((G33-F33)/F33)</f>
        <v>#DIV/0!</v>
      </c>
      <c r="H34" s="107" t="e">
        <f t="shared" ref="H34" si="95">((H33-G33)/G33)</f>
        <v>#DIV/0!</v>
      </c>
      <c r="I34" s="107" t="e">
        <f t="shared" ref="I34" si="96">((I33-H33)/H33)</f>
        <v>#DIV/0!</v>
      </c>
      <c r="J34" s="107" t="e">
        <f t="shared" ref="J34" si="97">((J33-I33)/I33)</f>
        <v>#DIV/0!</v>
      </c>
      <c r="K34" s="107" t="e">
        <f t="shared" ref="K34" si="98">((K33-J33)/J33)</f>
        <v>#DIV/0!</v>
      </c>
      <c r="L34" s="107" t="e">
        <f t="shared" ref="L34" si="99">((L33-K33)/K33)</f>
        <v>#DIV/0!</v>
      </c>
      <c r="M34" s="107" t="e">
        <f t="shared" ref="M34" si="100">((M33-L33)/L33)</f>
        <v>#DIV/0!</v>
      </c>
      <c r="N34" s="107" t="e">
        <f t="shared" ref="N34" si="101">((N33-M33)/M33)</f>
        <v>#DIV/0!</v>
      </c>
      <c r="O34" s="107" t="e">
        <f t="shared" ref="O34" si="102">((O33-N33)/N33)</f>
        <v>#DIV/0!</v>
      </c>
      <c r="P34" s="107" t="e">
        <f t="shared" ref="P34" si="103">((P33-O33)/O33)</f>
        <v>#DIV/0!</v>
      </c>
      <c r="Q34" s="107" t="e">
        <f t="shared" ref="Q34" si="104">((Q33-P33)/P33)</f>
        <v>#DIV/0!</v>
      </c>
      <c r="R34" s="107" t="e">
        <f t="shared" ref="R34" si="105">((R33-Q33)/Q33)</f>
        <v>#DIV/0!</v>
      </c>
    </row>
    <row r="35" spans="2:18" x14ac:dyDescent="0.25">
      <c r="B35" s="11"/>
      <c r="C35" s="69"/>
      <c r="D35" s="69"/>
      <c r="E35" s="69"/>
      <c r="F35" s="69"/>
      <c r="G35" s="69"/>
      <c r="H35" s="69"/>
      <c r="I35" s="69"/>
      <c r="J35" s="69"/>
      <c r="K35" s="69"/>
      <c r="L35" s="69"/>
      <c r="M35" s="69"/>
      <c r="N35" s="69"/>
      <c r="O35" s="69"/>
      <c r="P35" s="69"/>
      <c r="Q35" s="69"/>
      <c r="R35" s="69"/>
    </row>
    <row r="36" spans="2:18" x14ac:dyDescent="0.25">
      <c r="B36" t="s">
        <v>136</v>
      </c>
      <c r="C36" s="69"/>
      <c r="D36" s="256">
        <f>Revenue_Build!C30</f>
        <v>0</v>
      </c>
      <c r="E36" s="256">
        <f>Revenue_Build!D30</f>
        <v>0</v>
      </c>
      <c r="F36" s="256">
        <f>Revenue_Build!E30</f>
        <v>0</v>
      </c>
      <c r="G36" s="256">
        <f>Revenue_Build!F30</f>
        <v>0</v>
      </c>
      <c r="H36" s="256">
        <f>Revenue_Build!G30</f>
        <v>0</v>
      </c>
      <c r="I36" s="256" t="e">
        <f>Revenue_Build!H30</f>
        <v>#DIV/0!</v>
      </c>
      <c r="J36" s="256" t="e">
        <f>Revenue_Build!I30</f>
        <v>#DIV/0!</v>
      </c>
      <c r="K36" s="256" t="e">
        <f>Revenue_Build!J30</f>
        <v>#DIV/0!</v>
      </c>
      <c r="L36" s="256" t="e">
        <f>Revenue_Build!K30</f>
        <v>#DIV/0!</v>
      </c>
      <c r="M36" s="256" t="e">
        <f>Revenue_Build!L30</f>
        <v>#DIV/0!</v>
      </c>
      <c r="N36" s="256" t="e">
        <f>Revenue_Build!M30</f>
        <v>#DIV/0!</v>
      </c>
      <c r="O36" s="256" t="e">
        <f>Revenue_Build!N30</f>
        <v>#DIV/0!</v>
      </c>
      <c r="P36" s="256" t="e">
        <f>Revenue_Build!O30</f>
        <v>#DIV/0!</v>
      </c>
      <c r="Q36" s="256" t="e">
        <f>Revenue_Build!P30</f>
        <v>#DIV/0!</v>
      </c>
      <c r="R36" s="256" t="e">
        <f>Revenue_Build!Q30</f>
        <v>#DIV/0!</v>
      </c>
    </row>
    <row r="37" spans="2:18" x14ac:dyDescent="0.25">
      <c r="B37" s="11" t="s">
        <v>89</v>
      </c>
      <c r="C37" s="69"/>
      <c r="D37" s="107" t="s">
        <v>90</v>
      </c>
      <c r="E37" s="107" t="e">
        <f>((E36-D36)/D36)</f>
        <v>#DIV/0!</v>
      </c>
      <c r="F37" s="107" t="e">
        <f t="shared" ref="F37" si="106">((F36-E36)/E36)</f>
        <v>#DIV/0!</v>
      </c>
      <c r="G37" s="107" t="e">
        <f t="shared" ref="G37" si="107">((G36-F36)/F36)</f>
        <v>#DIV/0!</v>
      </c>
      <c r="H37" s="107" t="e">
        <f t="shared" ref="H37" si="108">((H36-G36)/G36)</f>
        <v>#DIV/0!</v>
      </c>
      <c r="I37" s="107" t="e">
        <f t="shared" ref="I37" si="109">((I36-H36)/H36)</f>
        <v>#DIV/0!</v>
      </c>
      <c r="J37" s="107" t="e">
        <f t="shared" ref="J37" si="110">((J36-I36)/I36)</f>
        <v>#DIV/0!</v>
      </c>
      <c r="K37" s="107" t="e">
        <f t="shared" ref="K37" si="111">((K36-J36)/J36)</f>
        <v>#DIV/0!</v>
      </c>
      <c r="L37" s="107" t="e">
        <f t="shared" ref="L37" si="112">((L36-K36)/K36)</f>
        <v>#DIV/0!</v>
      </c>
      <c r="M37" s="107" t="e">
        <f t="shared" ref="M37" si="113">((M36-L36)/L36)</f>
        <v>#DIV/0!</v>
      </c>
      <c r="N37" s="107" t="e">
        <f t="shared" ref="N37" si="114">((N36-M36)/M36)</f>
        <v>#DIV/0!</v>
      </c>
      <c r="O37" s="107" t="e">
        <f t="shared" ref="O37" si="115">((O36-N36)/N36)</f>
        <v>#DIV/0!</v>
      </c>
      <c r="P37" s="107" t="e">
        <f t="shared" ref="P37" si="116">((P36-O36)/O36)</f>
        <v>#DIV/0!</v>
      </c>
      <c r="Q37" s="107" t="e">
        <f t="shared" ref="Q37" si="117">((Q36-P36)/P36)</f>
        <v>#DIV/0!</v>
      </c>
      <c r="R37" s="107" t="e">
        <f t="shared" ref="R37" si="118">((R36-Q36)/Q36)</f>
        <v>#DIV/0!</v>
      </c>
    </row>
    <row r="38" spans="2:18" x14ac:dyDescent="0.25">
      <c r="B38" s="11"/>
      <c r="C38" s="69"/>
      <c r="D38" s="69"/>
      <c r="E38" s="69"/>
      <c r="F38" s="69"/>
      <c r="G38" s="69"/>
      <c r="H38" s="69"/>
      <c r="I38" s="69"/>
      <c r="J38" s="69"/>
      <c r="K38" s="69"/>
      <c r="L38" s="69"/>
      <c r="M38" s="69"/>
      <c r="N38" s="69"/>
      <c r="O38" s="69"/>
      <c r="P38" s="69"/>
      <c r="Q38" s="69"/>
      <c r="R38" s="69"/>
    </row>
    <row r="39" spans="2:18" x14ac:dyDescent="0.25">
      <c r="B39" t="s">
        <v>137</v>
      </c>
      <c r="C39" s="69"/>
      <c r="D39" s="256">
        <f>Revenue_Build!C33</f>
        <v>0</v>
      </c>
      <c r="E39" s="256">
        <f>Revenue_Build!D33</f>
        <v>0</v>
      </c>
      <c r="F39" s="256">
        <f>Revenue_Build!E33</f>
        <v>0</v>
      </c>
      <c r="G39" s="256">
        <f>Revenue_Build!F33</f>
        <v>0</v>
      </c>
      <c r="H39" s="256">
        <f>Revenue_Build!G33</f>
        <v>0</v>
      </c>
      <c r="I39" s="256" t="e">
        <f>Revenue_Build!H33</f>
        <v>#DIV/0!</v>
      </c>
      <c r="J39" s="256" t="e">
        <f>Revenue_Build!I33</f>
        <v>#DIV/0!</v>
      </c>
      <c r="K39" s="256" t="e">
        <f>Revenue_Build!J33</f>
        <v>#DIV/0!</v>
      </c>
      <c r="L39" s="256" t="e">
        <f>Revenue_Build!K33</f>
        <v>#DIV/0!</v>
      </c>
      <c r="M39" s="256" t="e">
        <f>Revenue_Build!L33</f>
        <v>#DIV/0!</v>
      </c>
      <c r="N39" s="256" t="e">
        <f>Revenue_Build!M33</f>
        <v>#DIV/0!</v>
      </c>
      <c r="O39" s="256" t="e">
        <f>Revenue_Build!N33</f>
        <v>#DIV/0!</v>
      </c>
      <c r="P39" s="256" t="e">
        <f>Revenue_Build!O33</f>
        <v>#DIV/0!</v>
      </c>
      <c r="Q39" s="256" t="e">
        <f>Revenue_Build!P33</f>
        <v>#DIV/0!</v>
      </c>
      <c r="R39" s="256" t="e">
        <f>Revenue_Build!Q33</f>
        <v>#DIV/0!</v>
      </c>
    </row>
    <row r="40" spans="2:18" x14ac:dyDescent="0.25">
      <c r="B40" s="11" t="s">
        <v>89</v>
      </c>
      <c r="C40" s="69"/>
      <c r="D40" s="107" t="s">
        <v>90</v>
      </c>
      <c r="E40" s="107" t="e">
        <f>((E39-D39)/D39)</f>
        <v>#DIV/0!</v>
      </c>
      <c r="F40" s="107" t="e">
        <f t="shared" ref="F40" si="119">((F39-E39)/E39)</f>
        <v>#DIV/0!</v>
      </c>
      <c r="G40" s="107" t="e">
        <f t="shared" ref="G40" si="120">((G39-F39)/F39)</f>
        <v>#DIV/0!</v>
      </c>
      <c r="H40" s="107" t="e">
        <f t="shared" ref="H40" si="121">((H39-G39)/G39)</f>
        <v>#DIV/0!</v>
      </c>
      <c r="I40" s="107" t="e">
        <f t="shared" ref="I40" si="122">((I39-H39)/H39)</f>
        <v>#DIV/0!</v>
      </c>
      <c r="J40" s="107" t="e">
        <f t="shared" ref="J40" si="123">((J39-I39)/I39)</f>
        <v>#DIV/0!</v>
      </c>
      <c r="K40" s="107" t="e">
        <f t="shared" ref="K40" si="124">((K39-J39)/J39)</f>
        <v>#DIV/0!</v>
      </c>
      <c r="L40" s="107" t="e">
        <f t="shared" ref="L40" si="125">((L39-K39)/K39)</f>
        <v>#DIV/0!</v>
      </c>
      <c r="M40" s="107" t="e">
        <f t="shared" ref="M40" si="126">((M39-L39)/L39)</f>
        <v>#DIV/0!</v>
      </c>
      <c r="N40" s="107" t="e">
        <f t="shared" ref="N40" si="127">((N39-M39)/M39)</f>
        <v>#DIV/0!</v>
      </c>
      <c r="O40" s="107" t="e">
        <f t="shared" ref="O40" si="128">((O39-N39)/N39)</f>
        <v>#DIV/0!</v>
      </c>
      <c r="P40" s="107" t="e">
        <f t="shared" ref="P40" si="129">((P39-O39)/O39)</f>
        <v>#DIV/0!</v>
      </c>
      <c r="Q40" s="107" t="e">
        <f t="shared" ref="Q40" si="130">((Q39-P39)/P39)</f>
        <v>#DIV/0!</v>
      </c>
      <c r="R40" s="107" t="e">
        <f t="shared" ref="R40" si="131">((R39-Q39)/Q39)</f>
        <v>#DIV/0!</v>
      </c>
    </row>
    <row r="41" spans="2:18" x14ac:dyDescent="0.25">
      <c r="B41" s="11"/>
      <c r="C41" s="69"/>
      <c r="D41" s="69"/>
      <c r="E41" s="69"/>
      <c r="F41" s="69"/>
      <c r="G41" s="69"/>
      <c r="H41" s="69"/>
      <c r="I41" s="69"/>
      <c r="J41" s="69"/>
      <c r="K41" s="69"/>
      <c r="L41" s="69"/>
      <c r="M41" s="69"/>
      <c r="N41" s="69"/>
      <c r="O41" s="69"/>
      <c r="P41" s="69"/>
      <c r="Q41" s="69"/>
      <c r="R41" s="69"/>
    </row>
    <row r="42" spans="2:18" x14ac:dyDescent="0.25">
      <c r="B42" s="105" t="s">
        <v>127</v>
      </c>
      <c r="C42" s="106"/>
      <c r="D42" s="254" cm="1">
        <f t="array" ref="D42">SUM(IF(MOD(ROW(D12:D40)-ROW(D12),3)=0, IFERROR(D12:D40, 0)))</f>
        <v>0</v>
      </c>
      <c r="E42" s="254" cm="1">
        <f t="array" ref="E42">SUM(IF(MOD(ROW(E12:E40)-ROW(E12),3)=0, IFERROR(E12:E40, 0)))</f>
        <v>0</v>
      </c>
      <c r="F42" s="254" cm="1">
        <f t="array" ref="F42">SUM(IF(MOD(ROW(F12:F40)-ROW(F12),3)=0, IFERROR(F12:F40, 0)))</f>
        <v>0</v>
      </c>
      <c r="G42" s="254" cm="1">
        <f t="array" ref="G42">SUM(IF(MOD(ROW(G12:G40)-ROW(G12),3)=0, IFERROR(G12:G40, 0)))</f>
        <v>0</v>
      </c>
      <c r="H42" s="254" cm="1">
        <f t="array" ref="H42">SUM(IF(MOD(ROW(H12:H40)-ROW(H12),3)=0, IFERROR(H12:H40, 0)))</f>
        <v>0</v>
      </c>
      <c r="I42" s="254" cm="1">
        <f t="array" ref="I42">SUM(IF(MOD(ROW(I12:I40)-ROW(I12),3)=0, IFERROR(I12:I40, 0)))</f>
        <v>0</v>
      </c>
      <c r="J42" s="254" cm="1">
        <f t="array" ref="J42">SUM(IF(MOD(ROW(J12:J40)-ROW(J12),3)=0, IFERROR(J12:J40, 0)))</f>
        <v>0</v>
      </c>
      <c r="K42" s="254" cm="1">
        <f t="array" ref="K42">SUM(IF(MOD(ROW(K12:K40)-ROW(K12),3)=0, IFERROR(K12:K40, 0)))</f>
        <v>0</v>
      </c>
      <c r="L42" s="254" cm="1">
        <f t="array" ref="L42">SUM(IF(MOD(ROW(L12:L40)-ROW(L12),3)=0, IFERROR(L12:L40, 0)))</f>
        <v>0</v>
      </c>
      <c r="M42" s="254" cm="1">
        <f t="array" ref="M42">SUM(IF(MOD(ROW(M12:M40)-ROW(M12),3)=0, IFERROR(M12:M40, 0)))</f>
        <v>0</v>
      </c>
      <c r="N42" s="254" cm="1">
        <f t="array" ref="N42">SUM(IF(MOD(ROW(N12:N40)-ROW(N12),3)=0, IFERROR(N12:N40, 0)))</f>
        <v>0</v>
      </c>
      <c r="O42" s="254" cm="1">
        <f t="array" ref="O42">SUM(IF(MOD(ROW(O12:O40)-ROW(O12),3)=0, IFERROR(O12:O40, 0)))</f>
        <v>0</v>
      </c>
      <c r="P42" s="254" cm="1">
        <f t="array" ref="P42">SUM(IF(MOD(ROW(P12:P40)-ROW(P12),3)=0, IFERROR(P12:P40, 0)))</f>
        <v>0</v>
      </c>
      <c r="Q42" s="254" cm="1">
        <f t="array" ref="Q42">SUM(IF(MOD(ROW(Q12:Q40)-ROW(Q12),3)=0, IFERROR(Q12:Q40, 0)))</f>
        <v>0</v>
      </c>
      <c r="R42" s="254" cm="1">
        <f t="array" ref="R42">SUM(IF(MOD(ROW(R12:R40)-ROW(R12),3)=0, IFERROR(R12:R40, 0)))</f>
        <v>0</v>
      </c>
    </row>
    <row r="43" spans="2:18" x14ac:dyDescent="0.25">
      <c r="B43" s="11" t="s">
        <v>89</v>
      </c>
      <c r="C43" s="69"/>
      <c r="D43" s="107" t="s">
        <v>90</v>
      </c>
      <c r="E43" s="107" t="e">
        <f>((E42-D42)/D42)</f>
        <v>#DIV/0!</v>
      </c>
      <c r="F43" s="107" t="e">
        <f t="shared" ref="F43" si="132">((F42-E42)/E42)</f>
        <v>#DIV/0!</v>
      </c>
      <c r="G43" s="107" t="e">
        <f t="shared" ref="G43" si="133">((G42-F42)/F42)</f>
        <v>#DIV/0!</v>
      </c>
      <c r="H43" s="107" t="e">
        <f t="shared" ref="H43" si="134">((H42-G42)/G42)</f>
        <v>#DIV/0!</v>
      </c>
      <c r="I43" s="107" t="e">
        <f t="shared" ref="I43" si="135">((I42-H42)/H42)</f>
        <v>#DIV/0!</v>
      </c>
      <c r="J43" s="107" t="e">
        <f t="shared" ref="J43" si="136">((J42-I42)/I42)</f>
        <v>#DIV/0!</v>
      </c>
      <c r="K43" s="107" t="e">
        <f t="shared" ref="K43" si="137">((K42-J42)/J42)</f>
        <v>#DIV/0!</v>
      </c>
      <c r="L43" s="107" t="e">
        <f t="shared" ref="L43" si="138">((L42-K42)/K42)</f>
        <v>#DIV/0!</v>
      </c>
      <c r="M43" s="107" t="e">
        <f t="shared" ref="M43" si="139">((M42-L42)/L42)</f>
        <v>#DIV/0!</v>
      </c>
      <c r="N43" s="107" t="e">
        <f t="shared" ref="N43" si="140">((N42-M42)/M42)</f>
        <v>#DIV/0!</v>
      </c>
      <c r="O43" s="107" t="e">
        <f t="shared" ref="O43" si="141">((O42-N42)/N42)</f>
        <v>#DIV/0!</v>
      </c>
      <c r="P43" s="107" t="e">
        <f t="shared" ref="P43" si="142">((P42-O42)/O42)</f>
        <v>#DIV/0!</v>
      </c>
      <c r="Q43" s="107" t="e">
        <f t="shared" ref="Q43" si="143">((Q42-P42)/P42)</f>
        <v>#DIV/0!</v>
      </c>
      <c r="R43" s="107" t="e">
        <f t="shared" ref="R43" si="144">((R42-Q42)/Q42)</f>
        <v>#DIV/0!</v>
      </c>
    </row>
    <row r="44" spans="2:18" x14ac:dyDescent="0.25">
      <c r="B44" s="11"/>
      <c r="C44" s="69"/>
      <c r="D44" s="107"/>
      <c r="E44" s="107"/>
      <c r="F44" s="107"/>
      <c r="G44" s="107"/>
      <c r="H44" s="107"/>
      <c r="I44" s="107"/>
      <c r="J44" s="107"/>
      <c r="K44" s="107"/>
      <c r="L44" s="107"/>
      <c r="M44" s="107"/>
      <c r="N44" s="107"/>
      <c r="O44" s="107"/>
      <c r="P44" s="107"/>
      <c r="Q44" s="107"/>
      <c r="R44" s="107"/>
    </row>
    <row r="45" spans="2:18" x14ac:dyDescent="0.25">
      <c r="C45" s="69"/>
      <c r="D45" s="69"/>
      <c r="E45" s="69"/>
      <c r="F45" s="69"/>
      <c r="G45" s="69"/>
      <c r="H45" s="69"/>
      <c r="I45" s="69"/>
      <c r="J45" s="69"/>
      <c r="K45" s="69"/>
      <c r="L45" s="69"/>
      <c r="M45" s="69"/>
      <c r="N45" s="69"/>
      <c r="O45" s="69"/>
      <c r="P45" s="69"/>
      <c r="Q45" s="69"/>
      <c r="R45" s="69"/>
    </row>
    <row r="46" spans="2:18" x14ac:dyDescent="0.25">
      <c r="B46" s="10" t="s">
        <v>138</v>
      </c>
      <c r="C46" s="69"/>
      <c r="D46" s="69"/>
      <c r="E46" s="69"/>
      <c r="F46" s="69"/>
      <c r="G46" s="69"/>
      <c r="H46" s="69"/>
      <c r="I46" s="69"/>
      <c r="J46" s="69"/>
      <c r="K46" s="69"/>
      <c r="L46" s="69"/>
      <c r="M46" s="69"/>
      <c r="N46" s="69"/>
      <c r="O46" s="69"/>
      <c r="P46" s="69"/>
      <c r="Q46" s="69"/>
      <c r="R46" s="69"/>
    </row>
    <row r="47" spans="2:18" x14ac:dyDescent="0.25">
      <c r="C47" s="69"/>
      <c r="D47" s="69"/>
      <c r="E47" s="69"/>
      <c r="F47" s="69"/>
      <c r="G47" s="69"/>
      <c r="H47" s="69"/>
      <c r="I47" s="69"/>
      <c r="J47" s="69"/>
      <c r="K47" s="69"/>
      <c r="L47" s="69"/>
      <c r="M47" s="69"/>
      <c r="N47" s="69"/>
      <c r="O47" s="69"/>
      <c r="P47" s="69"/>
      <c r="Q47" s="69"/>
      <c r="R47" s="69"/>
    </row>
    <row r="48" spans="2:18" x14ac:dyDescent="0.25">
      <c r="B48" t="s">
        <v>139</v>
      </c>
      <c r="C48" s="69"/>
      <c r="D48" s="255"/>
      <c r="E48" s="255"/>
      <c r="F48" s="255"/>
      <c r="G48" s="255"/>
      <c r="H48" s="255"/>
      <c r="I48" s="256" t="e">
        <f ca="1">I$42*Historicals!I29</f>
        <v>#DIV/0!</v>
      </c>
      <c r="J48" s="256" t="e">
        <f ca="1">J$42*Historicals!J29</f>
        <v>#DIV/0!</v>
      </c>
      <c r="K48" s="256" t="e">
        <f ca="1">K$42*Historicals!K29</f>
        <v>#DIV/0!</v>
      </c>
      <c r="L48" s="256" t="e">
        <f ca="1">L$42*Historicals!L29</f>
        <v>#DIV/0!</v>
      </c>
      <c r="M48" s="256" t="e">
        <f ca="1">M$42*Historicals!M29</f>
        <v>#DIV/0!</v>
      </c>
      <c r="N48" s="256" t="e">
        <f ca="1">N$42*Historicals!N29</f>
        <v>#DIV/0!</v>
      </c>
      <c r="O48" s="256" t="e">
        <f ca="1">O$42*Historicals!O29</f>
        <v>#DIV/0!</v>
      </c>
      <c r="P48" s="256" t="e">
        <f ca="1">P$42*Historicals!P29</f>
        <v>#DIV/0!</v>
      </c>
      <c r="Q48" s="256" t="e">
        <f ca="1">Q$42*Historicals!Q29</f>
        <v>#DIV/0!</v>
      </c>
      <c r="R48" s="256" t="e">
        <f ca="1">R$42*Historicals!R29</f>
        <v>#DIV/0!</v>
      </c>
    </row>
    <row r="49" spans="2:18" x14ac:dyDescent="0.25">
      <c r="B49" s="11" t="s">
        <v>89</v>
      </c>
      <c r="C49" s="69"/>
      <c r="D49" s="107" t="s">
        <v>90</v>
      </c>
      <c r="E49" s="107" t="e">
        <f>((E48-D48)/D48)</f>
        <v>#DIV/0!</v>
      </c>
      <c r="F49" s="107" t="e">
        <f t="shared" ref="F49" si="145">((F48-E48)/E48)</f>
        <v>#DIV/0!</v>
      </c>
      <c r="G49" s="107" t="e">
        <f t="shared" ref="G49" si="146">((G48-F48)/F48)</f>
        <v>#DIV/0!</v>
      </c>
      <c r="H49" s="107" t="e">
        <f t="shared" ref="H49" si="147">((H48-G48)/G48)</f>
        <v>#DIV/0!</v>
      </c>
      <c r="I49" s="107" t="e">
        <f t="shared" ref="I49" ca="1" si="148">((I48-H48)/H48)</f>
        <v>#DIV/0!</v>
      </c>
      <c r="J49" s="107" t="e">
        <f t="shared" ref="J49" ca="1" si="149">((J48-I48)/I48)</f>
        <v>#DIV/0!</v>
      </c>
      <c r="K49" s="107" t="e">
        <f t="shared" ref="K49" ca="1" si="150">((K48-J48)/J48)</f>
        <v>#DIV/0!</v>
      </c>
      <c r="L49" s="107" t="e">
        <f t="shared" ref="L49" ca="1" si="151">((L48-K48)/K48)</f>
        <v>#DIV/0!</v>
      </c>
      <c r="M49" s="107" t="e">
        <f ca="1">((M48-L48)/L48)</f>
        <v>#DIV/0!</v>
      </c>
      <c r="N49" s="107" t="e">
        <f t="shared" ref="N49:R49" ca="1" si="152">((N48-M48)/M48)</f>
        <v>#DIV/0!</v>
      </c>
      <c r="O49" s="107" t="e">
        <f t="shared" ca="1" si="152"/>
        <v>#DIV/0!</v>
      </c>
      <c r="P49" s="107" t="e">
        <f t="shared" ca="1" si="152"/>
        <v>#DIV/0!</v>
      </c>
      <c r="Q49" s="107" t="e">
        <f t="shared" ca="1" si="152"/>
        <v>#DIV/0!</v>
      </c>
      <c r="R49" s="107" t="e">
        <f t="shared" ca="1" si="152"/>
        <v>#DIV/0!</v>
      </c>
    </row>
    <row r="50" spans="2:18" x14ac:dyDescent="0.25">
      <c r="B50" s="11"/>
      <c r="C50" s="69"/>
      <c r="D50" s="107"/>
      <c r="E50" s="107"/>
      <c r="F50" s="107"/>
      <c r="G50" s="107"/>
      <c r="H50" s="107"/>
      <c r="I50" s="107"/>
      <c r="J50" s="107"/>
      <c r="K50" s="107"/>
      <c r="L50" s="107"/>
      <c r="M50" s="107"/>
      <c r="N50" s="107"/>
      <c r="O50" s="107"/>
      <c r="P50" s="107"/>
      <c r="Q50" s="107"/>
      <c r="R50" s="107"/>
    </row>
    <row r="51" spans="2:18" x14ac:dyDescent="0.25">
      <c r="B51" t="s">
        <v>140</v>
      </c>
      <c r="C51" s="69"/>
      <c r="D51" s="255"/>
      <c r="E51" s="255"/>
      <c r="F51" s="255"/>
      <c r="G51" s="255"/>
      <c r="H51" s="255"/>
      <c r="I51" s="256" t="e">
        <f ca="1">I$42*Historicals!I30</f>
        <v>#DIV/0!</v>
      </c>
      <c r="J51" s="256" t="e">
        <f ca="1">J$42*Historicals!J30</f>
        <v>#DIV/0!</v>
      </c>
      <c r="K51" s="256" t="e">
        <f ca="1">K$42*Historicals!K30</f>
        <v>#DIV/0!</v>
      </c>
      <c r="L51" s="256" t="e">
        <f ca="1">L$42*Historicals!L30</f>
        <v>#DIV/0!</v>
      </c>
      <c r="M51" s="256" t="e">
        <f ca="1">M$42*Historicals!M30</f>
        <v>#DIV/0!</v>
      </c>
      <c r="N51" s="256" t="e">
        <f ca="1">N$42*Historicals!N30</f>
        <v>#DIV/0!</v>
      </c>
      <c r="O51" s="256" t="e">
        <f ca="1">O$42*Historicals!O30</f>
        <v>#DIV/0!</v>
      </c>
      <c r="P51" s="256" t="e">
        <f ca="1">P$42*Historicals!P30</f>
        <v>#DIV/0!</v>
      </c>
      <c r="Q51" s="256" t="e">
        <f ca="1">Q$42*Historicals!Q30</f>
        <v>#DIV/0!</v>
      </c>
      <c r="R51" s="256" t="e">
        <f ca="1">R$42*Historicals!R30</f>
        <v>#DIV/0!</v>
      </c>
    </row>
    <row r="52" spans="2:18" x14ac:dyDescent="0.25">
      <c r="B52" s="11" t="s">
        <v>89</v>
      </c>
      <c r="C52" s="69"/>
      <c r="D52" s="107" t="s">
        <v>90</v>
      </c>
      <c r="E52" s="107" t="e">
        <f>((E51-D51)/D51)</f>
        <v>#DIV/0!</v>
      </c>
      <c r="F52" s="107" t="e">
        <f t="shared" ref="F52" si="153">((F51-E51)/E51)</f>
        <v>#DIV/0!</v>
      </c>
      <c r="G52" s="107" t="e">
        <f t="shared" ref="G52" si="154">((G51-F51)/F51)</f>
        <v>#DIV/0!</v>
      </c>
      <c r="H52" s="107" t="e">
        <f t="shared" ref="H52" si="155">((H51-G51)/G51)</f>
        <v>#DIV/0!</v>
      </c>
      <c r="I52" s="107" t="e">
        <f t="shared" ref="I52" ca="1" si="156">((I51-H51)/H51)</f>
        <v>#DIV/0!</v>
      </c>
      <c r="J52" s="107" t="e">
        <f t="shared" ref="J52" ca="1" si="157">((J51-I51)/I51)</f>
        <v>#DIV/0!</v>
      </c>
      <c r="K52" s="107" t="e">
        <f t="shared" ref="K52" ca="1" si="158">((K51-J51)/J51)</f>
        <v>#DIV/0!</v>
      </c>
      <c r="L52" s="107" t="e">
        <f t="shared" ref="L52" ca="1" si="159">((L51-K51)/K51)</f>
        <v>#DIV/0!</v>
      </c>
      <c r="M52" s="107" t="e">
        <f t="shared" ref="M52" ca="1" si="160">((M51-L51)/L51)</f>
        <v>#DIV/0!</v>
      </c>
      <c r="N52" s="107" t="e">
        <f t="shared" ref="N52" ca="1" si="161">((N51-M51)/M51)</f>
        <v>#DIV/0!</v>
      </c>
      <c r="O52" s="107" t="e">
        <f t="shared" ref="O52" ca="1" si="162">((O51-N51)/N51)</f>
        <v>#DIV/0!</v>
      </c>
      <c r="P52" s="107" t="e">
        <f t="shared" ref="P52" ca="1" si="163">((P51-O51)/O51)</f>
        <v>#DIV/0!</v>
      </c>
      <c r="Q52" s="107" t="e">
        <f t="shared" ref="Q52" ca="1" si="164">((Q51-P51)/P51)</f>
        <v>#DIV/0!</v>
      </c>
      <c r="R52" s="107" t="e">
        <f t="shared" ref="R52" ca="1" si="165">((R51-Q51)/Q51)</f>
        <v>#DIV/0!</v>
      </c>
    </row>
    <row r="53" spans="2:18" x14ac:dyDescent="0.25">
      <c r="B53" s="11"/>
      <c r="C53" s="69"/>
      <c r="D53" s="107"/>
      <c r="E53" s="107"/>
      <c r="F53" s="107"/>
      <c r="G53" s="107"/>
      <c r="H53" s="107"/>
      <c r="I53" s="107"/>
      <c r="J53" s="107"/>
      <c r="K53" s="107"/>
      <c r="L53" s="107"/>
      <c r="M53" s="107"/>
      <c r="N53" s="107"/>
      <c r="O53" s="107"/>
      <c r="P53" s="107"/>
      <c r="Q53" s="107"/>
      <c r="R53" s="107"/>
    </row>
    <row r="54" spans="2:18" x14ac:dyDescent="0.25">
      <c r="B54" s="105" t="s">
        <v>138</v>
      </c>
      <c r="C54" s="106"/>
      <c r="D54" s="254">
        <f>D48+D51</f>
        <v>0</v>
      </c>
      <c r="E54" s="254">
        <f t="shared" ref="E54:M54" si="166">E48+E51</f>
        <v>0</v>
      </c>
      <c r="F54" s="254">
        <f>F48+F51</f>
        <v>0</v>
      </c>
      <c r="G54" s="254">
        <f t="shared" si="166"/>
        <v>0</v>
      </c>
      <c r="H54" s="254">
        <f t="shared" si="166"/>
        <v>0</v>
      </c>
      <c r="I54" s="254" t="e">
        <f t="shared" ca="1" si="166"/>
        <v>#DIV/0!</v>
      </c>
      <c r="J54" s="254" t="e">
        <f t="shared" ca="1" si="166"/>
        <v>#DIV/0!</v>
      </c>
      <c r="K54" s="254" t="e">
        <f t="shared" ca="1" si="166"/>
        <v>#DIV/0!</v>
      </c>
      <c r="L54" s="254" t="e">
        <f t="shared" ca="1" si="166"/>
        <v>#DIV/0!</v>
      </c>
      <c r="M54" s="254" t="e">
        <f t="shared" ca="1" si="166"/>
        <v>#DIV/0!</v>
      </c>
      <c r="N54" s="254" t="e">
        <f t="shared" ref="N54:R54" ca="1" si="167">N48+N51</f>
        <v>#DIV/0!</v>
      </c>
      <c r="O54" s="254" t="e">
        <f t="shared" ca="1" si="167"/>
        <v>#DIV/0!</v>
      </c>
      <c r="P54" s="254" t="e">
        <f t="shared" ca="1" si="167"/>
        <v>#DIV/0!</v>
      </c>
      <c r="Q54" s="254" t="e">
        <f t="shared" ca="1" si="167"/>
        <v>#DIV/0!</v>
      </c>
      <c r="R54" s="254" t="e">
        <f t="shared" ca="1" si="167"/>
        <v>#DIV/0!</v>
      </c>
    </row>
    <row r="55" spans="2:18" x14ac:dyDescent="0.25">
      <c r="B55" s="11" t="s">
        <v>89</v>
      </c>
      <c r="C55" s="69"/>
      <c r="D55" s="107" t="s">
        <v>90</v>
      </c>
      <c r="E55" s="107" t="e">
        <f>((E54-D54)/D54)</f>
        <v>#DIV/0!</v>
      </c>
      <c r="F55" s="107" t="e">
        <f t="shared" ref="F55" si="168">((F54-E54)/E54)</f>
        <v>#DIV/0!</v>
      </c>
      <c r="G55" s="107" t="e">
        <f t="shared" ref="G55" si="169">((G54-F54)/F54)</f>
        <v>#DIV/0!</v>
      </c>
      <c r="H55" s="107" t="e">
        <f t="shared" ref="H55" si="170">((H54-G54)/G54)</f>
        <v>#DIV/0!</v>
      </c>
      <c r="I55" s="107" t="e">
        <f t="shared" ref="I55" ca="1" si="171">((I54-H54)/H54)</f>
        <v>#DIV/0!</v>
      </c>
      <c r="J55" s="107" t="e">
        <f t="shared" ref="J55" ca="1" si="172">((J54-I54)/I54)</f>
        <v>#DIV/0!</v>
      </c>
      <c r="K55" s="107" t="e">
        <f t="shared" ref="K55" ca="1" si="173">((K54-J54)/J54)</f>
        <v>#DIV/0!</v>
      </c>
      <c r="L55" s="107" t="e">
        <f t="shared" ref="L55" ca="1" si="174">((L54-K54)/K54)</f>
        <v>#DIV/0!</v>
      </c>
      <c r="M55" s="107" t="e">
        <f t="shared" ref="M55" ca="1" si="175">((M54-L54)/L54)</f>
        <v>#DIV/0!</v>
      </c>
      <c r="N55" s="107" t="e">
        <f t="shared" ref="N55" ca="1" si="176">((N54-M54)/M54)</f>
        <v>#DIV/0!</v>
      </c>
      <c r="O55" s="107" t="e">
        <f t="shared" ref="O55" ca="1" si="177">((O54-N54)/N54)</f>
        <v>#DIV/0!</v>
      </c>
      <c r="P55" s="107" t="e">
        <f t="shared" ref="P55" ca="1" si="178">((P54-O54)/O54)</f>
        <v>#DIV/0!</v>
      </c>
      <c r="Q55" s="107" t="e">
        <f t="shared" ref="Q55" ca="1" si="179">((Q54-P54)/P54)</f>
        <v>#DIV/0!</v>
      </c>
      <c r="R55" s="107" t="e">
        <f t="shared" ref="R55" ca="1" si="180">((R54-Q54)/Q54)</f>
        <v>#DIV/0!</v>
      </c>
    </row>
    <row r="56" spans="2:18" x14ac:dyDescent="0.25">
      <c r="B56" s="11"/>
      <c r="C56" s="69"/>
      <c r="D56" s="107"/>
      <c r="E56" s="107"/>
      <c r="F56" s="107"/>
      <c r="G56" s="107"/>
      <c r="H56" s="107"/>
      <c r="I56" s="107"/>
      <c r="J56" s="107"/>
      <c r="K56" s="107"/>
      <c r="L56" s="107"/>
      <c r="M56" s="107"/>
      <c r="N56" s="107"/>
      <c r="O56" s="107"/>
      <c r="P56" s="107"/>
      <c r="Q56" s="107"/>
      <c r="R56" s="107"/>
    </row>
    <row r="57" spans="2:18" x14ac:dyDescent="0.25">
      <c r="B57" s="10" t="s">
        <v>141</v>
      </c>
      <c r="C57" s="69"/>
      <c r="D57" s="69"/>
      <c r="E57" s="69"/>
      <c r="F57" s="69"/>
      <c r="G57" s="69"/>
      <c r="H57" s="69"/>
      <c r="I57" s="69"/>
      <c r="J57" s="69"/>
      <c r="K57" s="69"/>
      <c r="L57" s="69"/>
      <c r="M57" s="69"/>
      <c r="N57" s="69"/>
      <c r="O57" s="69"/>
      <c r="P57" s="69"/>
      <c r="Q57" s="69"/>
      <c r="R57" s="69"/>
    </row>
    <row r="58" spans="2:18" x14ac:dyDescent="0.25">
      <c r="C58" s="69"/>
      <c r="D58" s="69"/>
      <c r="E58" s="69"/>
      <c r="F58" s="69"/>
      <c r="G58" s="69"/>
      <c r="H58" s="69"/>
      <c r="I58" s="69"/>
      <c r="J58" s="69"/>
      <c r="K58" s="69"/>
      <c r="L58" s="69"/>
      <c r="M58" s="69"/>
      <c r="N58" s="69"/>
      <c r="O58" s="69"/>
      <c r="P58" s="69"/>
      <c r="Q58" s="69"/>
      <c r="R58" s="69"/>
    </row>
    <row r="59" spans="2:18" ht="15" customHeight="1" x14ac:dyDescent="0.25">
      <c r="B59" t="s">
        <v>142</v>
      </c>
      <c r="C59" s="69"/>
      <c r="D59" s="255"/>
      <c r="E59" s="255"/>
      <c r="F59" s="255"/>
      <c r="G59" s="255"/>
      <c r="H59" s="255"/>
      <c r="I59" s="284" t="e">
        <f ca="1">IF(RSQ(Historicals!D37:H37,Historicals!D$8:H$8)&gt;0.5, (((SLOPE(Historicals!D37:H37,Historicals!D$8:H$8)*Operating_Model!I$42*RSQ(Historicals!D37:H37,Historicals!D$8:H$8)+Operating_Model!H59)+(1-RSQ(Historicals!D37:H37,Historicals!D$8:H$8))*AVERAGE(Historicals!D37:H37))), AVERAGE(Historicals!D37:H37)*Operating_Model!I$42)</f>
        <v>#DIV/0!</v>
      </c>
      <c r="J59" s="257" t="e">
        <f ca="1">I59*(1+DCF!$C$12)</f>
        <v>#DIV/0!</v>
      </c>
      <c r="K59" s="256" t="e">
        <f ca="1">J59*(1+DCF!$C$12)</f>
        <v>#DIV/0!</v>
      </c>
      <c r="L59" s="256" t="e">
        <f ca="1">K59*(1+DCF!$C$12)</f>
        <v>#DIV/0!</v>
      </c>
      <c r="M59" s="256" t="e">
        <f ca="1">L59*(1+DCF!$C$12)</f>
        <v>#DIV/0!</v>
      </c>
      <c r="N59" s="256" t="e">
        <f ca="1">M59*(1+DCF!$C$12)</f>
        <v>#DIV/0!</v>
      </c>
      <c r="O59" s="256" t="e">
        <f ca="1">N59*(1+DCF!$C$12)</f>
        <v>#DIV/0!</v>
      </c>
      <c r="P59" s="256" t="e">
        <f ca="1">O59*(1+DCF!$C$12)</f>
        <v>#DIV/0!</v>
      </c>
      <c r="Q59" s="256" t="e">
        <f ca="1">P59*(1+DCF!$C$12)</f>
        <v>#DIV/0!</v>
      </c>
      <c r="R59" s="256" t="e">
        <f ca="1">Q59*(1+DCF!$C$12)</f>
        <v>#DIV/0!</v>
      </c>
    </row>
    <row r="60" spans="2:18" x14ac:dyDescent="0.25">
      <c r="B60" s="11" t="s">
        <v>89</v>
      </c>
      <c r="C60" s="69"/>
      <c r="D60" s="107" t="s">
        <v>90</v>
      </c>
      <c r="E60" s="107" t="e">
        <f>((E59-D59)/D59)</f>
        <v>#DIV/0!</v>
      </c>
      <c r="F60" s="107" t="e">
        <f t="shared" ref="F60" si="181">((F59-E59)/E59)</f>
        <v>#DIV/0!</v>
      </c>
      <c r="G60" s="107" t="e">
        <f t="shared" ref="G60" si="182">((G59-F59)/F59)</f>
        <v>#DIV/0!</v>
      </c>
      <c r="H60" s="107" t="e">
        <f t="shared" ref="H60" si="183">((H59-G59)/G59)</f>
        <v>#DIV/0!</v>
      </c>
      <c r="I60" s="321" t="e">
        <f t="shared" ref="I60:J60" ca="1" si="184">((I59-H59)/H59)</f>
        <v>#DIV/0!</v>
      </c>
      <c r="J60" s="107" t="e">
        <f t="shared" ca="1" si="184"/>
        <v>#DIV/0!</v>
      </c>
      <c r="K60" s="107" t="e">
        <f t="shared" ref="K60" ca="1" si="185">((K59-J59)/J59)</f>
        <v>#DIV/0!</v>
      </c>
      <c r="L60" s="107" t="e">
        <f t="shared" ref="L60" ca="1" si="186">((L59-K59)/K59)</f>
        <v>#DIV/0!</v>
      </c>
      <c r="M60" s="107" t="e">
        <f ca="1">((M59-L59)/L59)</f>
        <v>#DIV/0!</v>
      </c>
      <c r="N60" s="107" t="e">
        <f t="shared" ref="N60:R60" ca="1" si="187">((N59-M59)/M59)</f>
        <v>#DIV/0!</v>
      </c>
      <c r="O60" s="107" t="e">
        <f t="shared" ca="1" si="187"/>
        <v>#DIV/0!</v>
      </c>
      <c r="P60" s="107" t="e">
        <f t="shared" ca="1" si="187"/>
        <v>#DIV/0!</v>
      </c>
      <c r="Q60" s="107" t="e">
        <f t="shared" ca="1" si="187"/>
        <v>#DIV/0!</v>
      </c>
      <c r="R60" s="107" t="e">
        <f t="shared" ca="1" si="187"/>
        <v>#DIV/0!</v>
      </c>
    </row>
    <row r="61" spans="2:18" x14ac:dyDescent="0.25">
      <c r="B61" s="11"/>
      <c r="C61" s="69"/>
      <c r="D61" s="107"/>
      <c r="E61" s="107"/>
      <c r="F61" s="107"/>
      <c r="G61" s="107"/>
      <c r="H61" s="107"/>
      <c r="I61" s="284"/>
      <c r="J61" s="107"/>
      <c r="K61" s="107"/>
      <c r="L61" s="107"/>
      <c r="M61" s="107"/>
      <c r="N61" s="107"/>
      <c r="O61" s="107"/>
      <c r="P61" s="107"/>
      <c r="Q61" s="107"/>
      <c r="R61" s="107"/>
    </row>
    <row r="62" spans="2:18" ht="15" customHeight="1" x14ac:dyDescent="0.25">
      <c r="B62" s="89" t="s">
        <v>404</v>
      </c>
      <c r="C62" s="69"/>
      <c r="D62" s="255"/>
      <c r="E62" s="255"/>
      <c r="F62" s="255"/>
      <c r="G62" s="255"/>
      <c r="H62" s="255"/>
      <c r="I62" s="284" t="e">
        <f ca="1">IF(RSQ(Historicals!D38:H38,Historicals!D$8:H$8)&gt;0.5, (((SLOPE(Historicals!D38:H38,Historicals!D$8:H$8)*Operating_Model!I$42*RSQ(Historicals!D38:H38,Historicals!D$8:H$8)+Operating_Model!H62)+(1-RSQ(Historicals!D38:H38,Historicals!D$8:H$8))*AVERAGE(Historicals!D38:H38))), AVERAGE(Historicals!D38:H38)*Operating_Model!I$42)</f>
        <v>#DIV/0!</v>
      </c>
      <c r="J62" s="256" t="e">
        <f ca="1">I62*(1+DCF!$C$12)</f>
        <v>#DIV/0!</v>
      </c>
      <c r="K62" s="256" t="e">
        <f ca="1">J62*(1+DCF!$C$12)</f>
        <v>#DIV/0!</v>
      </c>
      <c r="L62" s="256" t="e">
        <f ca="1">K62*(1+DCF!$C$12)</f>
        <v>#DIV/0!</v>
      </c>
      <c r="M62" s="256" t="e">
        <f ca="1">L62*(1+DCF!$C$12)</f>
        <v>#DIV/0!</v>
      </c>
      <c r="N62" s="256" t="e">
        <f ca="1">M62*(1+DCF!$C$12)</f>
        <v>#DIV/0!</v>
      </c>
      <c r="O62" s="256" t="e">
        <f ca="1">N62*(1+DCF!$C$12)</f>
        <v>#DIV/0!</v>
      </c>
      <c r="P62" s="256" t="e">
        <f ca="1">O62*(1+DCF!$C$12)</f>
        <v>#DIV/0!</v>
      </c>
      <c r="Q62" s="256" t="e">
        <f ca="1">P62*(1+DCF!$C$12)</f>
        <v>#DIV/0!</v>
      </c>
      <c r="R62" s="256" t="e">
        <f ca="1">Q62*(1+DCF!$C$12)</f>
        <v>#DIV/0!</v>
      </c>
    </row>
    <row r="63" spans="2:18" x14ac:dyDescent="0.25">
      <c r="B63" s="11" t="s">
        <v>89</v>
      </c>
      <c r="C63" s="69"/>
      <c r="D63" s="107" t="s">
        <v>90</v>
      </c>
      <c r="E63" s="107" t="e">
        <f>((E62-D62)/D62)</f>
        <v>#DIV/0!</v>
      </c>
      <c r="F63" s="107" t="e">
        <f t="shared" ref="F63" si="188">((F62-E62)/E62)</f>
        <v>#DIV/0!</v>
      </c>
      <c r="G63" s="107" t="e">
        <f t="shared" ref="G63" si="189">((G62-F62)/F62)</f>
        <v>#DIV/0!</v>
      </c>
      <c r="H63" s="107" t="e">
        <f t="shared" ref="H63" si="190">((H62-G62)/G62)</f>
        <v>#DIV/0!</v>
      </c>
      <c r="I63" s="107" t="e">
        <f t="shared" ref="I63" ca="1" si="191">((I62-H62)/H62)</f>
        <v>#DIV/0!</v>
      </c>
      <c r="J63" s="107" t="e">
        <f t="shared" ref="J63" ca="1" si="192">((J62-I62)/I62)</f>
        <v>#DIV/0!</v>
      </c>
      <c r="K63" s="107" t="e">
        <f t="shared" ref="K63" ca="1" si="193">((K62-J62)/J62)</f>
        <v>#DIV/0!</v>
      </c>
      <c r="L63" s="107" t="e">
        <f t="shared" ref="L63" ca="1" si="194">((L62-K62)/K62)</f>
        <v>#DIV/0!</v>
      </c>
      <c r="M63" s="107" t="e">
        <f t="shared" ref="M63" ca="1" si="195">((M62-L62)/L62)</f>
        <v>#DIV/0!</v>
      </c>
      <c r="N63" s="107" t="e">
        <f t="shared" ref="N63" ca="1" si="196">((N62-M62)/M62)</f>
        <v>#DIV/0!</v>
      </c>
      <c r="O63" s="107" t="e">
        <f t="shared" ref="O63" ca="1" si="197">((O62-N62)/N62)</f>
        <v>#DIV/0!</v>
      </c>
      <c r="P63" s="107" t="e">
        <f t="shared" ref="P63" ca="1" si="198">((P62-O62)/O62)</f>
        <v>#DIV/0!</v>
      </c>
      <c r="Q63" s="107" t="e">
        <f t="shared" ref="Q63" ca="1" si="199">((Q62-P62)/P62)</f>
        <v>#DIV/0!</v>
      </c>
      <c r="R63" s="107" t="e">
        <f t="shared" ref="R63" ca="1" si="200">((R62-Q62)/Q62)</f>
        <v>#DIV/0!</v>
      </c>
    </row>
    <row r="64" spans="2:18" x14ac:dyDescent="0.25">
      <c r="B64" s="11"/>
      <c r="C64" s="69"/>
      <c r="D64" s="107"/>
      <c r="E64" s="107"/>
      <c r="F64" s="107"/>
      <c r="G64" s="107"/>
      <c r="H64" s="107"/>
      <c r="I64" s="107"/>
      <c r="J64" s="107"/>
      <c r="K64" s="107"/>
      <c r="L64" s="107"/>
      <c r="M64" s="107"/>
      <c r="N64" s="107"/>
      <c r="O64" s="107"/>
      <c r="P64" s="107"/>
      <c r="Q64" s="107"/>
      <c r="R64" s="107"/>
    </row>
    <row r="65" spans="2:20" ht="15" customHeight="1" x14ac:dyDescent="0.25">
      <c r="B65" t="s">
        <v>143</v>
      </c>
      <c r="C65" s="69"/>
      <c r="D65" s="255"/>
      <c r="E65" s="255"/>
      <c r="F65" s="255"/>
      <c r="G65" s="255"/>
      <c r="H65" s="263"/>
      <c r="I65" s="256" t="e">
        <f>(AVERAGE(Historicals!D39:H39)*I$42*(1+DCF!$C$12))</f>
        <v>#DIV/0!</v>
      </c>
      <c r="J65" s="256" t="e">
        <f>I65*(1+DCF!$C$12)</f>
        <v>#DIV/0!</v>
      </c>
      <c r="K65" s="256" t="e">
        <f>J65*(1+DCF!$C$12)</f>
        <v>#DIV/0!</v>
      </c>
      <c r="L65" s="256" t="e">
        <f>K65*(1+DCF!$C$12)</f>
        <v>#DIV/0!</v>
      </c>
      <c r="M65" s="256" t="e">
        <f>L65*(1+DCF!$C$12)</f>
        <v>#DIV/0!</v>
      </c>
      <c r="N65" s="256" t="e">
        <f>M65*(1+DCF!$C$12)</f>
        <v>#DIV/0!</v>
      </c>
      <c r="O65" s="256" t="e">
        <f>N65*(1+DCF!$C$12)</f>
        <v>#DIV/0!</v>
      </c>
      <c r="P65" s="256" t="e">
        <f>O65*(1+DCF!$C$12)</f>
        <v>#DIV/0!</v>
      </c>
      <c r="Q65" s="256" t="e">
        <f>P65*(1+DCF!$C$12)</f>
        <v>#DIV/0!</v>
      </c>
      <c r="R65" s="256" t="e">
        <f>Q65*(1+DCF!$C$12)</f>
        <v>#DIV/0!</v>
      </c>
    </row>
    <row r="66" spans="2:20" x14ac:dyDescent="0.25">
      <c r="B66" s="11" t="s">
        <v>89</v>
      </c>
      <c r="C66" s="69"/>
      <c r="D66" s="107" t="s">
        <v>90</v>
      </c>
      <c r="E66" s="107" t="e">
        <f>((E65-D65)/D65)</f>
        <v>#DIV/0!</v>
      </c>
      <c r="F66" s="107" t="e">
        <f t="shared" ref="F66" si="201">((F65-E65)/E65)</f>
        <v>#DIV/0!</v>
      </c>
      <c r="G66" s="107" t="e">
        <f t="shared" ref="G66" si="202">((G65-F65)/F65)</f>
        <v>#DIV/0!</v>
      </c>
      <c r="H66" s="107" t="e">
        <f t="shared" ref="H66" si="203">((H65-G65)/G65)</f>
        <v>#DIV/0!</v>
      </c>
      <c r="I66" s="107" t="e">
        <f t="shared" ref="I66" si="204">((I65-H65)/H65)</f>
        <v>#DIV/0!</v>
      </c>
      <c r="J66" s="107" t="e">
        <f t="shared" ref="J66" si="205">((J65-I65)/I65)</f>
        <v>#DIV/0!</v>
      </c>
      <c r="K66" s="107" t="e">
        <f t="shared" ref="K66" si="206">((K65-J65)/J65)</f>
        <v>#DIV/0!</v>
      </c>
      <c r="L66" s="107" t="e">
        <f t="shared" ref="L66" si="207">((L65-K65)/K65)</f>
        <v>#DIV/0!</v>
      </c>
      <c r="M66" s="107" t="e">
        <f>((M65-L65)/L65)</f>
        <v>#DIV/0!</v>
      </c>
      <c r="N66" s="107" t="e">
        <f t="shared" ref="N66:R66" si="208">((N65-M65)/M65)</f>
        <v>#DIV/0!</v>
      </c>
      <c r="O66" s="107" t="e">
        <f t="shared" si="208"/>
        <v>#DIV/0!</v>
      </c>
      <c r="P66" s="107" t="e">
        <f t="shared" si="208"/>
        <v>#DIV/0!</v>
      </c>
      <c r="Q66" s="107" t="e">
        <f t="shared" si="208"/>
        <v>#DIV/0!</v>
      </c>
      <c r="R66" s="107" t="e">
        <f t="shared" si="208"/>
        <v>#DIV/0!</v>
      </c>
    </row>
    <row r="67" spans="2:20" x14ac:dyDescent="0.25">
      <c r="B67" s="105" t="s">
        <v>141</v>
      </c>
      <c r="C67" s="106"/>
      <c r="D67" s="254">
        <f>D59+D62+D65</f>
        <v>0</v>
      </c>
      <c r="E67" s="254">
        <f t="shared" ref="E67:M67" si="209">E59+E62+E65</f>
        <v>0</v>
      </c>
      <c r="F67" s="254">
        <f t="shared" si="209"/>
        <v>0</v>
      </c>
      <c r="G67" s="254">
        <f t="shared" si="209"/>
        <v>0</v>
      </c>
      <c r="H67" s="254">
        <f t="shared" si="209"/>
        <v>0</v>
      </c>
      <c r="I67" s="254" t="e">
        <f t="shared" ca="1" si="209"/>
        <v>#DIV/0!</v>
      </c>
      <c r="J67" s="254" t="e">
        <f t="shared" ca="1" si="209"/>
        <v>#DIV/0!</v>
      </c>
      <c r="K67" s="254" t="e">
        <f t="shared" ca="1" si="209"/>
        <v>#DIV/0!</v>
      </c>
      <c r="L67" s="254" t="e">
        <f t="shared" ca="1" si="209"/>
        <v>#DIV/0!</v>
      </c>
      <c r="M67" s="254" t="e">
        <f t="shared" ca="1" si="209"/>
        <v>#DIV/0!</v>
      </c>
      <c r="N67" s="254" t="e">
        <f t="shared" ref="N67:R67" ca="1" si="210">N59+N62+N65</f>
        <v>#DIV/0!</v>
      </c>
      <c r="O67" s="254" t="e">
        <f t="shared" ca="1" si="210"/>
        <v>#DIV/0!</v>
      </c>
      <c r="P67" s="254" t="e">
        <f t="shared" ca="1" si="210"/>
        <v>#DIV/0!</v>
      </c>
      <c r="Q67" s="254" t="e">
        <f t="shared" ca="1" si="210"/>
        <v>#DIV/0!</v>
      </c>
      <c r="R67" s="254" t="e">
        <f t="shared" ca="1" si="210"/>
        <v>#DIV/0!</v>
      </c>
    </row>
    <row r="68" spans="2:20" x14ac:dyDescent="0.25">
      <c r="B68" s="11" t="s">
        <v>89</v>
      </c>
      <c r="C68" s="69"/>
      <c r="D68" s="107" t="s">
        <v>90</v>
      </c>
      <c r="E68" s="107" t="e">
        <f>((E67-D67)/D67)</f>
        <v>#DIV/0!</v>
      </c>
      <c r="F68" s="107" t="e">
        <f t="shared" ref="F68" si="211">((F67-E67)/E67)</f>
        <v>#DIV/0!</v>
      </c>
      <c r="G68" s="107" t="e">
        <f t="shared" ref="G68" si="212">((G67-F67)/F67)</f>
        <v>#DIV/0!</v>
      </c>
      <c r="H68" s="107" t="e">
        <f t="shared" ref="H68" si="213">((H67-G67)/G67)</f>
        <v>#DIV/0!</v>
      </c>
      <c r="I68" s="107" t="e">
        <f t="shared" ref="I68" ca="1" si="214">((I67-H67)/H67)</f>
        <v>#DIV/0!</v>
      </c>
      <c r="J68" s="107" t="e">
        <f t="shared" ref="J68" ca="1" si="215">((J67-I67)/I67)</f>
        <v>#DIV/0!</v>
      </c>
      <c r="K68" s="107" t="e">
        <f t="shared" ref="K68" ca="1" si="216">((K67-J67)/J67)</f>
        <v>#DIV/0!</v>
      </c>
      <c r="L68" s="107" t="e">
        <f t="shared" ref="L68" ca="1" si="217">((L67-K67)/K67)</f>
        <v>#DIV/0!</v>
      </c>
      <c r="M68" s="107" t="e">
        <f t="shared" ref="M68" ca="1" si="218">((M67-L67)/L67)</f>
        <v>#DIV/0!</v>
      </c>
      <c r="N68" s="107" t="e">
        <f t="shared" ref="N68" ca="1" si="219">((N67-M67)/M67)</f>
        <v>#DIV/0!</v>
      </c>
      <c r="O68" s="107" t="e">
        <f t="shared" ref="O68" ca="1" si="220">((O67-N67)/N67)</f>
        <v>#DIV/0!</v>
      </c>
      <c r="P68" s="107" t="e">
        <f t="shared" ref="P68" ca="1" si="221">((P67-O67)/O67)</f>
        <v>#DIV/0!</v>
      </c>
      <c r="Q68" s="107" t="e">
        <f t="shared" ref="Q68" ca="1" si="222">((Q67-P67)/P67)</f>
        <v>#DIV/0!</v>
      </c>
      <c r="R68" s="107" t="e">
        <f t="shared" ref="R68" ca="1" si="223">((R67-Q67)/Q67)</f>
        <v>#DIV/0!</v>
      </c>
    </row>
    <row r="69" spans="2:20" x14ac:dyDescent="0.25">
      <c r="B69" s="11"/>
      <c r="C69" s="69"/>
      <c r="D69" s="107"/>
      <c r="E69" s="107"/>
      <c r="F69" s="107"/>
      <c r="G69" s="107"/>
      <c r="H69" s="107"/>
      <c r="I69" s="107"/>
      <c r="J69" s="107"/>
      <c r="K69" s="107"/>
      <c r="L69" s="107"/>
      <c r="M69" s="107"/>
      <c r="N69" s="107"/>
      <c r="O69" s="107"/>
      <c r="P69" s="107"/>
      <c r="Q69" s="107"/>
      <c r="R69" s="107"/>
    </row>
    <row r="70" spans="2:20" x14ac:dyDescent="0.25">
      <c r="B70" s="11"/>
      <c r="C70" s="69"/>
      <c r="D70" s="107"/>
      <c r="E70" s="107"/>
      <c r="F70" s="107"/>
      <c r="G70" s="107"/>
      <c r="H70" s="107"/>
      <c r="I70" s="107"/>
      <c r="J70" s="107"/>
      <c r="K70" s="107"/>
      <c r="L70" s="107"/>
      <c r="M70" s="107"/>
      <c r="N70" s="107"/>
      <c r="O70" s="107"/>
      <c r="P70" s="107"/>
      <c r="Q70" s="107"/>
      <c r="R70" s="107"/>
    </row>
    <row r="71" spans="2:20" x14ac:dyDescent="0.25">
      <c r="B71" t="s">
        <v>144</v>
      </c>
      <c r="C71" s="69"/>
      <c r="D71" s="255"/>
      <c r="E71" s="255"/>
      <c r="F71" s="255"/>
      <c r="G71" s="255"/>
      <c r="H71" s="255"/>
      <c r="I71" s="256" t="e">
        <f t="shared" ref="I71:R71" ca="1" si="224">IF(RSQ($D71:$H71,$D7:$H7)&gt;0.5, (SLOPE($D71:$H71,D7:H7)+H71)*RSQ($D71:$H71,$D7:$H7)+(AVERAGE($D71:$H71)*(1-RSQ($D71:$H71,$D7:$H7))), AVERAGE($D71:$H71))</f>
        <v>#DIV/0!</v>
      </c>
      <c r="J71" s="256" t="e">
        <f t="shared" ca="1" si="224"/>
        <v>#DIV/0!</v>
      </c>
      <c r="K71" s="256" t="e">
        <f t="shared" ca="1" si="224"/>
        <v>#DIV/0!</v>
      </c>
      <c r="L71" s="256" t="e">
        <f t="shared" ca="1" si="224"/>
        <v>#DIV/0!</v>
      </c>
      <c r="M71" s="256" t="e">
        <f t="shared" ca="1" si="224"/>
        <v>#DIV/0!</v>
      </c>
      <c r="N71" s="256" t="e">
        <f t="shared" ca="1" si="224"/>
        <v>#DIV/0!</v>
      </c>
      <c r="O71" s="256" t="e">
        <f t="shared" ca="1" si="224"/>
        <v>#DIV/0!</v>
      </c>
      <c r="P71" s="256" t="e">
        <f t="shared" ca="1" si="224"/>
        <v>#DIV/0!</v>
      </c>
      <c r="Q71" s="256" t="e">
        <f t="shared" ca="1" si="224"/>
        <v>#DIV/0!</v>
      </c>
      <c r="R71" s="256" t="e">
        <f t="shared" ca="1" si="224"/>
        <v>#DIV/0!</v>
      </c>
      <c r="T71" s="69"/>
    </row>
    <row r="72" spans="2:20" x14ac:dyDescent="0.25">
      <c r="B72" s="105" t="s">
        <v>144</v>
      </c>
      <c r="C72" s="106"/>
      <c r="D72" s="254">
        <f>D71</f>
        <v>0</v>
      </c>
      <c r="E72" s="254">
        <f t="shared" ref="E72:M72" si="225">E71</f>
        <v>0</v>
      </c>
      <c r="F72" s="254">
        <f t="shared" si="225"/>
        <v>0</v>
      </c>
      <c r="G72" s="254">
        <f t="shared" si="225"/>
        <v>0</v>
      </c>
      <c r="H72" s="254">
        <f t="shared" si="225"/>
        <v>0</v>
      </c>
      <c r="I72" s="254" t="e">
        <f t="shared" ca="1" si="225"/>
        <v>#DIV/0!</v>
      </c>
      <c r="J72" s="254" t="e">
        <f t="shared" ca="1" si="225"/>
        <v>#DIV/0!</v>
      </c>
      <c r="K72" s="254" t="e">
        <f t="shared" ca="1" si="225"/>
        <v>#DIV/0!</v>
      </c>
      <c r="L72" s="254" t="e">
        <f t="shared" ca="1" si="225"/>
        <v>#DIV/0!</v>
      </c>
      <c r="M72" s="254" t="e">
        <f t="shared" ca="1" si="225"/>
        <v>#DIV/0!</v>
      </c>
      <c r="N72" s="254" t="e">
        <f t="shared" ref="N72:R72" ca="1" si="226">N71</f>
        <v>#DIV/0!</v>
      </c>
      <c r="O72" s="254" t="e">
        <f t="shared" ca="1" si="226"/>
        <v>#DIV/0!</v>
      </c>
      <c r="P72" s="254" t="e">
        <f t="shared" ca="1" si="226"/>
        <v>#DIV/0!</v>
      </c>
      <c r="Q72" s="254" t="e">
        <f t="shared" ca="1" si="226"/>
        <v>#DIV/0!</v>
      </c>
      <c r="R72" s="254" t="e">
        <f t="shared" ca="1" si="226"/>
        <v>#DIV/0!</v>
      </c>
    </row>
    <row r="73" spans="2:20" x14ac:dyDescent="0.25">
      <c r="B73" s="11" t="s">
        <v>89</v>
      </c>
      <c r="D73" s="107" t="s">
        <v>90</v>
      </c>
      <c r="E73" s="107" t="e">
        <f>((E72-D72)/D72)</f>
        <v>#DIV/0!</v>
      </c>
      <c r="F73" s="107" t="e">
        <f t="shared" ref="F73" si="227">((F72-E72)/E72)</f>
        <v>#DIV/0!</v>
      </c>
      <c r="G73" s="107" t="e">
        <f t="shared" ref="G73" si="228">((G72-F72)/F72)</f>
        <v>#DIV/0!</v>
      </c>
      <c r="H73" s="107" t="e">
        <f t="shared" ref="H73" si="229">((H72-G72)/G72)</f>
        <v>#DIV/0!</v>
      </c>
      <c r="I73" s="107" t="e">
        <f t="shared" ref="I73" ca="1" si="230">((I72-H72)/H72)</f>
        <v>#DIV/0!</v>
      </c>
      <c r="J73" s="107" t="e">
        <f t="shared" ref="J73" ca="1" si="231">((J72-I72)/I72)</f>
        <v>#DIV/0!</v>
      </c>
      <c r="K73" s="107" t="e">
        <f t="shared" ref="K73" ca="1" si="232">((K72-J72)/J72)</f>
        <v>#DIV/0!</v>
      </c>
      <c r="L73" s="107" t="e">
        <f t="shared" ref="L73" ca="1" si="233">((L72-K72)/K72)</f>
        <v>#DIV/0!</v>
      </c>
      <c r="M73" s="107" t="e">
        <f t="shared" ref="M73" ca="1" si="234">((M72-L72)/L72)</f>
        <v>#DIV/0!</v>
      </c>
      <c r="N73" s="107" t="e">
        <f t="shared" ref="N73" ca="1" si="235">((N72-M72)/M72)</f>
        <v>#DIV/0!</v>
      </c>
      <c r="O73" s="107" t="e">
        <f t="shared" ref="O73" ca="1" si="236">((O72-N72)/N72)</f>
        <v>#DIV/0!</v>
      </c>
      <c r="P73" s="107" t="e">
        <f t="shared" ref="P73" ca="1" si="237">((P72-O72)/O72)</f>
        <v>#DIV/0!</v>
      </c>
      <c r="Q73" s="107" t="e">
        <f t="shared" ref="Q73" ca="1" si="238">((Q72-P72)/P72)</f>
        <v>#DIV/0!</v>
      </c>
      <c r="R73" s="107" t="e">
        <f t="shared" ref="R73" ca="1" si="239">((R72-Q72)/Q72)</f>
        <v>#DIV/0!</v>
      </c>
    </row>
    <row r="74" spans="2:20" x14ac:dyDescent="0.25">
      <c r="C74" s="69"/>
      <c r="D74" s="69"/>
      <c r="E74" s="69"/>
      <c r="F74" s="69"/>
      <c r="G74" s="69"/>
      <c r="H74" s="69"/>
      <c r="I74" s="69"/>
      <c r="J74" s="69"/>
      <c r="K74" s="69"/>
      <c r="L74" s="69"/>
      <c r="M74" s="69"/>
      <c r="N74" s="69"/>
      <c r="O74" s="69"/>
      <c r="P74" s="69"/>
      <c r="Q74" s="69"/>
      <c r="R74" s="69"/>
    </row>
    <row r="75" spans="2:20" x14ac:dyDescent="0.25">
      <c r="C75" s="69"/>
      <c r="D75" s="69"/>
      <c r="E75" s="69"/>
      <c r="F75" s="69"/>
      <c r="G75" s="69"/>
      <c r="H75" s="69"/>
      <c r="I75" s="69"/>
      <c r="J75" s="69"/>
      <c r="K75" s="69"/>
      <c r="L75" s="69"/>
      <c r="M75" s="69"/>
      <c r="N75" s="69"/>
      <c r="O75" s="69"/>
      <c r="P75" s="69"/>
      <c r="Q75" s="69"/>
      <c r="R75" s="69"/>
    </row>
    <row r="76" spans="2:20" x14ac:dyDescent="0.25">
      <c r="B76" s="105" t="s">
        <v>145</v>
      </c>
      <c r="C76" s="106"/>
      <c r="D76" s="254">
        <f t="shared" ref="D76:R76" si="240">D42-D54-D67+D72</f>
        <v>0</v>
      </c>
      <c r="E76" s="254">
        <f t="shared" si="240"/>
        <v>0</v>
      </c>
      <c r="F76" s="254">
        <f t="shared" si="240"/>
        <v>0</v>
      </c>
      <c r="G76" s="254">
        <f t="shared" si="240"/>
        <v>0</v>
      </c>
      <c r="H76" s="254">
        <f t="shared" si="240"/>
        <v>0</v>
      </c>
      <c r="I76" s="254" t="e">
        <f t="shared" ca="1" si="240"/>
        <v>#DIV/0!</v>
      </c>
      <c r="J76" s="254" t="e">
        <f t="shared" ca="1" si="240"/>
        <v>#DIV/0!</v>
      </c>
      <c r="K76" s="254" t="e">
        <f t="shared" ca="1" si="240"/>
        <v>#DIV/0!</v>
      </c>
      <c r="L76" s="254" t="e">
        <f t="shared" ca="1" si="240"/>
        <v>#DIV/0!</v>
      </c>
      <c r="M76" s="254" t="e">
        <f t="shared" ca="1" si="240"/>
        <v>#DIV/0!</v>
      </c>
      <c r="N76" s="254" t="e">
        <f t="shared" ca="1" si="240"/>
        <v>#DIV/0!</v>
      </c>
      <c r="O76" s="254" t="e">
        <f t="shared" ca="1" si="240"/>
        <v>#DIV/0!</v>
      </c>
      <c r="P76" s="254" t="e">
        <f t="shared" ca="1" si="240"/>
        <v>#DIV/0!</v>
      </c>
      <c r="Q76" s="254" t="e">
        <f t="shared" ca="1" si="240"/>
        <v>#DIV/0!</v>
      </c>
      <c r="R76" s="254" t="e">
        <f t="shared" ca="1" si="240"/>
        <v>#DIV/0!</v>
      </c>
    </row>
    <row r="77" spans="2:20" x14ac:dyDescent="0.25">
      <c r="B77" s="11" t="s">
        <v>89</v>
      </c>
      <c r="C77" s="69"/>
      <c r="D77" s="107" t="s">
        <v>90</v>
      </c>
      <c r="E77" s="107" t="e">
        <f>((E76-D76)/D76)</f>
        <v>#DIV/0!</v>
      </c>
      <c r="F77" s="107" t="e">
        <f t="shared" ref="F77" si="241">((F76-E76)/E76)</f>
        <v>#DIV/0!</v>
      </c>
      <c r="G77" s="107" t="e">
        <f t="shared" ref="G77" si="242">((G76-F76)/F76)</f>
        <v>#DIV/0!</v>
      </c>
      <c r="H77" s="107" t="e">
        <f t="shared" ref="H77" si="243">((H76-G76)/G76)</f>
        <v>#DIV/0!</v>
      </c>
      <c r="I77" s="107" t="e">
        <f t="shared" ref="I77" ca="1" si="244">((I76-H76)/H76)</f>
        <v>#DIV/0!</v>
      </c>
      <c r="J77" s="107" t="e">
        <f t="shared" ref="J77" ca="1" si="245">((J76-I76)/I76)</f>
        <v>#DIV/0!</v>
      </c>
      <c r="K77" s="107" t="e">
        <f t="shared" ref="K77" ca="1" si="246">((K76-J76)/J76)</f>
        <v>#DIV/0!</v>
      </c>
      <c r="L77" s="107" t="e">
        <f t="shared" ref="L77" ca="1" si="247">((L76-K76)/K76)</f>
        <v>#DIV/0!</v>
      </c>
      <c r="M77" s="107" t="e">
        <f t="shared" ref="M77" ca="1" si="248">((M76-L76)/L76)</f>
        <v>#DIV/0!</v>
      </c>
      <c r="N77" s="107" t="e">
        <f t="shared" ref="N77" ca="1" si="249">((N76-M76)/M76)</f>
        <v>#DIV/0!</v>
      </c>
      <c r="O77" s="107" t="e">
        <f t="shared" ref="O77" ca="1" si="250">((O76-N76)/N76)</f>
        <v>#DIV/0!</v>
      </c>
      <c r="P77" s="107" t="e">
        <f t="shared" ref="P77" ca="1" si="251">((P76-O76)/O76)</f>
        <v>#DIV/0!</v>
      </c>
      <c r="Q77" s="107" t="e">
        <f t="shared" ref="Q77" ca="1" si="252">((Q76-P76)/P76)</f>
        <v>#DIV/0!</v>
      </c>
      <c r="R77" s="107" t="e">
        <f t="shared" ref="R77" ca="1" si="253">((R76-Q76)/Q76)</f>
        <v>#DIV/0!</v>
      </c>
    </row>
    <row r="78" spans="2:20" x14ac:dyDescent="0.25">
      <c r="B78" s="11"/>
      <c r="C78" s="69"/>
      <c r="D78" s="107"/>
      <c r="E78" s="107"/>
      <c r="F78" s="107"/>
      <c r="G78" s="107"/>
      <c r="H78" s="107"/>
      <c r="I78" s="107"/>
      <c r="J78" s="107"/>
      <c r="K78" s="107"/>
      <c r="L78" s="107"/>
      <c r="M78" s="107"/>
      <c r="N78" s="107"/>
      <c r="O78" s="107"/>
      <c r="P78" s="107"/>
      <c r="Q78" s="107"/>
      <c r="R78" s="107"/>
    </row>
    <row r="79" spans="2:20" x14ac:dyDescent="0.25">
      <c r="B79" s="11"/>
      <c r="C79" s="69"/>
      <c r="D79" s="107"/>
      <c r="E79" s="107"/>
      <c r="F79" s="107"/>
      <c r="G79" s="107"/>
      <c r="H79" s="107"/>
      <c r="I79" s="107"/>
      <c r="J79" s="107"/>
      <c r="K79" s="107"/>
      <c r="L79" s="107"/>
      <c r="M79" s="107"/>
      <c r="N79" s="107"/>
      <c r="O79" s="107"/>
      <c r="P79" s="107"/>
      <c r="Q79" s="107"/>
      <c r="R79" s="107"/>
    </row>
    <row r="80" spans="2:20" x14ac:dyDescent="0.25">
      <c r="B80" s="10" t="s">
        <v>146</v>
      </c>
      <c r="C80" s="69"/>
      <c r="D80" s="69"/>
      <c r="E80" s="69"/>
      <c r="F80" s="69"/>
      <c r="G80" s="69"/>
      <c r="H80" s="69"/>
      <c r="I80" s="69"/>
      <c r="J80" s="69"/>
      <c r="K80" s="69"/>
      <c r="L80" s="69"/>
      <c r="M80" s="69"/>
      <c r="N80" s="69"/>
      <c r="O80" s="69"/>
      <c r="P80" s="69"/>
      <c r="Q80" s="69"/>
      <c r="R80" s="69"/>
    </row>
    <row r="81" spans="2:18" x14ac:dyDescent="0.25">
      <c r="B81" t="s">
        <v>147</v>
      </c>
      <c r="C81" s="69"/>
      <c r="D81" s="255"/>
      <c r="E81" s="255"/>
      <c r="F81" s="255"/>
      <c r="G81" s="255"/>
      <c r="H81" s="255"/>
      <c r="I81" s="256" t="e">
        <f ca="1">'D&amp;A+CAPEX'!I32</f>
        <v>#DIV/0!</v>
      </c>
      <c r="J81" s="256" t="e">
        <f ca="1">'D&amp;A+CAPEX'!J32</f>
        <v>#DIV/0!</v>
      </c>
      <c r="K81" s="256" t="e">
        <f ca="1">'D&amp;A+CAPEX'!K32</f>
        <v>#DIV/0!</v>
      </c>
      <c r="L81" s="256" t="e">
        <f ca="1">'D&amp;A+CAPEX'!L32</f>
        <v>#DIV/0!</v>
      </c>
      <c r="M81" s="256" t="e">
        <f ca="1">'D&amp;A+CAPEX'!M32</f>
        <v>#DIV/0!</v>
      </c>
      <c r="N81" s="256" t="e">
        <f ca="1">'D&amp;A+CAPEX'!N32</f>
        <v>#DIV/0!</v>
      </c>
      <c r="O81" s="256" t="e">
        <f ca="1">'D&amp;A+CAPEX'!O32</f>
        <v>#DIV/0!</v>
      </c>
      <c r="P81" s="256" t="e">
        <f ca="1">'D&amp;A+CAPEX'!P32</f>
        <v>#DIV/0!</v>
      </c>
      <c r="Q81" s="256" t="e">
        <f ca="1">'D&amp;A+CAPEX'!Q32</f>
        <v>#DIV/0!</v>
      </c>
      <c r="R81" s="256" t="e">
        <f ca="1">'D&amp;A+CAPEX'!R32</f>
        <v>#DIV/0!</v>
      </c>
    </row>
    <row r="82" spans="2:18" x14ac:dyDescent="0.25">
      <c r="B82" t="s">
        <v>148</v>
      </c>
      <c r="C82" s="69"/>
      <c r="D82" s="255"/>
      <c r="E82" s="255"/>
      <c r="F82" s="255"/>
      <c r="G82" s="255"/>
      <c r="H82" s="255"/>
      <c r="I82" s="256" t="e">
        <f ca="1">'D&amp;A+CAPEX'!I36</f>
        <v>#DIV/0!</v>
      </c>
      <c r="J82" s="256" t="e">
        <f ca="1">'D&amp;A+CAPEX'!J36</f>
        <v>#DIV/0!</v>
      </c>
      <c r="K82" s="256" t="e">
        <f ca="1">'D&amp;A+CAPEX'!K36</f>
        <v>#DIV/0!</v>
      </c>
      <c r="L82" s="256" t="e">
        <f ca="1">'D&amp;A+CAPEX'!L36</f>
        <v>#DIV/0!</v>
      </c>
      <c r="M82" s="256" t="e">
        <f ca="1">'D&amp;A+CAPEX'!M36</f>
        <v>#DIV/0!</v>
      </c>
      <c r="N82" s="256" t="e">
        <f ca="1">'D&amp;A+CAPEX'!N36</f>
        <v>#DIV/0!</v>
      </c>
      <c r="O82" s="256" t="e">
        <f ca="1">'D&amp;A+CAPEX'!O36</f>
        <v>#DIV/0!</v>
      </c>
      <c r="P82" s="256" t="e">
        <f ca="1">'D&amp;A+CAPEX'!P36</f>
        <v>#DIV/0!</v>
      </c>
      <c r="Q82" s="256" t="e">
        <f ca="1">'D&amp;A+CAPEX'!Q36</f>
        <v>#DIV/0!</v>
      </c>
      <c r="R82" s="256" t="e">
        <f ca="1">'D&amp;A+CAPEX'!R36</f>
        <v>#DIV/0!</v>
      </c>
    </row>
    <row r="83" spans="2:18" x14ac:dyDescent="0.25">
      <c r="B83" s="105" t="s">
        <v>149</v>
      </c>
      <c r="C83" s="106"/>
      <c r="D83" s="254">
        <f>D81+D82</f>
        <v>0</v>
      </c>
      <c r="E83" s="254">
        <f t="shared" ref="E83:M83" si="254">E81+E82</f>
        <v>0</v>
      </c>
      <c r="F83" s="254">
        <f t="shared" si="254"/>
        <v>0</v>
      </c>
      <c r="G83" s="254">
        <f t="shared" si="254"/>
        <v>0</v>
      </c>
      <c r="H83" s="254">
        <f t="shared" si="254"/>
        <v>0</v>
      </c>
      <c r="I83" s="254" t="e">
        <f t="shared" ca="1" si="254"/>
        <v>#DIV/0!</v>
      </c>
      <c r="J83" s="254" t="e">
        <f t="shared" ca="1" si="254"/>
        <v>#DIV/0!</v>
      </c>
      <c r="K83" s="254" t="e">
        <f t="shared" ca="1" si="254"/>
        <v>#DIV/0!</v>
      </c>
      <c r="L83" s="254" t="e">
        <f t="shared" ca="1" si="254"/>
        <v>#DIV/0!</v>
      </c>
      <c r="M83" s="254" t="e">
        <f t="shared" ca="1" si="254"/>
        <v>#DIV/0!</v>
      </c>
      <c r="N83" s="254" t="e">
        <f t="shared" ref="N83:R83" ca="1" si="255">N81+N82</f>
        <v>#DIV/0!</v>
      </c>
      <c r="O83" s="254" t="e">
        <f t="shared" ca="1" si="255"/>
        <v>#DIV/0!</v>
      </c>
      <c r="P83" s="254" t="e">
        <f t="shared" ca="1" si="255"/>
        <v>#DIV/0!</v>
      </c>
      <c r="Q83" s="254" t="e">
        <f t="shared" ca="1" si="255"/>
        <v>#DIV/0!</v>
      </c>
      <c r="R83" s="254" t="e">
        <f t="shared" ca="1" si="255"/>
        <v>#DIV/0!</v>
      </c>
    </row>
    <row r="84" spans="2:18" x14ac:dyDescent="0.25">
      <c r="B84" s="11" t="s">
        <v>89</v>
      </c>
      <c r="C84" s="69"/>
      <c r="D84" s="107" t="s">
        <v>90</v>
      </c>
      <c r="E84" s="107" t="e">
        <f t="shared" ref="E84:M84" si="256">((E83-D83)/D83)</f>
        <v>#DIV/0!</v>
      </c>
      <c r="F84" s="107" t="e">
        <f t="shared" si="256"/>
        <v>#DIV/0!</v>
      </c>
      <c r="G84" s="107" t="e">
        <f t="shared" si="256"/>
        <v>#DIV/0!</v>
      </c>
      <c r="H84" s="107" t="e">
        <f t="shared" si="256"/>
        <v>#DIV/0!</v>
      </c>
      <c r="I84" s="107" t="e">
        <f t="shared" ca="1" si="256"/>
        <v>#DIV/0!</v>
      </c>
      <c r="J84" s="107" t="e">
        <f t="shared" ca="1" si="256"/>
        <v>#DIV/0!</v>
      </c>
      <c r="K84" s="107" t="e">
        <f t="shared" ca="1" si="256"/>
        <v>#DIV/0!</v>
      </c>
      <c r="L84" s="107" t="e">
        <f t="shared" ca="1" si="256"/>
        <v>#DIV/0!</v>
      </c>
      <c r="M84" s="107" t="e">
        <f t="shared" ca="1" si="256"/>
        <v>#DIV/0!</v>
      </c>
      <c r="N84" s="107" t="e">
        <f t="shared" ref="N84" ca="1" si="257">((N83-M83)/M83)</f>
        <v>#DIV/0!</v>
      </c>
      <c r="O84" s="107" t="e">
        <f t="shared" ref="O84" ca="1" si="258">((O83-N83)/N83)</f>
        <v>#DIV/0!</v>
      </c>
      <c r="P84" s="107" t="e">
        <f t="shared" ref="P84" ca="1" si="259">((P83-O83)/O83)</f>
        <v>#DIV/0!</v>
      </c>
      <c r="Q84" s="107" t="e">
        <f t="shared" ref="Q84" ca="1" si="260">((Q83-P83)/P83)</f>
        <v>#DIV/0!</v>
      </c>
      <c r="R84" s="107" t="e">
        <f t="shared" ref="R84" ca="1" si="261">((R83-Q83)/Q83)</f>
        <v>#DIV/0!</v>
      </c>
    </row>
    <row r="85" spans="2:18" x14ac:dyDescent="0.25">
      <c r="B85" s="11"/>
      <c r="C85" s="69"/>
      <c r="D85" s="107"/>
      <c r="E85" s="107"/>
      <c r="F85" s="107"/>
      <c r="G85" s="107"/>
      <c r="H85" s="107"/>
      <c r="I85" s="107"/>
      <c r="J85" s="107"/>
      <c r="K85" s="107"/>
      <c r="L85" s="107"/>
      <c r="M85" s="107"/>
      <c r="N85" s="107"/>
      <c r="O85" s="107"/>
      <c r="P85" s="107"/>
      <c r="Q85" s="107"/>
      <c r="R85" s="107"/>
    </row>
    <row r="86" spans="2:18" x14ac:dyDescent="0.25">
      <c r="B86" s="11"/>
      <c r="C86" s="69"/>
      <c r="D86" s="107"/>
      <c r="E86" s="107"/>
      <c r="F86" s="107"/>
      <c r="G86" s="107"/>
      <c r="H86" s="107"/>
      <c r="I86" s="107"/>
      <c r="J86" s="107"/>
      <c r="K86" s="107"/>
      <c r="L86" s="107"/>
      <c r="M86" s="107"/>
      <c r="N86" s="107"/>
      <c r="O86" s="107"/>
      <c r="P86" s="107"/>
      <c r="Q86" s="107"/>
      <c r="R86" s="107"/>
    </row>
    <row r="87" spans="2:18" x14ac:dyDescent="0.25">
      <c r="B87" s="105" t="s">
        <v>150</v>
      </c>
      <c r="C87" s="106"/>
      <c r="D87" s="254">
        <f>D76-D83</f>
        <v>0</v>
      </c>
      <c r="E87" s="254">
        <f t="shared" ref="E87:M87" si="262">E76-E83</f>
        <v>0</v>
      </c>
      <c r="F87" s="254">
        <f t="shared" si="262"/>
        <v>0</v>
      </c>
      <c r="G87" s="254">
        <f t="shared" si="262"/>
        <v>0</v>
      </c>
      <c r="H87" s="254">
        <f t="shared" si="262"/>
        <v>0</v>
      </c>
      <c r="I87" s="254" t="e">
        <f t="shared" ca="1" si="262"/>
        <v>#DIV/0!</v>
      </c>
      <c r="J87" s="254" t="e">
        <f t="shared" ca="1" si="262"/>
        <v>#DIV/0!</v>
      </c>
      <c r="K87" s="254" t="e">
        <f t="shared" ca="1" si="262"/>
        <v>#DIV/0!</v>
      </c>
      <c r="L87" s="254" t="e">
        <f t="shared" ca="1" si="262"/>
        <v>#DIV/0!</v>
      </c>
      <c r="M87" s="254" t="e">
        <f t="shared" ca="1" si="262"/>
        <v>#DIV/0!</v>
      </c>
      <c r="N87" s="254" t="e">
        <f t="shared" ref="N87:R87" ca="1" si="263">N76-N83</f>
        <v>#DIV/0!</v>
      </c>
      <c r="O87" s="254" t="e">
        <f t="shared" ca="1" si="263"/>
        <v>#DIV/0!</v>
      </c>
      <c r="P87" s="254" t="e">
        <f t="shared" ca="1" si="263"/>
        <v>#DIV/0!</v>
      </c>
      <c r="Q87" s="254" t="e">
        <f t="shared" ca="1" si="263"/>
        <v>#DIV/0!</v>
      </c>
      <c r="R87" s="254" t="e">
        <f t="shared" ca="1" si="263"/>
        <v>#DIV/0!</v>
      </c>
    </row>
    <row r="88" spans="2:18" x14ac:dyDescent="0.25">
      <c r="B88" s="11" t="s">
        <v>89</v>
      </c>
      <c r="C88" s="69"/>
      <c r="D88" s="107" t="s">
        <v>90</v>
      </c>
      <c r="E88" s="107" t="e">
        <f>((E87-D87)/D87)</f>
        <v>#DIV/0!</v>
      </c>
      <c r="F88" s="107" t="e">
        <f t="shared" ref="F88" si="264">((F87-E87)/E87)</f>
        <v>#DIV/0!</v>
      </c>
      <c r="G88" s="107" t="e">
        <f t="shared" ref="G88" si="265">((G87-F87)/F87)</f>
        <v>#DIV/0!</v>
      </c>
      <c r="H88" s="107" t="e">
        <f t="shared" ref="H88" si="266">((H87-G87)/G87)</f>
        <v>#DIV/0!</v>
      </c>
      <c r="I88" s="107" t="e">
        <f t="shared" ref="I88" ca="1" si="267">((I87-H87)/H87)</f>
        <v>#DIV/0!</v>
      </c>
      <c r="J88" s="107" t="e">
        <f t="shared" ref="J88" ca="1" si="268">((J87-I87)/I87)</f>
        <v>#DIV/0!</v>
      </c>
      <c r="K88" s="107" t="e">
        <f t="shared" ref="K88" ca="1" si="269">((K87-J87)/J87)</f>
        <v>#DIV/0!</v>
      </c>
      <c r="L88" s="107" t="e">
        <f t="shared" ref="L88" ca="1" si="270">((L87-K87)/K87)</f>
        <v>#DIV/0!</v>
      </c>
      <c r="M88" s="107" t="e">
        <f t="shared" ref="M88" ca="1" si="271">((M87-L87)/L87)</f>
        <v>#DIV/0!</v>
      </c>
      <c r="N88" s="107" t="e">
        <f t="shared" ref="N88" ca="1" si="272">((N87-M87)/M87)</f>
        <v>#DIV/0!</v>
      </c>
      <c r="O88" s="107" t="e">
        <f t="shared" ref="O88" ca="1" si="273">((O87-N87)/N87)</f>
        <v>#DIV/0!</v>
      </c>
      <c r="P88" s="107" t="e">
        <f t="shared" ref="P88" ca="1" si="274">((P87-O87)/O87)</f>
        <v>#DIV/0!</v>
      </c>
      <c r="Q88" s="107" t="e">
        <f t="shared" ref="Q88" ca="1" si="275">((Q87-P87)/P87)</f>
        <v>#DIV/0!</v>
      </c>
      <c r="R88" s="107" t="e">
        <f t="shared" ref="R88" ca="1" si="276">((R87-Q87)/Q87)</f>
        <v>#DIV/0!</v>
      </c>
    </row>
    <row r="89" spans="2:18" x14ac:dyDescent="0.25">
      <c r="C89" s="69"/>
      <c r="D89" s="69"/>
      <c r="E89" s="69"/>
      <c r="F89" s="69"/>
      <c r="G89" s="69"/>
      <c r="H89" s="69"/>
      <c r="I89" s="69"/>
      <c r="J89" s="69"/>
      <c r="K89" s="69"/>
      <c r="L89" s="69"/>
      <c r="M89" s="69"/>
      <c r="N89" s="69"/>
      <c r="O89" s="69"/>
      <c r="P89" s="69"/>
      <c r="Q89" s="69"/>
      <c r="R89" s="69"/>
    </row>
    <row r="90" spans="2:18" x14ac:dyDescent="0.25">
      <c r="C90" s="69"/>
      <c r="D90" s="69"/>
      <c r="E90" s="69"/>
      <c r="F90" s="69"/>
      <c r="G90" s="69"/>
      <c r="H90" s="69"/>
      <c r="I90" s="69"/>
      <c r="J90" s="69"/>
      <c r="K90" s="69"/>
      <c r="L90" s="69"/>
      <c r="M90" s="69"/>
      <c r="N90" s="69"/>
      <c r="O90" s="69"/>
      <c r="P90" s="69"/>
      <c r="Q90" s="69"/>
      <c r="R90" s="69"/>
    </row>
    <row r="91" spans="2:18" x14ac:dyDescent="0.25">
      <c r="B91" t="s">
        <v>151</v>
      </c>
      <c r="C91" s="69"/>
      <c r="D91" s="255"/>
      <c r="E91" s="255"/>
      <c r="F91" s="255"/>
      <c r="G91" s="255"/>
      <c r="H91" s="255"/>
      <c r="I91" s="256" t="e">
        <f>IF(Hub!$D$87="Yes", Debt_Schedule!Z35, IF(Debt_Schedule!$X$28="Backup Schedule Enabled", Debt_Schedule!Z35, Debt_Schedule!Z7))</f>
        <v>#DIV/0!</v>
      </c>
      <c r="J91" s="256" t="e">
        <f>IF(Hub!$D$87="Yes", Debt_Schedule!AA35, IF(Debt_Schedule!$X$28="Backup Schedule Enabled", Debt_Schedule!AA35, Debt_Schedule!AA7))</f>
        <v>#DIV/0!</v>
      </c>
      <c r="K91" s="256" t="e">
        <f>IF(Hub!$D$87="Yes", Debt_Schedule!AB35, IF(Debt_Schedule!$X$28="Backup Schedule Enabled", Debt_Schedule!AB35, Debt_Schedule!AB7))</f>
        <v>#DIV/0!</v>
      </c>
      <c r="L91" s="256" t="e">
        <f>IF(Hub!$D$87="Yes", Debt_Schedule!AC35, IF(Debt_Schedule!$X$28="Backup Schedule Enabled", Debt_Schedule!AC35, Debt_Schedule!AC7))</f>
        <v>#DIV/0!</v>
      </c>
      <c r="M91" s="256" t="e">
        <f>IF(Hub!$D$87="Yes", Debt_Schedule!AD35, IF(Debt_Schedule!$X$28="Backup Schedule Enabled", Debt_Schedule!AD35, Debt_Schedule!AD7))</f>
        <v>#DIV/0!</v>
      </c>
      <c r="N91" s="256" t="e">
        <f>IF(Hub!$D$87="Yes", Debt_Schedule!AE35, IF(Debt_Schedule!$X$28="Backup Schedule Enabled", Debt_Schedule!AE35, Debt_Schedule!AE7))</f>
        <v>#DIV/0!</v>
      </c>
      <c r="O91" s="256" t="e">
        <f>IF(Hub!$D$87="Yes", Debt_Schedule!AF35, IF(Debt_Schedule!$X$28="Backup Schedule Enabled", Debt_Schedule!AF35, Debt_Schedule!AF7))</f>
        <v>#DIV/0!</v>
      </c>
      <c r="P91" s="256" t="e">
        <f>IF(Hub!$D$87="Yes", Debt_Schedule!AG35, IF(Debt_Schedule!$X$28="Backup Schedule Enabled", Debt_Schedule!AG35, Debt_Schedule!AG7))</f>
        <v>#DIV/0!</v>
      </c>
      <c r="Q91" s="256" t="e">
        <f>IF(Hub!$D$87="Yes", Debt_Schedule!AH35, IF(Debt_Schedule!$X$28="Backup Schedule Enabled", Debt_Schedule!AH35, Debt_Schedule!AH7))</f>
        <v>#DIV/0!</v>
      </c>
      <c r="R91" s="256" t="e">
        <f>IF(Hub!$D$87="Yes", Debt_Schedule!AI35, IF(Debt_Schedule!$X$28="Backup Schedule Enabled", Debt_Schedule!AI35, Debt_Schedule!AI7))</f>
        <v>#DIV/0!</v>
      </c>
    </row>
    <row r="92" spans="2:18" x14ac:dyDescent="0.25">
      <c r="B92" s="105" t="s">
        <v>151</v>
      </c>
      <c r="C92" s="106"/>
      <c r="D92" s="254">
        <f>D91</f>
        <v>0</v>
      </c>
      <c r="E92" s="254">
        <f t="shared" ref="E92:M92" si="277">E91</f>
        <v>0</v>
      </c>
      <c r="F92" s="254">
        <f t="shared" si="277"/>
        <v>0</v>
      </c>
      <c r="G92" s="254">
        <f t="shared" si="277"/>
        <v>0</v>
      </c>
      <c r="H92" s="254">
        <f t="shared" si="277"/>
        <v>0</v>
      </c>
      <c r="I92" s="254" t="e">
        <f t="shared" si="277"/>
        <v>#DIV/0!</v>
      </c>
      <c r="J92" s="254" t="e">
        <f t="shared" si="277"/>
        <v>#DIV/0!</v>
      </c>
      <c r="K92" s="254" t="e">
        <f t="shared" si="277"/>
        <v>#DIV/0!</v>
      </c>
      <c r="L92" s="254" t="e">
        <f t="shared" si="277"/>
        <v>#DIV/0!</v>
      </c>
      <c r="M92" s="254" t="e">
        <f t="shared" si="277"/>
        <v>#DIV/0!</v>
      </c>
      <c r="N92" s="254" t="e">
        <f t="shared" ref="N92:R92" si="278">N91</f>
        <v>#DIV/0!</v>
      </c>
      <c r="O92" s="254" t="e">
        <f t="shared" si="278"/>
        <v>#DIV/0!</v>
      </c>
      <c r="P92" s="254" t="e">
        <f t="shared" si="278"/>
        <v>#DIV/0!</v>
      </c>
      <c r="Q92" s="254" t="e">
        <f t="shared" si="278"/>
        <v>#DIV/0!</v>
      </c>
      <c r="R92" s="254" t="e">
        <f t="shared" si="278"/>
        <v>#DIV/0!</v>
      </c>
    </row>
    <row r="93" spans="2:18" x14ac:dyDescent="0.25">
      <c r="B93" s="11" t="s">
        <v>89</v>
      </c>
      <c r="D93" s="107" t="s">
        <v>90</v>
      </c>
      <c r="E93" s="107" t="e">
        <f>((E92-D92)/D92)</f>
        <v>#DIV/0!</v>
      </c>
      <c r="F93" s="107" t="e">
        <f t="shared" ref="F93" si="279">((F92-E92)/E92)</f>
        <v>#DIV/0!</v>
      </c>
      <c r="G93" s="107" t="e">
        <f t="shared" ref="G93" si="280">((G92-F92)/F92)</f>
        <v>#DIV/0!</v>
      </c>
      <c r="H93" s="107" t="e">
        <f t="shared" ref="H93" si="281">((H92-G92)/G92)</f>
        <v>#DIV/0!</v>
      </c>
      <c r="I93" s="107" t="e">
        <f t="shared" ref="I93" si="282">((I92-H92)/H92)</f>
        <v>#DIV/0!</v>
      </c>
      <c r="J93" s="107" t="e">
        <f t="shared" ref="J93" si="283">((J92-I92)/I92)</f>
        <v>#DIV/0!</v>
      </c>
      <c r="K93" s="107" t="e">
        <f t="shared" ref="K93" si="284">((K92-J92)/J92)</f>
        <v>#DIV/0!</v>
      </c>
      <c r="L93" s="107" t="e">
        <f t="shared" ref="L93" si="285">((L92-K92)/K92)</f>
        <v>#DIV/0!</v>
      </c>
      <c r="M93" s="107" t="e">
        <f t="shared" ref="M93" si="286">((M92-L92)/L92)</f>
        <v>#DIV/0!</v>
      </c>
      <c r="N93" s="107" t="e">
        <f t="shared" ref="N93" si="287">((N92-M92)/M92)</f>
        <v>#DIV/0!</v>
      </c>
      <c r="O93" s="107" t="e">
        <f t="shared" ref="O93" si="288">((O92-N92)/N92)</f>
        <v>#DIV/0!</v>
      </c>
      <c r="P93" s="107" t="e">
        <f t="shared" ref="P93" si="289">((P92-O92)/O92)</f>
        <v>#DIV/0!</v>
      </c>
      <c r="Q93" s="107" t="e">
        <f t="shared" ref="Q93" si="290">((Q92-P92)/P92)</f>
        <v>#DIV/0!</v>
      </c>
      <c r="R93" s="107" t="e">
        <f t="shared" ref="R93" si="291">((R92-Q92)/Q92)</f>
        <v>#DIV/0!</v>
      </c>
    </row>
    <row r="94" spans="2:18" x14ac:dyDescent="0.25">
      <c r="B94" s="11"/>
      <c r="D94" s="107"/>
      <c r="E94" s="107"/>
      <c r="F94" s="107"/>
      <c r="G94" s="107"/>
      <c r="H94" s="107"/>
      <c r="I94" s="107"/>
      <c r="J94" s="107"/>
      <c r="K94" s="107"/>
      <c r="L94" s="107"/>
      <c r="M94" s="107"/>
      <c r="N94" s="107"/>
      <c r="O94" s="107"/>
      <c r="P94" s="107"/>
      <c r="Q94" s="107"/>
      <c r="R94" s="107"/>
    </row>
    <row r="95" spans="2:18" x14ac:dyDescent="0.25">
      <c r="D95" s="107"/>
      <c r="E95" s="107"/>
      <c r="F95" s="107"/>
      <c r="G95" s="107"/>
      <c r="H95" s="107"/>
      <c r="I95" s="107"/>
      <c r="J95" s="107"/>
      <c r="K95" s="107"/>
      <c r="L95" s="107"/>
      <c r="M95" s="107"/>
      <c r="N95" s="107"/>
      <c r="O95" s="107"/>
      <c r="P95" s="107"/>
      <c r="Q95" s="107"/>
      <c r="R95" s="107"/>
    </row>
    <row r="96" spans="2:18" x14ac:dyDescent="0.25">
      <c r="B96" s="105" t="s">
        <v>152</v>
      </c>
      <c r="C96" s="106"/>
      <c r="D96" s="254">
        <f>D87-D92</f>
        <v>0</v>
      </c>
      <c r="E96" s="254">
        <f t="shared" ref="E96:M96" si="292">E87-E92</f>
        <v>0</v>
      </c>
      <c r="F96" s="254">
        <f t="shared" si="292"/>
        <v>0</v>
      </c>
      <c r="G96" s="254">
        <f t="shared" si="292"/>
        <v>0</v>
      </c>
      <c r="H96" s="254">
        <f t="shared" si="292"/>
        <v>0</v>
      </c>
      <c r="I96" s="254" t="e">
        <f t="shared" ca="1" si="292"/>
        <v>#DIV/0!</v>
      </c>
      <c r="J96" s="254" t="e">
        <f t="shared" ca="1" si="292"/>
        <v>#DIV/0!</v>
      </c>
      <c r="K96" s="254" t="e">
        <f t="shared" ca="1" si="292"/>
        <v>#DIV/0!</v>
      </c>
      <c r="L96" s="254" t="e">
        <f t="shared" ca="1" si="292"/>
        <v>#DIV/0!</v>
      </c>
      <c r="M96" s="254" t="e">
        <f t="shared" ca="1" si="292"/>
        <v>#DIV/0!</v>
      </c>
      <c r="N96" s="254" t="e">
        <f t="shared" ref="N96:R96" ca="1" si="293">N87-N92</f>
        <v>#DIV/0!</v>
      </c>
      <c r="O96" s="254" t="e">
        <f t="shared" ca="1" si="293"/>
        <v>#DIV/0!</v>
      </c>
      <c r="P96" s="254" t="e">
        <f t="shared" ca="1" si="293"/>
        <v>#DIV/0!</v>
      </c>
      <c r="Q96" s="254" t="e">
        <f t="shared" ca="1" si="293"/>
        <v>#DIV/0!</v>
      </c>
      <c r="R96" s="254" t="e">
        <f t="shared" ca="1" si="293"/>
        <v>#DIV/0!</v>
      </c>
    </row>
    <row r="97" spans="2:18" x14ac:dyDescent="0.25">
      <c r="B97" s="11" t="s">
        <v>89</v>
      </c>
      <c r="D97" s="107" t="s">
        <v>90</v>
      </c>
      <c r="E97" s="107" t="e">
        <f>((E96-D96)/D96)</f>
        <v>#DIV/0!</v>
      </c>
      <c r="F97" s="107" t="e">
        <f t="shared" ref="F97" si="294">((F96-E96)/E96)</f>
        <v>#DIV/0!</v>
      </c>
      <c r="G97" s="107" t="e">
        <f t="shared" ref="G97" si="295">((G96-F96)/F96)</f>
        <v>#DIV/0!</v>
      </c>
      <c r="H97" s="107" t="e">
        <f t="shared" ref="H97" si="296">((H96-G96)/G96)</f>
        <v>#DIV/0!</v>
      </c>
      <c r="I97" s="107" t="e">
        <f t="shared" ref="I97" ca="1" si="297">((I96-H96)/H96)</f>
        <v>#DIV/0!</v>
      </c>
      <c r="J97" s="107" t="e">
        <f t="shared" ref="J97" ca="1" si="298">((J96-I96)/I96)</f>
        <v>#DIV/0!</v>
      </c>
      <c r="K97" s="107" t="e">
        <f t="shared" ref="K97" ca="1" si="299">((K96-J96)/J96)</f>
        <v>#DIV/0!</v>
      </c>
      <c r="L97" s="107" t="e">
        <f t="shared" ref="L97" ca="1" si="300">((L96-K96)/K96)</f>
        <v>#DIV/0!</v>
      </c>
      <c r="M97" s="107" t="e">
        <f t="shared" ref="M97" ca="1" si="301">((M96-L96)/L96)</f>
        <v>#DIV/0!</v>
      </c>
      <c r="N97" s="107" t="e">
        <f t="shared" ref="N97" ca="1" si="302">((N96-M96)/M96)</f>
        <v>#DIV/0!</v>
      </c>
      <c r="O97" s="107" t="e">
        <f t="shared" ref="O97" ca="1" si="303">((O96-N96)/N96)</f>
        <v>#DIV/0!</v>
      </c>
      <c r="P97" s="107" t="e">
        <f t="shared" ref="P97" ca="1" si="304">((P96-O96)/O96)</f>
        <v>#DIV/0!</v>
      </c>
      <c r="Q97" s="107" t="e">
        <f t="shared" ref="Q97" ca="1" si="305">((Q96-P96)/P96)</f>
        <v>#DIV/0!</v>
      </c>
      <c r="R97" s="107" t="e">
        <f t="shared" ref="R97" ca="1" si="306">((R96-Q96)/Q96)</f>
        <v>#DIV/0!</v>
      </c>
    </row>
    <row r="98" spans="2:18" x14ac:dyDescent="0.25">
      <c r="B98" s="11"/>
      <c r="D98" s="107"/>
      <c r="E98" s="107"/>
      <c r="F98" s="107"/>
      <c r="G98" s="107"/>
      <c r="H98" s="107"/>
      <c r="I98" s="107"/>
      <c r="J98" s="107"/>
      <c r="K98" s="107"/>
      <c r="L98" s="107"/>
      <c r="M98" s="107"/>
      <c r="N98" s="107"/>
      <c r="O98" s="107"/>
      <c r="P98" s="107"/>
      <c r="Q98" s="107"/>
      <c r="R98" s="107"/>
    </row>
    <row r="99" spans="2:18" x14ac:dyDescent="0.25">
      <c r="D99" s="107"/>
      <c r="E99" s="107"/>
      <c r="F99" s="107"/>
      <c r="G99" s="107"/>
      <c r="H99" s="107"/>
      <c r="I99" s="107"/>
      <c r="J99" s="107"/>
      <c r="K99" s="107"/>
      <c r="L99" s="107"/>
      <c r="M99" s="107"/>
      <c r="N99" s="107"/>
      <c r="O99" s="107"/>
      <c r="P99" s="107"/>
      <c r="Q99" s="107"/>
      <c r="R99" s="107"/>
    </row>
    <row r="100" spans="2:18" x14ac:dyDescent="0.25">
      <c r="B100" t="s">
        <v>153</v>
      </c>
      <c r="C100" s="69"/>
      <c r="D100" s="255"/>
      <c r="E100" s="255"/>
      <c r="F100" s="255"/>
      <c r="G100" s="255"/>
      <c r="H100" s="255"/>
      <c r="I100" s="256" t="e">
        <f ca="1">DCF!$C$11*Operating_Model!I96</f>
        <v>#DIV/0!</v>
      </c>
      <c r="J100" s="256" t="e">
        <f ca="1">DCF!$C$11*Operating_Model!J96</f>
        <v>#DIV/0!</v>
      </c>
      <c r="K100" s="256" t="e">
        <f ca="1">DCF!$C$11*Operating_Model!K96</f>
        <v>#DIV/0!</v>
      </c>
      <c r="L100" s="256" t="e">
        <f ca="1">DCF!$C$11*Operating_Model!L96</f>
        <v>#DIV/0!</v>
      </c>
      <c r="M100" s="256" t="e">
        <f ca="1">DCF!$C$11*Operating_Model!M96</f>
        <v>#DIV/0!</v>
      </c>
      <c r="N100" s="256" t="e">
        <f ca="1">DCF!$C$11*Operating_Model!N96</f>
        <v>#DIV/0!</v>
      </c>
      <c r="O100" s="256" t="e">
        <f ca="1">DCF!$C$11*Operating_Model!O96</f>
        <v>#DIV/0!</v>
      </c>
      <c r="P100" s="256" t="e">
        <f ca="1">DCF!$C$11*Operating_Model!P96</f>
        <v>#DIV/0!</v>
      </c>
      <c r="Q100" s="256" t="e">
        <f ca="1">DCF!$C$11*Operating_Model!Q96</f>
        <v>#DIV/0!</v>
      </c>
      <c r="R100" s="256" t="e">
        <f ca="1">DCF!$C$11*Operating_Model!R96</f>
        <v>#DIV/0!</v>
      </c>
    </row>
    <row r="101" spans="2:18" x14ac:dyDescent="0.25">
      <c r="B101" s="105" t="s">
        <v>153</v>
      </c>
      <c r="C101" s="106"/>
      <c r="D101" s="254">
        <f>D100</f>
        <v>0</v>
      </c>
      <c r="E101" s="254">
        <f t="shared" ref="E101:M101" si="307">E100</f>
        <v>0</v>
      </c>
      <c r="F101" s="254">
        <f t="shared" si="307"/>
        <v>0</v>
      </c>
      <c r="G101" s="254">
        <f t="shared" si="307"/>
        <v>0</v>
      </c>
      <c r="H101" s="254">
        <f t="shared" si="307"/>
        <v>0</v>
      </c>
      <c r="I101" s="254" t="e">
        <f ca="1">I100</f>
        <v>#DIV/0!</v>
      </c>
      <c r="J101" s="254" t="e">
        <f t="shared" ca="1" si="307"/>
        <v>#DIV/0!</v>
      </c>
      <c r="K101" s="254" t="e">
        <f t="shared" ca="1" si="307"/>
        <v>#DIV/0!</v>
      </c>
      <c r="L101" s="254" t="e">
        <f t="shared" ca="1" si="307"/>
        <v>#DIV/0!</v>
      </c>
      <c r="M101" s="254" t="e">
        <f t="shared" ca="1" si="307"/>
        <v>#DIV/0!</v>
      </c>
      <c r="N101" s="254" t="e">
        <f t="shared" ref="N101:R101" ca="1" si="308">N100</f>
        <v>#DIV/0!</v>
      </c>
      <c r="O101" s="254" t="e">
        <f t="shared" ca="1" si="308"/>
        <v>#DIV/0!</v>
      </c>
      <c r="P101" s="254" t="e">
        <f t="shared" ca="1" si="308"/>
        <v>#DIV/0!</v>
      </c>
      <c r="Q101" s="254" t="e">
        <f t="shared" ca="1" si="308"/>
        <v>#DIV/0!</v>
      </c>
      <c r="R101" s="254" t="e">
        <f t="shared" ca="1" si="308"/>
        <v>#DIV/0!</v>
      </c>
    </row>
    <row r="102" spans="2:18" x14ac:dyDescent="0.25">
      <c r="B102" s="11" t="s">
        <v>89</v>
      </c>
      <c r="D102" s="107" t="s">
        <v>90</v>
      </c>
      <c r="E102" s="107" t="e">
        <f>((E101-D101)/D101)</f>
        <v>#DIV/0!</v>
      </c>
      <c r="F102" s="107" t="e">
        <f t="shared" ref="F102" si="309">((F101-E101)/E101)</f>
        <v>#DIV/0!</v>
      </c>
      <c r="G102" s="107" t="e">
        <f t="shared" ref="G102" si="310">((G101-F101)/F101)</f>
        <v>#DIV/0!</v>
      </c>
      <c r="H102" s="107" t="e">
        <f t="shared" ref="H102" si="311">((H101-G101)/G101)</f>
        <v>#DIV/0!</v>
      </c>
      <c r="I102" s="107" t="e">
        <f t="shared" ref="I102" ca="1" si="312">((I101-H101)/H101)</f>
        <v>#DIV/0!</v>
      </c>
      <c r="J102" s="107" t="e">
        <f t="shared" ref="J102" ca="1" si="313">((J101-I101)/I101)</f>
        <v>#DIV/0!</v>
      </c>
      <c r="K102" s="107" t="e">
        <f t="shared" ref="K102" ca="1" si="314">((K101-J101)/J101)</f>
        <v>#DIV/0!</v>
      </c>
      <c r="L102" s="107" t="e">
        <f t="shared" ref="L102" ca="1" si="315">((L101-K101)/K101)</f>
        <v>#DIV/0!</v>
      </c>
      <c r="M102" s="107" t="e">
        <f t="shared" ref="M102" ca="1" si="316">((M101-L101)/L101)</f>
        <v>#DIV/0!</v>
      </c>
      <c r="N102" s="107" t="e">
        <f t="shared" ref="N102" ca="1" si="317">((N101-M101)/M101)</f>
        <v>#DIV/0!</v>
      </c>
      <c r="O102" s="107" t="e">
        <f t="shared" ref="O102" ca="1" si="318">((O101-N101)/N101)</f>
        <v>#DIV/0!</v>
      </c>
      <c r="P102" s="107" t="e">
        <f t="shared" ref="P102" ca="1" si="319">((P101-O101)/O101)</f>
        <v>#DIV/0!</v>
      </c>
      <c r="Q102" s="107" t="e">
        <f t="shared" ref="Q102" ca="1" si="320">((Q101-P101)/P101)</f>
        <v>#DIV/0!</v>
      </c>
      <c r="R102" s="107" t="e">
        <f t="shared" ref="R102" ca="1" si="321">((R101-Q101)/Q101)</f>
        <v>#DIV/0!</v>
      </c>
    </row>
    <row r="103" spans="2:18" x14ac:dyDescent="0.25">
      <c r="B103" s="11"/>
      <c r="D103" s="107"/>
      <c r="E103" s="107"/>
      <c r="F103" s="107"/>
      <c r="G103" s="107"/>
      <c r="H103" s="107"/>
      <c r="I103" s="107"/>
      <c r="J103" s="107"/>
      <c r="K103" s="107"/>
      <c r="L103" s="107"/>
      <c r="M103" s="107"/>
      <c r="N103" s="107"/>
      <c r="O103" s="107"/>
      <c r="P103" s="107"/>
      <c r="Q103" s="107"/>
      <c r="R103" s="107"/>
    </row>
    <row r="104" spans="2:18" x14ac:dyDescent="0.25">
      <c r="B104" s="10"/>
      <c r="C104" s="69"/>
      <c r="D104" s="69"/>
      <c r="E104" s="69"/>
      <c r="F104" s="69"/>
      <c r="G104" s="69"/>
      <c r="H104" s="69"/>
      <c r="I104" s="69"/>
      <c r="J104" s="69"/>
      <c r="K104" s="69"/>
      <c r="L104" s="69"/>
      <c r="M104" s="69"/>
      <c r="N104" s="69"/>
      <c r="O104" s="69"/>
      <c r="P104" s="69"/>
      <c r="Q104" s="69"/>
      <c r="R104" s="69"/>
    </row>
    <row r="105" spans="2:18" x14ac:dyDescent="0.25">
      <c r="B105" s="105" t="s">
        <v>154</v>
      </c>
      <c r="C105" s="106"/>
      <c r="D105" s="254">
        <f>D96-D101</f>
        <v>0</v>
      </c>
      <c r="E105" s="254">
        <f t="shared" ref="E105:M105" si="322">E96-E101</f>
        <v>0</v>
      </c>
      <c r="F105" s="254">
        <f t="shared" si="322"/>
        <v>0</v>
      </c>
      <c r="G105" s="254">
        <f t="shared" si="322"/>
        <v>0</v>
      </c>
      <c r="H105" s="254">
        <f t="shared" si="322"/>
        <v>0</v>
      </c>
      <c r="I105" s="254" t="e">
        <f ca="1">I96-I101</f>
        <v>#DIV/0!</v>
      </c>
      <c r="J105" s="254" t="e">
        <f t="shared" ca="1" si="322"/>
        <v>#DIV/0!</v>
      </c>
      <c r="K105" s="254" t="e">
        <f t="shared" ca="1" si="322"/>
        <v>#DIV/0!</v>
      </c>
      <c r="L105" s="254" t="e">
        <f t="shared" ca="1" si="322"/>
        <v>#DIV/0!</v>
      </c>
      <c r="M105" s="254" t="e">
        <f t="shared" ca="1" si="322"/>
        <v>#DIV/0!</v>
      </c>
      <c r="N105" s="254" t="e">
        <f t="shared" ref="N105:R105" ca="1" si="323">N96-N101</f>
        <v>#DIV/0!</v>
      </c>
      <c r="O105" s="254" t="e">
        <f t="shared" ca="1" si="323"/>
        <v>#DIV/0!</v>
      </c>
      <c r="P105" s="254" t="e">
        <f t="shared" ca="1" si="323"/>
        <v>#DIV/0!</v>
      </c>
      <c r="Q105" s="254" t="e">
        <f t="shared" ca="1" si="323"/>
        <v>#DIV/0!</v>
      </c>
      <c r="R105" s="254" t="e">
        <f t="shared" ca="1" si="323"/>
        <v>#DIV/0!</v>
      </c>
    </row>
    <row r="106" spans="2:18" x14ac:dyDescent="0.25">
      <c r="B106" s="11" t="s">
        <v>89</v>
      </c>
      <c r="D106" s="107" t="s">
        <v>90</v>
      </c>
      <c r="E106" s="107" t="e">
        <f>((E105-D105)/D105)</f>
        <v>#DIV/0!</v>
      </c>
      <c r="F106" s="107" t="e">
        <f t="shared" ref="F106" si="324">((F105-E105)/E105)</f>
        <v>#DIV/0!</v>
      </c>
      <c r="G106" s="107" t="e">
        <f t="shared" ref="G106" si="325">((G105-F105)/F105)</f>
        <v>#DIV/0!</v>
      </c>
      <c r="H106" s="107" t="e">
        <f t="shared" ref="H106" si="326">((H105-G105)/G105)</f>
        <v>#DIV/0!</v>
      </c>
      <c r="I106" s="107" t="e">
        <f t="shared" ref="I106" ca="1" si="327">((I105-H105)/H105)</f>
        <v>#DIV/0!</v>
      </c>
      <c r="J106" s="107" t="e">
        <f t="shared" ref="J106" ca="1" si="328">((J105-I105)/I105)</f>
        <v>#DIV/0!</v>
      </c>
      <c r="K106" s="107" t="e">
        <f t="shared" ref="K106" ca="1" si="329">((K105-J105)/J105)</f>
        <v>#DIV/0!</v>
      </c>
      <c r="L106" s="107" t="e">
        <f t="shared" ref="L106" ca="1" si="330">((L105-K105)/K105)</f>
        <v>#DIV/0!</v>
      </c>
      <c r="M106" s="107" t="e">
        <f t="shared" ref="M106" ca="1" si="331">((M105-L105)/L105)</f>
        <v>#DIV/0!</v>
      </c>
      <c r="N106" s="107" t="e">
        <f t="shared" ref="N106" ca="1" si="332">((N105-M105)/M105)</f>
        <v>#DIV/0!</v>
      </c>
      <c r="O106" s="107" t="e">
        <f t="shared" ref="O106" ca="1" si="333">((O105-N105)/N105)</f>
        <v>#DIV/0!</v>
      </c>
      <c r="P106" s="107" t="e">
        <f t="shared" ref="P106" ca="1" si="334">((P105-O105)/O105)</f>
        <v>#DIV/0!</v>
      </c>
      <c r="Q106" s="107" t="e">
        <f t="shared" ref="Q106" ca="1" si="335">((Q105-P105)/P105)</f>
        <v>#DIV/0!</v>
      </c>
      <c r="R106" s="107" t="e">
        <f t="shared" ref="R106" ca="1" si="336">((R105-Q105)/Q105)</f>
        <v>#DIV/0!</v>
      </c>
    </row>
  </sheetData>
  <phoneticPr fontId="3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3192A-229D-496F-B844-47B02127798F}">
  <sheetPr codeName="Sheet5"/>
  <dimension ref="B2:L9"/>
  <sheetViews>
    <sheetView zoomScaleNormal="100" workbookViewId="0">
      <selection activeCell="G8" sqref="G8"/>
    </sheetView>
  </sheetViews>
  <sheetFormatPr defaultRowHeight="15" x14ac:dyDescent="0.25"/>
  <cols>
    <col min="2" max="2" width="10.5703125" bestFit="1" customWidth="1"/>
    <col min="3" max="3" width="16" bestFit="1" customWidth="1"/>
    <col min="4" max="4" width="6.140625" bestFit="1" customWidth="1"/>
    <col min="5" max="5" width="18.85546875" bestFit="1" customWidth="1"/>
    <col min="6" max="6" width="20.140625" bestFit="1" customWidth="1"/>
    <col min="7" max="7" width="12.140625" bestFit="1" customWidth="1"/>
    <col min="8" max="8" width="17.7109375" bestFit="1" customWidth="1"/>
    <col min="9" max="9" width="19.42578125" bestFit="1" customWidth="1"/>
    <col min="12" max="12" width="11.5703125" bestFit="1" customWidth="1"/>
  </cols>
  <sheetData>
    <row r="2" spans="2:12" ht="15.75" thickBot="1" x14ac:dyDescent="0.3">
      <c r="B2" s="6" t="str">
        <f>DCF!B2</f>
        <v>APPLE INC.</v>
      </c>
      <c r="C2" s="6" t="s">
        <v>155</v>
      </c>
      <c r="D2" s="19"/>
      <c r="E2" s="19"/>
      <c r="F2" s="19"/>
      <c r="G2" s="19"/>
      <c r="H2" s="19"/>
      <c r="I2" s="19"/>
      <c r="J2" s="19"/>
      <c r="K2" s="19"/>
      <c r="L2" s="19"/>
    </row>
    <row r="3" spans="2:12" ht="15.75" thickTop="1" x14ac:dyDescent="0.25">
      <c r="C3" s="140"/>
    </row>
    <row r="4" spans="2:12" x14ac:dyDescent="0.25">
      <c r="C4" t="s">
        <v>156</v>
      </c>
      <c r="D4" s="279" t="e">
        <f>((G4/G6*G7))+((G5/G6)*G8*(1-L4))</f>
        <v>#DIV/0!</v>
      </c>
      <c r="F4" t="s">
        <v>157</v>
      </c>
      <c r="G4" s="260" cm="1">
        <f t="array" ref="G4">IF(Hub!N4="Yes", (_FV(Hub!D4,"Market cap",TRUE))/1000000, Hub!V6*Hub!V7)</f>
        <v>2911482</v>
      </c>
      <c r="I4" t="s">
        <v>15</v>
      </c>
      <c r="L4" s="43">
        <f>DCF!C11</f>
        <v>0.21</v>
      </c>
    </row>
    <row r="5" spans="2:12" x14ac:dyDescent="0.25">
      <c r="F5" t="s">
        <v>158</v>
      </c>
      <c r="G5" s="260">
        <f>IF(Debt_Schedule!X28="Backup Schedule Enabled", Debt_Schedule!Y41, Debt_Schedule!H25+Debt_Schedule!Q25)</f>
        <v>0</v>
      </c>
      <c r="I5" t="s">
        <v>13</v>
      </c>
      <c r="L5" s="137" cm="1">
        <f t="array" ref="L5">IF(Hub!N4="Yes",_FV( Hub!D4,"Beta"), Hub!V8)</f>
        <v>1.2467999999999999</v>
      </c>
    </row>
    <row r="6" spans="2:12" x14ac:dyDescent="0.25">
      <c r="F6" t="s">
        <v>159</v>
      </c>
      <c r="G6" s="260">
        <f>G4+G5</f>
        <v>2911482</v>
      </c>
      <c r="I6" t="s">
        <v>37</v>
      </c>
      <c r="L6" s="43">
        <f>DCF!M12</f>
        <v>0</v>
      </c>
    </row>
    <row r="7" spans="2:12" x14ac:dyDescent="0.25">
      <c r="F7" t="s">
        <v>160</v>
      </c>
      <c r="G7" s="43">
        <f>L6+(L5*L7)</f>
        <v>0</v>
      </c>
      <c r="I7" t="s">
        <v>161</v>
      </c>
      <c r="L7" s="17">
        <f>Hub!H21</f>
        <v>0</v>
      </c>
    </row>
    <row r="8" spans="2:12" x14ac:dyDescent="0.25">
      <c r="F8" t="s">
        <v>162</v>
      </c>
      <c r="G8" s="17" t="e">
        <f>(L9/L8)*(1-L4)</f>
        <v>#DIV/0!</v>
      </c>
      <c r="I8" t="s">
        <v>163</v>
      </c>
      <c r="L8" s="260">
        <f>IF(Debt_Schedule!X28="Backup Schedule Enabled", Debt_Schedule!Y41, Debt_Schedule!Y13)</f>
        <v>0</v>
      </c>
    </row>
    <row r="9" spans="2:12" x14ac:dyDescent="0.25">
      <c r="I9" t="s">
        <v>151</v>
      </c>
      <c r="L9" s="260">
        <f>Operating_Model!H91</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E0F0-3E53-40A3-92FB-9A9330DB1C6D}">
  <sheetPr codeName="Sheet21"/>
  <dimension ref="B2:S44"/>
  <sheetViews>
    <sheetView topLeftCell="B1" workbookViewId="0">
      <selection activeCell="D8" sqref="D8:H8"/>
    </sheetView>
  </sheetViews>
  <sheetFormatPr defaultRowHeight="15" x14ac:dyDescent="0.25"/>
  <cols>
    <col min="2" max="2" width="28.42578125" customWidth="1"/>
    <col min="4" max="7" width="10.5703125" bestFit="1" customWidth="1"/>
    <col min="8" max="8" width="12.140625" customWidth="1"/>
    <col min="9" max="18" width="10.5703125" bestFit="1" customWidth="1"/>
  </cols>
  <sheetData>
    <row r="2" spans="2:19" x14ac:dyDescent="0.25">
      <c r="C2" s="75"/>
      <c r="D2" s="5"/>
      <c r="E2" s="1"/>
      <c r="F2" s="2" t="s">
        <v>85</v>
      </c>
      <c r="G2" s="1"/>
      <c r="H2" s="1"/>
      <c r="I2" s="4"/>
      <c r="J2" s="3"/>
      <c r="K2" s="3"/>
      <c r="L2" s="3"/>
      <c r="M2" s="3" t="s">
        <v>86</v>
      </c>
      <c r="N2" s="3"/>
      <c r="O2" s="3"/>
      <c r="P2" s="3"/>
      <c r="Q2" s="3"/>
      <c r="R2" s="3"/>
    </row>
    <row r="3" spans="2:19" x14ac:dyDescent="0.25">
      <c r="C3" s="182"/>
      <c r="D3" s="7">
        <f ca="1">YEAR(D4)</f>
        <v>2019</v>
      </c>
      <c r="E3" s="7">
        <f t="shared" ref="E3:H3" ca="1" si="0">YEAR(E4)</f>
        <v>2020</v>
      </c>
      <c r="F3" s="7">
        <f t="shared" ca="1" si="0"/>
        <v>2021</v>
      </c>
      <c r="G3" s="7">
        <f t="shared" ca="1" si="0"/>
        <v>2022</v>
      </c>
      <c r="H3" s="7">
        <f t="shared" ca="1" si="0"/>
        <v>2023</v>
      </c>
      <c r="I3" s="8">
        <f ca="1">YEAR(I4)</f>
        <v>2024</v>
      </c>
      <c r="J3" s="8">
        <f t="shared" ref="J3:R3" ca="1" si="1">YEAR(J4)</f>
        <v>2025</v>
      </c>
      <c r="K3" s="8">
        <f t="shared" ca="1" si="1"/>
        <v>2026</v>
      </c>
      <c r="L3" s="8">
        <f t="shared" ca="1" si="1"/>
        <v>2027</v>
      </c>
      <c r="M3" s="8">
        <f t="shared" ca="1" si="1"/>
        <v>2028</v>
      </c>
      <c r="N3" s="8">
        <f t="shared" ca="1" si="1"/>
        <v>2029</v>
      </c>
      <c r="O3" s="8">
        <f t="shared" ca="1" si="1"/>
        <v>2030</v>
      </c>
      <c r="P3" s="8">
        <f t="shared" ca="1" si="1"/>
        <v>2031</v>
      </c>
      <c r="Q3" s="8">
        <f t="shared" ca="1" si="1"/>
        <v>2032</v>
      </c>
      <c r="R3" s="8">
        <f t="shared" ca="1" si="1"/>
        <v>2033</v>
      </c>
    </row>
    <row r="4" spans="2:19" x14ac:dyDescent="0.25">
      <c r="C4" s="9"/>
      <c r="D4" s="9">
        <f t="shared" ref="D4:F4" ca="1" si="2">EOMONTH(E4,-12)</f>
        <v>43830</v>
      </c>
      <c r="E4" s="9">
        <f t="shared" ca="1" si="2"/>
        <v>44196</v>
      </c>
      <c r="F4" s="9">
        <f t="shared" ca="1" si="2"/>
        <v>44561</v>
      </c>
      <c r="G4" s="9">
        <f ca="1">EOMONTH(H4,-12)</f>
        <v>44926</v>
      </c>
      <c r="H4" s="9">
        <f ca="1">DCF!H16</f>
        <v>45291</v>
      </c>
      <c r="I4" s="9">
        <f ca="1">EOMONTH(H4,12)</f>
        <v>45657</v>
      </c>
      <c r="J4" s="9">
        <f t="shared" ref="J4:R4" ca="1" si="3">EOMONTH(I4,12)</f>
        <v>46022</v>
      </c>
      <c r="K4" s="9">
        <f t="shared" ca="1" si="3"/>
        <v>46387</v>
      </c>
      <c r="L4" s="9">
        <f t="shared" ca="1" si="3"/>
        <v>46752</v>
      </c>
      <c r="M4" s="9">
        <f t="shared" ca="1" si="3"/>
        <v>47118</v>
      </c>
      <c r="N4" s="9">
        <f t="shared" ca="1" si="3"/>
        <v>47483</v>
      </c>
      <c r="O4" s="9">
        <f t="shared" ca="1" si="3"/>
        <v>47848</v>
      </c>
      <c r="P4" s="9">
        <f t="shared" ca="1" si="3"/>
        <v>48213</v>
      </c>
      <c r="Q4" s="9">
        <f t="shared" ca="1" si="3"/>
        <v>48579</v>
      </c>
      <c r="R4" s="9">
        <f t="shared" ca="1" si="3"/>
        <v>48944</v>
      </c>
    </row>
    <row r="5" spans="2:19" x14ac:dyDescent="0.25">
      <c r="D5" s="9"/>
      <c r="E5" s="9"/>
      <c r="F5" s="9"/>
      <c r="G5" s="9"/>
      <c r="H5" s="9"/>
      <c r="I5" s="9"/>
      <c r="J5" s="9"/>
      <c r="K5" s="9"/>
      <c r="L5" s="9"/>
      <c r="M5" s="9"/>
      <c r="N5" s="9"/>
      <c r="O5" s="9"/>
      <c r="P5" s="9"/>
      <c r="Q5" s="9"/>
      <c r="R5" s="9"/>
      <c r="S5" s="9"/>
    </row>
    <row r="6" spans="2:19" x14ac:dyDescent="0.25">
      <c r="B6" s="10" t="s">
        <v>220</v>
      </c>
    </row>
    <row r="8" spans="2:19" x14ac:dyDescent="0.25">
      <c r="B8" t="s">
        <v>221</v>
      </c>
      <c r="D8" s="261"/>
      <c r="E8" s="261"/>
      <c r="F8" s="261"/>
      <c r="G8" s="261"/>
      <c r="H8" s="261"/>
      <c r="I8" s="260" t="e">
        <f t="shared" ref="I8:R8" ca="1" si="4">H8+I10-I32</f>
        <v>#DIV/0!</v>
      </c>
      <c r="J8" s="260" t="e">
        <f t="shared" ca="1" si="4"/>
        <v>#DIV/0!</v>
      </c>
      <c r="K8" s="260" t="e">
        <f t="shared" ca="1" si="4"/>
        <v>#DIV/0!</v>
      </c>
      <c r="L8" s="260" t="e">
        <f t="shared" ca="1" si="4"/>
        <v>#DIV/0!</v>
      </c>
      <c r="M8" s="260" t="e">
        <f t="shared" ca="1" si="4"/>
        <v>#DIV/0!</v>
      </c>
      <c r="N8" s="260" t="e">
        <f t="shared" ca="1" si="4"/>
        <v>#DIV/0!</v>
      </c>
      <c r="O8" s="260" t="e">
        <f t="shared" ca="1" si="4"/>
        <v>#DIV/0!</v>
      </c>
      <c r="P8" s="260" t="e">
        <f t="shared" ca="1" si="4"/>
        <v>#DIV/0!</v>
      </c>
      <c r="Q8" s="260" t="e">
        <f t="shared" ca="1" si="4"/>
        <v>#DIV/0!</v>
      </c>
      <c r="R8" s="260" t="e">
        <f t="shared" ca="1" si="4"/>
        <v>#DIV/0!</v>
      </c>
    </row>
    <row r="10" spans="2:19" ht="15" customHeight="1" x14ac:dyDescent="0.25">
      <c r="B10" t="s">
        <v>222</v>
      </c>
      <c r="D10" s="265">
        <f>DCF!D29-D41</f>
        <v>0</v>
      </c>
      <c r="E10" s="260">
        <f>DCF!E29-E41</f>
        <v>0</v>
      </c>
      <c r="F10" s="260">
        <f>DCF!F29-F41</f>
        <v>0</v>
      </c>
      <c r="G10" s="260">
        <f>DCF!G29-G41</f>
        <v>0</v>
      </c>
      <c r="H10" s="265">
        <f>DCF!H29-H41</f>
        <v>0</v>
      </c>
      <c r="I10" s="265" t="e">
        <f ca="1">I11*Revenue_Build!H36-I41</f>
        <v>#DIV/0!</v>
      </c>
      <c r="J10" s="260" t="e">
        <f ca="1">J11*Revenue_Build!I36-J41</f>
        <v>#DIV/0!</v>
      </c>
      <c r="K10" s="260" t="e">
        <f ca="1">K11*Revenue_Build!J36-K41</f>
        <v>#DIV/0!</v>
      </c>
      <c r="L10" s="260" t="e">
        <f ca="1">L11*Revenue_Build!K36-L41</f>
        <v>#DIV/0!</v>
      </c>
      <c r="M10" s="260" t="e">
        <f ca="1">M11*Revenue_Build!L36-M41</f>
        <v>#DIV/0!</v>
      </c>
      <c r="N10" s="260" t="e">
        <f ca="1">N11*Revenue_Build!M36-N41</f>
        <v>#DIV/0!</v>
      </c>
      <c r="O10" s="260" t="e">
        <f ca="1">O11*Revenue_Build!N36-O41</f>
        <v>#DIV/0!</v>
      </c>
      <c r="P10" s="260" t="e">
        <f ca="1">P11*Revenue_Build!O36-P41</f>
        <v>#DIV/0!</v>
      </c>
      <c r="Q10" s="260" t="e">
        <f ca="1">Q11*Revenue_Build!P36-Q41</f>
        <v>#DIV/0!</v>
      </c>
      <c r="R10" s="260" t="e">
        <f ca="1">R11*Revenue_Build!Q36-R41</f>
        <v>#DIV/0!</v>
      </c>
    </row>
    <row r="11" spans="2:19" x14ac:dyDescent="0.25">
      <c r="B11" s="11" t="s">
        <v>223</v>
      </c>
      <c r="D11" s="17" t="e">
        <f>D10/Revenue_Build!C36</f>
        <v>#DIV/0!</v>
      </c>
      <c r="E11" s="17" t="e">
        <f>E10/Revenue_Build!D36</f>
        <v>#DIV/0!</v>
      </c>
      <c r="F11" s="17" t="e">
        <f>F10/Revenue_Build!E36</f>
        <v>#DIV/0!</v>
      </c>
      <c r="G11" s="17" t="e">
        <f>G10/Revenue_Build!F36</f>
        <v>#DIV/0!</v>
      </c>
      <c r="H11" s="17" t="e">
        <f>H10/Revenue_Build!G36</f>
        <v>#DIV/0!</v>
      </c>
      <c r="I11" s="17" t="e">
        <f ca="1">IF(RSQ($D11:$H11,$D$3:$H$3)&gt;0.5,((SLOPE($D11:$H11,$D$3:$H$3)+H11)*RSQ($D11:$H11,$D$3:$H$3)+(AVERAGE($D11:$H11)*(1-RSQ($D11:$H11,$D$3:$H$3)))),AVERAGE($D11:$H11))</f>
        <v>#DIV/0!</v>
      </c>
      <c r="J11" s="17" t="e">
        <f t="shared" ref="J11:R11" ca="1" si="5">IF(RSQ($D11:$H11,$D$3:$H$3)&gt;0.5,((SLOPE($D11:$H11,$D$3:$H$3)+I11)*RSQ($D11:$H11,$D$3:$H$3)+(AVERAGE($D11:$H11)*(1-RSQ($D11:$H11,$D$3:$H$3)))),AVERAGE($D11:$H11))</f>
        <v>#DIV/0!</v>
      </c>
      <c r="K11" s="17" t="e">
        <f t="shared" ca="1" si="5"/>
        <v>#DIV/0!</v>
      </c>
      <c r="L11" s="17" t="e">
        <f t="shared" ca="1" si="5"/>
        <v>#DIV/0!</v>
      </c>
      <c r="M11" s="17" t="e">
        <f t="shared" ca="1" si="5"/>
        <v>#DIV/0!</v>
      </c>
      <c r="N11" s="17" t="e">
        <f t="shared" ca="1" si="5"/>
        <v>#DIV/0!</v>
      </c>
      <c r="O11" s="17" t="e">
        <f t="shared" ca="1" si="5"/>
        <v>#DIV/0!</v>
      </c>
      <c r="P11" s="17" t="e">
        <f t="shared" ca="1" si="5"/>
        <v>#DIV/0!</v>
      </c>
      <c r="Q11" s="17" t="e">
        <f t="shared" ca="1" si="5"/>
        <v>#DIV/0!</v>
      </c>
      <c r="R11" s="17" t="e">
        <f t="shared" ca="1" si="5"/>
        <v>#DIV/0!</v>
      </c>
    </row>
    <row r="13" spans="2:19" x14ac:dyDescent="0.25">
      <c r="B13" t="s">
        <v>224</v>
      </c>
      <c r="D13" s="25" t="e">
        <f>D8/SUM(D16:D30)</f>
        <v>#DIV/0!</v>
      </c>
      <c r="E13" s="25" t="e">
        <f>E8/SUM(E16:E30)</f>
        <v>#DIV/0!</v>
      </c>
      <c r="F13" s="25" t="e">
        <f>F8/SUM(F16:F30)</f>
        <v>#DIV/0!</v>
      </c>
      <c r="G13" s="25" t="e">
        <f>G8/SUM(G16:G30)</f>
        <v>#DIV/0!</v>
      </c>
      <c r="H13" s="25" t="e">
        <f>H8/SUM(H16:H30)</f>
        <v>#DIV/0!</v>
      </c>
      <c r="I13" s="25" t="e">
        <f ca="1">IF(RSQ($D13:$H13,$D$3:$H$3)&gt;0.5,((SLOPE($D13:$H13,$D$3:$H$3)+H13)*RSQ($D13:$H13,$D$3:$H$3)+(AVERAGE($D13:$H13)*(1-RSQ($D13:$H13,$D$3:$H$3)))),AVERAGE($D13:$H13))</f>
        <v>#DIV/0!</v>
      </c>
      <c r="J13" s="25" t="e">
        <f t="shared" ref="J13:R13" ca="1" si="6">IF(RSQ($D13:$H13,$D$3:$H$3)&gt;0.5,((SLOPE($D13:$H13,$D$3:$H$3)+I13)*RSQ($D13:$H13,$D$3:$H$3)+(AVERAGE($D13:$H13)*(1-RSQ($D13:$H13,$D$3:$H$3)))),AVERAGE($D13:$H13))</f>
        <v>#DIV/0!</v>
      </c>
      <c r="K13" s="25" t="e">
        <f t="shared" ca="1" si="6"/>
        <v>#DIV/0!</v>
      </c>
      <c r="L13" s="25" t="e">
        <f t="shared" ca="1" si="6"/>
        <v>#DIV/0!</v>
      </c>
      <c r="M13" s="25" t="e">
        <f t="shared" ca="1" si="6"/>
        <v>#DIV/0!</v>
      </c>
      <c r="N13" s="25" t="e">
        <f t="shared" ca="1" si="6"/>
        <v>#DIV/0!</v>
      </c>
      <c r="O13" s="25" t="e">
        <f t="shared" ca="1" si="6"/>
        <v>#DIV/0!</v>
      </c>
      <c r="P13" s="25" t="e">
        <f t="shared" ca="1" si="6"/>
        <v>#DIV/0!</v>
      </c>
      <c r="Q13" s="25" t="e">
        <f t="shared" ca="1" si="6"/>
        <v>#DIV/0!</v>
      </c>
      <c r="R13" s="25" t="e">
        <f t="shared" ca="1" si="6"/>
        <v>#DIV/0!</v>
      </c>
    </row>
    <row r="15" spans="2:19" x14ac:dyDescent="0.25">
      <c r="B15" t="s">
        <v>225</v>
      </c>
    </row>
    <row r="16" spans="2:19" x14ac:dyDescent="0.25">
      <c r="B16">
        <f ca="1">B17-1</f>
        <v>2019</v>
      </c>
      <c r="D16" s="260">
        <f>Operating_Model!D81</f>
        <v>0</v>
      </c>
      <c r="E16" s="266"/>
      <c r="F16" s="266"/>
      <c r="G16" s="266"/>
      <c r="H16" s="266"/>
      <c r="I16" s="266"/>
      <c r="J16" s="266"/>
      <c r="K16" s="266"/>
      <c r="L16" s="266"/>
      <c r="M16" s="266"/>
      <c r="N16" s="266"/>
      <c r="O16" s="266"/>
      <c r="P16" s="266"/>
      <c r="Q16" s="266"/>
      <c r="R16" s="266"/>
    </row>
    <row r="17" spans="2:18" x14ac:dyDescent="0.25">
      <c r="B17">
        <f ca="1">B18-1</f>
        <v>2020</v>
      </c>
      <c r="D17" s="266"/>
      <c r="E17" s="260">
        <f>Operating_Model!E81</f>
        <v>0</v>
      </c>
      <c r="F17" s="266"/>
      <c r="G17" s="266"/>
      <c r="H17" s="266"/>
      <c r="I17" s="266"/>
      <c r="J17" s="266"/>
      <c r="K17" s="266"/>
      <c r="L17" s="266"/>
      <c r="M17" s="266"/>
      <c r="N17" s="266"/>
      <c r="O17" s="266"/>
      <c r="P17" s="266"/>
      <c r="Q17" s="266"/>
      <c r="R17" s="266"/>
    </row>
    <row r="18" spans="2:18" x14ac:dyDescent="0.25">
      <c r="B18">
        <f ca="1">B19-1</f>
        <v>2021</v>
      </c>
      <c r="D18" s="266"/>
      <c r="E18" s="266"/>
      <c r="F18" s="260">
        <f>Operating_Model!F81</f>
        <v>0</v>
      </c>
      <c r="G18" s="266"/>
      <c r="H18" s="266"/>
      <c r="I18" s="266"/>
      <c r="J18" s="266"/>
      <c r="K18" s="266"/>
      <c r="L18" s="266"/>
      <c r="M18" s="266"/>
      <c r="N18" s="266"/>
      <c r="O18" s="266"/>
      <c r="P18" s="266"/>
      <c r="Q18" s="266"/>
      <c r="R18" s="266"/>
    </row>
    <row r="19" spans="2:18" x14ac:dyDescent="0.25">
      <c r="B19">
        <f ca="1">B20-1</f>
        <v>2022</v>
      </c>
      <c r="D19" s="266"/>
      <c r="E19" s="266"/>
      <c r="F19" s="266"/>
      <c r="G19" s="260">
        <f>Operating_Model!G81</f>
        <v>0</v>
      </c>
      <c r="H19" s="266"/>
      <c r="I19" s="266"/>
      <c r="J19" s="266"/>
      <c r="K19" s="266"/>
      <c r="L19" s="266"/>
      <c r="M19" s="266"/>
      <c r="N19" s="266"/>
      <c r="O19" s="266"/>
      <c r="P19" s="266"/>
      <c r="Q19" s="266"/>
      <c r="R19" s="266"/>
    </row>
    <row r="20" spans="2:18" x14ac:dyDescent="0.25">
      <c r="B20">
        <f ca="1">YEAR(Historicals!H9)</f>
        <v>2023</v>
      </c>
      <c r="D20" s="266"/>
      <c r="E20" s="266"/>
      <c r="F20" s="266"/>
      <c r="G20" s="266"/>
      <c r="H20" s="260">
        <f>Operating_Model!H81</f>
        <v>0</v>
      </c>
      <c r="I20" s="260" t="e">
        <f ca="1">IF($I$13 - 1 &gt;= 1, $H$10/$I$13, IF(AND($I$13 - 1 &gt;= 0, $I$13 - 1 &lt; 1), ($I$13 - 1) * ($H$10/$I$13), 0))</f>
        <v>#DIV/0!</v>
      </c>
      <c r="J20" s="260" t="e">
        <f ca="1">IF($I$13 - 2 &gt;= 1, $H$10/$I$13, IF(AND($I$13 - 2 &gt;= 0, $I$13 - 2 &lt; 1), ($I$13 - 2) * ($H$10/$I$13), 0))</f>
        <v>#DIV/0!</v>
      </c>
      <c r="K20" s="260" t="e">
        <f ca="1">IF($I$13 - 3 &gt;= 1, $H$10/$I$13, IF(AND($I$13 - 3 &gt;= 0, $I$13 - 3 &lt; 1), ($I$13 - 3) * ($H$10/$I$13), 0))</f>
        <v>#DIV/0!</v>
      </c>
      <c r="L20" s="260" t="e">
        <f ca="1">IF($I$13 - 4 &gt;= 1, $H$10/$I$13, IF(AND($I$13 - 4 &gt;= 0, $I$13 - 4 &lt; 1), ($I$13 - 4) * ($H$10/$I$13), 0))</f>
        <v>#DIV/0!</v>
      </c>
      <c r="M20" s="260" t="e">
        <f ca="1">IF($I$13 - 5 &gt;= 1, $H$10/$I$13, IF(AND($I$13 - 5 &gt;= 0, $I$13 - 5 &lt; 1), ($I$13 - 5) * ($H$10/$I$13), 0))</f>
        <v>#DIV/0!</v>
      </c>
      <c r="N20" s="260" t="e">
        <f ca="1">IF($I$13 - 6 &gt;= 1, $H$10/$I$13, IF(AND($I$13 - 6 &gt;= 0, $I$13 - 6 &lt; 1), ($I$13 - 6) * ($H$10/$I$13), 0))</f>
        <v>#DIV/0!</v>
      </c>
      <c r="O20" s="260" t="e">
        <f ca="1">IF($I$13 - 7 &gt;= 1, $H$10/$I$13, IF(AND($I$13 - 7 &gt;= 0, $I$13 - 7 &lt; 1), ($I$13 - 7) * ($H$10/$I$13), 0))</f>
        <v>#DIV/0!</v>
      </c>
      <c r="P20" s="260" t="e">
        <f ca="1">IF($I$13 - 8 &gt;= 1, $H$10/$I$13, IF(AND($I$13 - 8 &gt;= 0, $I$13 - 8 &lt; 1), ($I$13 - 8) * ($H$10/$I$13), 0))</f>
        <v>#DIV/0!</v>
      </c>
      <c r="Q20" s="260" t="e">
        <f ca="1">IF($I$13 - 9 &gt;= 1, $H$10/$I$13, IF(AND($I$13 - 9 &gt;= 0, $I$13 - 9 &lt; 1), ($I$13 - 9) * ($H$10/$I$13), 0))</f>
        <v>#DIV/0!</v>
      </c>
      <c r="R20" s="260" t="e">
        <f ca="1">IF($I$13 - 10 &gt;= 1, $H$10/$I$13, IF(AND($I$13 - 10 &gt;= 0, $I$13 - 10 &lt; 1), ($I$13 - 10) * ($H$10/$I$13), 0))</f>
        <v>#DIV/0!</v>
      </c>
    </row>
    <row r="21" spans="2:18" x14ac:dyDescent="0.25">
      <c r="B21">
        <f t="shared" ref="B21:B30" ca="1" si="7">B20+1</f>
        <v>2024</v>
      </c>
      <c r="D21" s="266"/>
      <c r="E21" s="266"/>
      <c r="F21" s="266"/>
      <c r="G21" s="266"/>
      <c r="H21" s="266"/>
      <c r="I21" s="260" t="e">
        <f ca="1">IF($I$13 - 0 &gt;= 1, $I$10/$I$13, IF(AND($I$13 - 0 &gt;= 0, $I$13 - 0 &lt; 1), ($I$13 - 0) * ($I$10/$I$13), 0))</f>
        <v>#DIV/0!</v>
      </c>
      <c r="J21" s="260" t="e">
        <f ca="1">IF($I$13 - 1 &gt;= 1, $I$10/$I$13, IF(AND($I$13 - 1 &gt;= 0, $I$13 - 1 &lt; 1), ($I$13 - 1) * ($I$10/$I$13), 0))</f>
        <v>#DIV/0!</v>
      </c>
      <c r="K21" s="260" t="e">
        <f ca="1">IF($I$13 - 2 &gt;= 1, $I$10/$I$13, IF(AND($I$13 - 2 &gt;= 0, $I$13 - 2 &lt; 1), ($I$13 - 2) * ($I$10/$I$13), 0))</f>
        <v>#DIV/0!</v>
      </c>
      <c r="L21" s="260" t="e">
        <f ca="1">IF($I$13 - 3 &gt;= 1, $I$10/$I$13, IF(AND($I$13 - 3 &gt;= 0, $I$13 - 3 &lt; 1), ($I$13 - 3) * ($I$10/$I$13), 0))</f>
        <v>#DIV/0!</v>
      </c>
      <c r="M21" s="260" t="e">
        <f ca="1">IF($I$13 - 4 &gt;= 1, $I$10/$I$13, IF(AND($I$13 - 4 &gt;= 0, $I$13 - 4 &lt; 1), ($I$13 - 4) * ($I$10/$I$13), 0))</f>
        <v>#DIV/0!</v>
      </c>
      <c r="N21" s="260" t="e">
        <f ca="1">IF($I$13 - 5 &gt;= 1, $I$10/$I$13, IF(AND($I$13 - 5 &gt;= 0, $I$13 - 5 &lt; 1), ($I$13 - 5) * ($I$10/$I$13), 0))</f>
        <v>#DIV/0!</v>
      </c>
      <c r="O21" s="260" t="e">
        <f ca="1">IF($I$13 - 6 &gt;= 1, $I$10/$I$13, IF(AND($I$13 - 6 &gt;= 0, $I$13 - 6 &lt; 1), ($I$13 - 6) * ($I$10/$I$13), 0))</f>
        <v>#DIV/0!</v>
      </c>
      <c r="P21" s="260" t="e">
        <f ca="1">IF($I$13 - 7 &gt;= 1, $I$10/$I$13, IF(AND($I$13 - 7 &gt;= 0, $I$13 - 7 &lt; 1), ($I$13 - 7) * ($I$10/$I$13), 0))</f>
        <v>#DIV/0!</v>
      </c>
      <c r="Q21" s="260" t="e">
        <f ca="1">IF($I$13 - 8 &gt;= 1, $I$10/$I$13, IF(AND($I$13 - 8 &gt;= 0, $I$13 - 8 &lt; 1), ($I$13 - 8) * ($I$10/$I$13), 0))</f>
        <v>#DIV/0!</v>
      </c>
      <c r="R21" s="260" t="e">
        <f ca="1">IF($I$13 - 9 &gt;= 1, $I$10/$I$13, IF(AND($I$13 - 9 &gt;= 0, $I$13 - 9 &lt; 1), ($I$13 - 9) * ($I$10/$I$13), 0))</f>
        <v>#DIV/0!</v>
      </c>
    </row>
    <row r="22" spans="2:18" x14ac:dyDescent="0.25">
      <c r="B22">
        <f t="shared" ca="1" si="7"/>
        <v>2025</v>
      </c>
      <c r="D22" s="266"/>
      <c r="E22" s="266"/>
      <c r="F22" s="266"/>
      <c r="G22" s="266"/>
      <c r="H22" s="266"/>
      <c r="I22" s="266"/>
      <c r="J22" s="260" t="e">
        <f ca="1">IF($I$13 - 0 &gt;= 1, $J$10/$I$13, IF(AND($I$13 - 0 &gt;= 0, $I$13 - 0 &lt; 1), ($I$13 - 0) * ($J$10/$I$13), 0))</f>
        <v>#DIV/0!</v>
      </c>
      <c r="K22" s="260" t="e">
        <f ca="1">IF($I$13 - 1 &gt;= 1, $J$10/$I$13, IF(AND($I$13 - 1 &gt;= 0, $I$13 - 1 &lt; 1), ($I$13 - 1) * ($J$10/$I$13), 0))</f>
        <v>#DIV/0!</v>
      </c>
      <c r="L22" s="260" t="e">
        <f ca="1">IF($I$13 - 2 &gt;= 1, $J$10/$I$13, IF(AND($I$13 - 2 &gt;= 0, $I$13 - 2 &lt; 1), ($I$13 - 2) * ($J$10/$I$13), 0))</f>
        <v>#DIV/0!</v>
      </c>
      <c r="M22" s="260" t="e">
        <f ca="1">IF($I$13 - 3 &gt;= 1, $J$10/$I$13, IF(AND($I$13 - 3 &gt;= 0, $I$13 - 3 &lt; 1), ($I$13 - 3) * ($J$10/$I$13), 0))</f>
        <v>#DIV/0!</v>
      </c>
      <c r="N22" s="260" t="e">
        <f ca="1">IF($I$13 - 4 &gt;= 1, $J$10/$I$13, IF(AND($I$13 - 4 &gt;= 0, $I$13 - 4 &lt; 1), ($I$13 - 4) * ($J$10/$I$13), 0))</f>
        <v>#DIV/0!</v>
      </c>
      <c r="O22" s="260" t="e">
        <f ca="1">IF($I$13 - 5 &gt;= 1, $J$10/$I$13, IF(AND($I$13 - 5 &gt;= 0, $I$13 - 5 &lt; 1), ($I$13 - 5) * ($J$10/$I$13), 0))</f>
        <v>#DIV/0!</v>
      </c>
      <c r="P22" s="260" t="e">
        <f ca="1">IF($I$13 - 6 &gt;= 1, $J$10/$I$13, IF(AND($I$13 - 6 &gt;= 0, $I$13 - 6 &lt; 1), ($I$13 - 6) * ($J$10/$I$13), 0))</f>
        <v>#DIV/0!</v>
      </c>
      <c r="Q22" s="260" t="e">
        <f ca="1">IF($I$13 -  7&gt;= 1, $J$10/$I$13, IF(AND($I$13 - 7 &gt;= 0, $I$13 - 7 &lt; 1), ($I$13 - 7) * ($J$10/$I$13), 0))</f>
        <v>#DIV/0!</v>
      </c>
      <c r="R22" s="260" t="e">
        <f ca="1">IF($I$13 - 8 &gt;= 1, $J$10/$I$13, IF(AND($I$13 - 8 &gt;= 0, $I$13 - 8 &lt; 1), ($I$13 - 8) * ($J$10/$I$13), 0))</f>
        <v>#DIV/0!</v>
      </c>
    </row>
    <row r="23" spans="2:18" x14ac:dyDescent="0.25">
      <c r="B23">
        <f t="shared" ca="1" si="7"/>
        <v>2026</v>
      </c>
      <c r="D23" s="266"/>
      <c r="E23" s="266"/>
      <c r="F23" s="266"/>
      <c r="G23" s="266"/>
      <c r="H23" s="266"/>
      <c r="I23" s="266"/>
      <c r="J23" s="266"/>
      <c r="K23" s="260" t="e">
        <f ca="1">IF($I$13 - 0 &gt;= 1, $K$10/$I$13, IF(AND($I$13 - 0 &gt;= 0, $I$13 - 0 &lt; 1), ($I$13 - 0) * ($K$10/$I$13), 0))</f>
        <v>#DIV/0!</v>
      </c>
      <c r="L23" s="260" t="e">
        <f ca="1">IF($I$13 - 1 &gt;= 1, $K$10/$I$13, IF(AND($I$13 - 1 &gt;= 0, $I$13 - 1 &lt; 1), ($I$13 - 1) * ($K$10/$I$13), 0))</f>
        <v>#DIV/0!</v>
      </c>
      <c r="M23" s="260" t="e">
        <f ca="1">IF($I$13 - 2 &gt;= 1, $K$10/$I$13, IF(AND($I$13 - 2 &gt;= 0, $I$13 - 2 &lt; 1), ($I$13 - 2) * ($K$10/$I$13), 0))</f>
        <v>#DIV/0!</v>
      </c>
      <c r="N23" s="260" t="e">
        <f ca="1">IF($I$13 - 3 &gt;= 1, $K$10/$I$13, IF(AND($I$13 - 3 &gt;= 0, $I$13 - 3 &lt; 1), ($I$13 - 3) * ($K$10/$I$13), 0))</f>
        <v>#DIV/0!</v>
      </c>
      <c r="O23" s="260" t="e">
        <f ca="1">IF($I$13 - 4 &gt;= 1, $K$10/$I$13, IF(AND($I$13 - 4 &gt;= 0, $I$13 - 4 &lt; 1), ($I$13 - 4) * ($K$10/$I$13), 0))</f>
        <v>#DIV/0!</v>
      </c>
      <c r="P23" s="260" t="e">
        <f ca="1">IF($I$13 - 5 &gt;= 1, $K$10/$I$13, IF(AND($I$13 - 5 &gt;= 0, $I$13 - 5 &lt; 1), ($I$13 - 5) * ($K$10/$I$13), 0))</f>
        <v>#DIV/0!</v>
      </c>
      <c r="Q23" s="260" t="e">
        <f ca="1">IF($I$13 - 6 &gt;= 1, $K$10/$I$13, IF(AND($I$13 - 6 &gt;= 0, $I$13 - 6 &lt; 1), ($I$13 - 6) * ($K$10/$I$13), 0))</f>
        <v>#DIV/0!</v>
      </c>
      <c r="R23" s="260" t="e">
        <f ca="1">IF($I$13 - 7 &gt;= 1, $K$10/$I$13, IF(AND($I$13 - 7 &gt;= 0, $I$13 - 7 &lt; 1), ($I$13 - 7) * ($K$10/$I$13), 0))</f>
        <v>#DIV/0!</v>
      </c>
    </row>
    <row r="24" spans="2:18" x14ac:dyDescent="0.25">
      <c r="B24">
        <f t="shared" ca="1" si="7"/>
        <v>2027</v>
      </c>
      <c r="D24" s="266"/>
      <c r="E24" s="266"/>
      <c r="F24" s="266"/>
      <c r="G24" s="266"/>
      <c r="H24" s="266"/>
      <c r="I24" s="266"/>
      <c r="J24" s="266"/>
      <c r="K24" s="266"/>
      <c r="L24" s="260" t="e">
        <f ca="1">IF($I$13 - 0 &gt;= 1, $L$10/$I$13, IF(AND($I$13 - 0 &gt;= 0, $I$13 - 0 &lt; 1), ($I$13 - 0) * ($L$10/$I$13), 0))</f>
        <v>#DIV/0!</v>
      </c>
      <c r="M24" s="260" t="e">
        <f ca="1">IF($I$13 - 1 &gt;= 1, $L$10/$I$13, IF(AND($I$13 - 1 &gt;= 0, $I$13 - 1 &lt; 1), ($I$13 - 1) * ($L$10/$I$13), 0))</f>
        <v>#DIV/0!</v>
      </c>
      <c r="N24" s="260" t="e">
        <f ca="1">IF($I$13 - 2 &gt;= 1, $L$10/$I$13, IF(AND($I$13 - 2 &gt;= 0, $I$13 - 2 &lt; 1), ($I$13 - 2) * ($L$10/$I$13), 0))</f>
        <v>#DIV/0!</v>
      </c>
      <c r="O24" s="260" t="e">
        <f ca="1">IF($I$13 - 3 &gt;= 1, $L$10/$I$13, IF(AND($I$13 - 3 &gt;= 0, $I$13 - 3 &lt; 1), ($I$13 - 3) * ($L$10/$I$13), 0))</f>
        <v>#DIV/0!</v>
      </c>
      <c r="P24" s="260" t="e">
        <f ca="1">IF($I$13 - 4 &gt;= 1, $L$10/$I$13, IF(AND($I$13 - 4 &gt;= 0, $I$13 - 4 &lt; 1), ($I$13 - 4) * ($L$10/$I$13), 0))</f>
        <v>#DIV/0!</v>
      </c>
      <c r="Q24" s="260" t="e">
        <f ca="1">IF($I$13 - 5 &gt;= 1, $L$10/$I$13, IF(AND($I$13 - 5 &gt;= 0, $I$13 - 5 &lt; 1), ($I$13 - 5) * ($L$10/$I$13), 0))</f>
        <v>#DIV/0!</v>
      </c>
      <c r="R24" s="260" t="e">
        <f ca="1">IF($I$13 - 6 &gt;= 1, $L$10/$I$13, IF(AND($I$13 - 6 &gt;= 0, $I$13 - 6 &lt; 1), ($I$13 - 6) * ($L$10/$I$13), 0))</f>
        <v>#DIV/0!</v>
      </c>
    </row>
    <row r="25" spans="2:18" x14ac:dyDescent="0.25">
      <c r="B25">
        <f t="shared" ca="1" si="7"/>
        <v>2028</v>
      </c>
      <c r="D25" s="266"/>
      <c r="E25" s="266"/>
      <c r="F25" s="266"/>
      <c r="G25" s="266"/>
      <c r="H25" s="266"/>
      <c r="I25" s="266"/>
      <c r="J25" s="266"/>
      <c r="K25" s="266"/>
      <c r="L25" s="266"/>
      <c r="M25" s="260" t="e">
        <f ca="1">IF($I$13 - 0 &gt;= 1, $M$10/$I$13, IF(AND($I$13 - 0 &gt;= 0, $I$13 - 0 &lt; 1), ($I$13 - 0) * ($M$10/$I$13), 0))</f>
        <v>#DIV/0!</v>
      </c>
      <c r="N25" s="260" t="e">
        <f ca="1">IF($I$13 - 1 &gt;= 1, $M$10/$I$13, IF(AND($I$13 - 1 &gt;= 0, $I$13 - 1 &lt; 1), ($I$13 - 1) * ($M$10/$I$13), 0))</f>
        <v>#DIV/0!</v>
      </c>
      <c r="O25" s="260" t="e">
        <f ca="1">IF($I$13 - 2 &gt;= 1, $M$10/$I$13, IF(AND($I$13 - 2 &gt;= 0, $I$13 - 2 &lt; 1), ($I$13 - 2) * ($M$10/$I$13), 0))</f>
        <v>#DIV/0!</v>
      </c>
      <c r="P25" s="260" t="e">
        <f ca="1">IF($I$13 - 3 &gt;= 1, $M$10/$I$13, IF(AND($I$13 - 3 &gt;= 0, $I$13 - 3 &lt; 1), ($I$13 - 3) * ($M$10/$I$13), 0))</f>
        <v>#DIV/0!</v>
      </c>
      <c r="Q25" s="260" t="e">
        <f ca="1">IF($I$13 - 4 &gt;= 1, $M$10/$I$13, IF(AND($I$13 - 4 &gt;= 0, $I$13 - 4 &lt; 1), ($I$13 - 4) * ($M$10/$I$13), 0))</f>
        <v>#DIV/0!</v>
      </c>
      <c r="R25" s="260" t="e">
        <f ca="1">IF($I$13 - 5 &gt;= 1, $M$10/$I$13, IF(AND($I$13 - 5 &gt;= 0, $I$13 - 5 &lt; 1), ($I$13 - 5) * ($M$10/$I$13), 0))</f>
        <v>#DIV/0!</v>
      </c>
    </row>
    <row r="26" spans="2:18" x14ac:dyDescent="0.25">
      <c r="B26">
        <f t="shared" ca="1" si="7"/>
        <v>2029</v>
      </c>
      <c r="D26" s="266"/>
      <c r="E26" s="266"/>
      <c r="F26" s="266"/>
      <c r="G26" s="266"/>
      <c r="H26" s="266"/>
      <c r="I26" s="266"/>
      <c r="J26" s="266"/>
      <c r="K26" s="266"/>
      <c r="L26" s="266"/>
      <c r="M26" s="266"/>
      <c r="N26" s="260" t="e">
        <f ca="1">IF($I$13 - 0 &gt;= 1, $N$10/$I$13, IF(AND($I$13 - 0 &gt;= 0, $I$13 - 0 &lt; 1), ($I$13 - 0) * ($N$10/$I$13), 0))</f>
        <v>#DIV/0!</v>
      </c>
      <c r="O26" s="260" t="e">
        <f ca="1">IF($I$13 - 1 &gt;= 1, $N$10/$I$13, IF(AND($I$13 - 1 &gt;= 0, $I$13 - 1 &lt; 1), ($I$13 - 1) * ($N$10/$I$13), 0))</f>
        <v>#DIV/0!</v>
      </c>
      <c r="P26" s="260" t="e">
        <f ca="1">IF($I$13 - 2 &gt;= 1, $N$10/$I$13, IF(AND($I$13 - 2 &gt;= 0, $I$13 - 2 &lt; 1), ($I$13 - 2) * ($N$10/$I$13), 0))</f>
        <v>#DIV/0!</v>
      </c>
      <c r="Q26" s="260" t="e">
        <f ca="1">IF($I$13 - 3 &gt;= 1, $N$10/$I$13, IF(AND($I$13 - 3 &gt;= 0, $I$13 - 3 &lt; 1), ($I$13 - 3) * ($N$10/$I$13), 0))</f>
        <v>#DIV/0!</v>
      </c>
      <c r="R26" s="260" t="e">
        <f ca="1">IF($I$13 - 4 &gt;= 1, $N$10/$I$13, IF(AND($I$13 - 4 &gt;= 0, $I$13 - 4 &lt; 1), ($I$13 - 4) * ($N$10/$I$13), 0))</f>
        <v>#DIV/0!</v>
      </c>
    </row>
    <row r="27" spans="2:18" x14ac:dyDescent="0.25">
      <c r="B27">
        <f t="shared" ca="1" si="7"/>
        <v>2030</v>
      </c>
      <c r="D27" s="266"/>
      <c r="E27" s="266"/>
      <c r="F27" s="266"/>
      <c r="G27" s="266"/>
      <c r="H27" s="266"/>
      <c r="I27" s="266"/>
      <c r="J27" s="266"/>
      <c r="K27" s="266"/>
      <c r="L27" s="266"/>
      <c r="M27" s="266"/>
      <c r="N27" s="266"/>
      <c r="O27" s="260" t="e">
        <f ca="1">IF($I$13 - 0 &gt;= 1, $O$10/$I$13, IF(AND($I$13 - 0 &gt;= 0, $I$13 - 0 &lt; 1), ($I$13 - 0) * ($O$10/$I$13), 0))</f>
        <v>#DIV/0!</v>
      </c>
      <c r="P27" s="260" t="e">
        <f ca="1">IF($I$13 - 1 &gt;= 1, $O$10/$I$13, IF(AND($I$13 - 1 &gt;= 0, $I$13 - 1 &lt; 1), ($I$13 - 1) * ($O$10/$I$13), 0))</f>
        <v>#DIV/0!</v>
      </c>
      <c r="Q27" s="260" t="e">
        <f ca="1">IF($I$13 - 2 &gt;= 1, $O$10/$I$13, IF(AND($I$13 - 2 &gt;= 0, $I$13 - 2 &lt; 1), ($I$13 - 2) * ($O$10/$I$13), 0))</f>
        <v>#DIV/0!</v>
      </c>
      <c r="R27" s="260" t="e">
        <f ca="1">IF($I$13 - 3 &gt;= 1, $O$10/$I$13, IF(AND($I$13 - 3 &gt;= 0, $I$13 - 3 &lt; 1), ($I$13 - 3) * ($O$10/$I$13), 0))</f>
        <v>#DIV/0!</v>
      </c>
    </row>
    <row r="28" spans="2:18" x14ac:dyDescent="0.25">
      <c r="B28">
        <f t="shared" ca="1" si="7"/>
        <v>2031</v>
      </c>
      <c r="D28" s="266"/>
      <c r="E28" s="266"/>
      <c r="F28" s="266"/>
      <c r="G28" s="266"/>
      <c r="H28" s="266"/>
      <c r="I28" s="266"/>
      <c r="J28" s="266"/>
      <c r="K28" s="266"/>
      <c r="L28" s="266"/>
      <c r="M28" s="266"/>
      <c r="N28" s="266"/>
      <c r="O28" s="266"/>
      <c r="P28" s="260" t="e">
        <f ca="1">IF($I$13 - 0 &gt;= 1, $P$10/$I$13, IF(AND($I$13 - 0 &gt;= 0, $I$13 - 0 &lt; 1), ($I$13 - 0) * ($P$10/$I$13), 0))</f>
        <v>#DIV/0!</v>
      </c>
      <c r="Q28" s="260" t="e">
        <f ca="1">IF($I$13 - 1 &gt;= 1, $P$10/$I$13, IF(AND($I$13 - 1 &gt;= 0, $I$13 - 1 &lt; 1), ($I$13 - 1) * ($P$10/$I$13), 0))</f>
        <v>#DIV/0!</v>
      </c>
      <c r="R28" s="260" t="e">
        <f ca="1">IF($I$13 - 2 &gt;= 1, $P$10/$I$13, IF(AND($I$13 - 2 &gt;= 0, $I$13 - 2 &lt; 1), ($I$13 - 2) * ($P$10/$I$13), 0))</f>
        <v>#DIV/0!</v>
      </c>
    </row>
    <row r="29" spans="2:18" x14ac:dyDescent="0.25">
      <c r="B29">
        <f t="shared" ca="1" si="7"/>
        <v>2032</v>
      </c>
      <c r="D29" s="266"/>
      <c r="E29" s="266"/>
      <c r="F29" s="266"/>
      <c r="G29" s="266"/>
      <c r="H29" s="266"/>
      <c r="I29" s="266"/>
      <c r="J29" s="266"/>
      <c r="K29" s="266"/>
      <c r="L29" s="266"/>
      <c r="M29" s="266"/>
      <c r="N29" s="266"/>
      <c r="O29" s="266"/>
      <c r="P29" s="266"/>
      <c r="Q29" s="260" t="e">
        <f ca="1">IF($I$13 - 0 &gt;= 1, $Q$10/$I$13, IF(AND($I$13 - 0 &gt;= 0, $I$13 - 0 &lt; 1), ($I$13 - 0) * ($Q$10/$I$13), 0))</f>
        <v>#DIV/0!</v>
      </c>
      <c r="R29" s="260" t="e">
        <f ca="1">IF($I$13 - 1 &gt;= 1, $Q$10/$I$13, IF(AND($I$13 - 1 &gt;= 0, $I$13 - 1 &lt; 1), ($I$13 - 1) * ($Q$10/$I$13), 0))</f>
        <v>#DIV/0!</v>
      </c>
    </row>
    <row r="30" spans="2:18" x14ac:dyDescent="0.25">
      <c r="B30">
        <f t="shared" ca="1" si="7"/>
        <v>2033</v>
      </c>
      <c r="D30" s="266"/>
      <c r="E30" s="266"/>
      <c r="F30" s="266"/>
      <c r="G30" s="266"/>
      <c r="H30" s="266"/>
      <c r="I30" s="266"/>
      <c r="J30" s="266"/>
      <c r="K30" s="266"/>
      <c r="L30" s="266"/>
      <c r="M30" s="266"/>
      <c r="N30" s="266"/>
      <c r="O30" s="266"/>
      <c r="P30" s="266"/>
      <c r="Q30" s="266"/>
      <c r="R30" s="260" t="e">
        <f ca="1">IF($I$13 - 0 &gt;= 1, $R$10/$I$13, IF(AND($I$13 - 0 &gt;= 0, $I$13 - 0 &lt; 1), ($I$13 - 0) * ($R$10/$I$13), 0))</f>
        <v>#DIV/0!</v>
      </c>
    </row>
    <row r="32" spans="2:18" x14ac:dyDescent="0.25">
      <c r="B32" s="105" t="s">
        <v>226</v>
      </c>
      <c r="C32" s="109"/>
      <c r="D32" s="270">
        <f t="shared" ref="D32:R32" si="8">SUM(D16:D30)</f>
        <v>0</v>
      </c>
      <c r="E32" s="270">
        <f t="shared" si="8"/>
        <v>0</v>
      </c>
      <c r="F32" s="270">
        <f t="shared" si="8"/>
        <v>0</v>
      </c>
      <c r="G32" s="270">
        <f t="shared" si="8"/>
        <v>0</v>
      </c>
      <c r="H32" s="270">
        <f t="shared" si="8"/>
        <v>0</v>
      </c>
      <c r="I32" s="270" t="e">
        <f t="shared" ca="1" si="8"/>
        <v>#DIV/0!</v>
      </c>
      <c r="J32" s="270" t="e">
        <f t="shared" ca="1" si="8"/>
        <v>#DIV/0!</v>
      </c>
      <c r="K32" s="270" t="e">
        <f t="shared" ca="1" si="8"/>
        <v>#DIV/0!</v>
      </c>
      <c r="L32" s="270" t="e">
        <f t="shared" ca="1" si="8"/>
        <v>#DIV/0!</v>
      </c>
      <c r="M32" s="270" t="e">
        <f t="shared" ca="1" si="8"/>
        <v>#DIV/0!</v>
      </c>
      <c r="N32" s="270" t="e">
        <f t="shared" ca="1" si="8"/>
        <v>#DIV/0!</v>
      </c>
      <c r="O32" s="270" t="e">
        <f t="shared" ca="1" si="8"/>
        <v>#DIV/0!</v>
      </c>
      <c r="P32" s="270" t="e">
        <f t="shared" ca="1" si="8"/>
        <v>#DIV/0!</v>
      </c>
      <c r="Q32" s="270" t="e">
        <f t="shared" ca="1" si="8"/>
        <v>#DIV/0!</v>
      </c>
      <c r="R32" s="270" t="e">
        <f t="shared" ca="1" si="8"/>
        <v>#DIV/0!</v>
      </c>
    </row>
    <row r="33" spans="2:19" x14ac:dyDescent="0.25">
      <c r="B33" s="11" t="s">
        <v>171</v>
      </c>
      <c r="D33" s="17" t="e">
        <f>D32/Revenue_Build!C36</f>
        <v>#DIV/0!</v>
      </c>
      <c r="E33" s="17" t="e">
        <f>E32/Revenue_Build!D36</f>
        <v>#DIV/0!</v>
      </c>
      <c r="F33" s="17" t="e">
        <f>F32/Revenue_Build!E36</f>
        <v>#DIV/0!</v>
      </c>
      <c r="G33" s="17" t="e">
        <f>G32/Revenue_Build!F36</f>
        <v>#DIV/0!</v>
      </c>
      <c r="H33" s="17" t="e">
        <f>H32/Revenue_Build!G36</f>
        <v>#DIV/0!</v>
      </c>
      <c r="I33" s="17" t="e">
        <f ca="1">I32/Revenue_Build!H36</f>
        <v>#DIV/0!</v>
      </c>
      <c r="J33" s="17" t="e">
        <f ca="1">J32/Revenue_Build!I36</f>
        <v>#DIV/0!</v>
      </c>
      <c r="K33" s="17" t="e">
        <f ca="1">K32/Revenue_Build!J36</f>
        <v>#DIV/0!</v>
      </c>
      <c r="L33" s="17" t="e">
        <f ca="1">L32/Revenue_Build!K36</f>
        <v>#DIV/0!</v>
      </c>
      <c r="M33" s="17" t="e">
        <f ca="1">M32/Revenue_Build!L36</f>
        <v>#DIV/0!</v>
      </c>
      <c r="N33" s="17" t="e">
        <f ca="1">N32/Revenue_Build!M36</f>
        <v>#DIV/0!</v>
      </c>
      <c r="O33" s="17" t="e">
        <f ca="1">O32/Revenue_Build!N36</f>
        <v>#DIV/0!</v>
      </c>
      <c r="P33" s="17" t="e">
        <f ca="1">P32/Revenue_Build!O36</f>
        <v>#DIV/0!</v>
      </c>
      <c r="Q33" s="17" t="e">
        <f ca="1">Q32/Revenue_Build!P36</f>
        <v>#DIV/0!</v>
      </c>
      <c r="R33" s="17" t="e">
        <f ca="1">R32/Revenue_Build!Q36</f>
        <v>#DIV/0!</v>
      </c>
    </row>
    <row r="35" spans="2:19" ht="15" customHeight="1" x14ac:dyDescent="0.25">
      <c r="B35" t="s">
        <v>227</v>
      </c>
      <c r="D35" s="261"/>
      <c r="E35" s="261"/>
      <c r="F35" s="261"/>
      <c r="G35" s="261"/>
      <c r="H35" s="261"/>
      <c r="I35" s="265" t="e">
        <f ca="1">IF(RSQ($D35:$H35,$D$3:$H$3)&gt;0.5,((SLOPE($D35:$H35,$D$3:$H$3)+H35)*RSQ($D35:$H35,$D$3:$H$3)+(AVERAGE($D35:$H35)*(1-RSQ($D35:$H35,$D$3:$H$3)))),AVERAGE($D35:$H35))</f>
        <v>#DIV/0!</v>
      </c>
      <c r="J35" s="260" t="e">
        <f t="shared" ref="J35:R35" ca="1" si="9">IF(RSQ($D35:$H35,$D$3:$H$3)&gt;0.5,((SLOPE($D35:$H35,$D$3:$H$3)+I35)*RSQ($D35:$H35,$D$3:$H$3)+(AVERAGE($D35:$H35)*(1-RSQ($D35:$H35,$D$3:$H$3)))),AVERAGE($D35:$H35))</f>
        <v>#DIV/0!</v>
      </c>
      <c r="K35" s="260" t="e">
        <f t="shared" ca="1" si="9"/>
        <v>#DIV/0!</v>
      </c>
      <c r="L35" s="260" t="e">
        <f t="shared" ca="1" si="9"/>
        <v>#DIV/0!</v>
      </c>
      <c r="M35" s="260" t="e">
        <f t="shared" ca="1" si="9"/>
        <v>#DIV/0!</v>
      </c>
      <c r="N35" s="260" t="e">
        <f t="shared" ca="1" si="9"/>
        <v>#DIV/0!</v>
      </c>
      <c r="O35" s="260" t="e">
        <f t="shared" ca="1" si="9"/>
        <v>#DIV/0!</v>
      </c>
      <c r="P35" s="260" t="e">
        <f t="shared" ca="1" si="9"/>
        <v>#DIV/0!</v>
      </c>
      <c r="Q35" s="260" t="e">
        <f t="shared" ca="1" si="9"/>
        <v>#DIV/0!</v>
      </c>
      <c r="R35" s="260" t="e">
        <f t="shared" ca="1" si="9"/>
        <v>#DIV/0!</v>
      </c>
      <c r="S35" s="313"/>
    </row>
    <row r="36" spans="2:19" x14ac:dyDescent="0.25">
      <c r="B36" t="s">
        <v>228</v>
      </c>
      <c r="D36" s="260">
        <f>Operating_Model!D82</f>
        <v>0</v>
      </c>
      <c r="E36" s="260">
        <f>Operating_Model!E82</f>
        <v>0</v>
      </c>
      <c r="F36" s="260">
        <f>Operating_Model!F82</f>
        <v>0</v>
      </c>
      <c r="G36" s="260">
        <f>Operating_Model!G82</f>
        <v>0</v>
      </c>
      <c r="H36" s="260">
        <f>Operating_Model!H82</f>
        <v>0</v>
      </c>
      <c r="I36" s="267" t="e">
        <f ca="1">I35/I39</f>
        <v>#DIV/0!</v>
      </c>
      <c r="J36" s="260" t="e">
        <f t="shared" ref="J36:R36" ca="1" si="10">J35/J39</f>
        <v>#DIV/0!</v>
      </c>
      <c r="K36" s="260" t="e">
        <f t="shared" ca="1" si="10"/>
        <v>#DIV/0!</v>
      </c>
      <c r="L36" s="260" t="e">
        <f t="shared" ca="1" si="10"/>
        <v>#DIV/0!</v>
      </c>
      <c r="M36" s="260" t="e">
        <f t="shared" ca="1" si="10"/>
        <v>#DIV/0!</v>
      </c>
      <c r="N36" s="260" t="e">
        <f t="shared" ca="1" si="10"/>
        <v>#DIV/0!</v>
      </c>
      <c r="O36" s="260" t="e">
        <f t="shared" ca="1" si="10"/>
        <v>#DIV/0!</v>
      </c>
      <c r="P36" s="260" t="e">
        <f t="shared" ca="1" si="10"/>
        <v>#DIV/0!</v>
      </c>
      <c r="Q36" s="260" t="e">
        <f t="shared" ca="1" si="10"/>
        <v>#DIV/0!</v>
      </c>
      <c r="R36" s="260" t="e">
        <f t="shared" ca="1" si="10"/>
        <v>#DIV/0!</v>
      </c>
    </row>
    <row r="37" spans="2:19" x14ac:dyDescent="0.25">
      <c r="B37" s="11" t="s">
        <v>223</v>
      </c>
      <c r="D37" s="17" t="e">
        <f>D36/Revenue_Build!C36</f>
        <v>#DIV/0!</v>
      </c>
      <c r="E37" s="17" t="e">
        <f>E36/Revenue_Build!D36</f>
        <v>#DIV/0!</v>
      </c>
      <c r="F37" s="17" t="e">
        <f>F36/Revenue_Build!E36</f>
        <v>#DIV/0!</v>
      </c>
      <c r="G37" s="17" t="e">
        <f>G36/Revenue_Build!F36</f>
        <v>#DIV/0!</v>
      </c>
      <c r="H37" s="17" t="e">
        <f>H36/Revenue_Build!G36</f>
        <v>#DIV/0!</v>
      </c>
      <c r="I37" s="17" t="e">
        <f ca="1">I36/Revenue_Build!H36</f>
        <v>#DIV/0!</v>
      </c>
      <c r="J37" s="17" t="e">
        <f ca="1">J36/Revenue_Build!I36</f>
        <v>#DIV/0!</v>
      </c>
      <c r="K37" s="17" t="e">
        <f ca="1">K36/Revenue_Build!J36</f>
        <v>#DIV/0!</v>
      </c>
      <c r="L37" s="17" t="e">
        <f ca="1">L36/Revenue_Build!K36</f>
        <v>#DIV/0!</v>
      </c>
      <c r="M37" s="17" t="e">
        <f ca="1">M36/Revenue_Build!L36</f>
        <v>#DIV/0!</v>
      </c>
      <c r="N37" s="17" t="e">
        <f ca="1">N36/Revenue_Build!M36</f>
        <v>#DIV/0!</v>
      </c>
      <c r="O37" s="17" t="e">
        <f ca="1">O36/Revenue_Build!N36</f>
        <v>#DIV/0!</v>
      </c>
      <c r="P37" s="17" t="e">
        <f ca="1">P36/Revenue_Build!O36</f>
        <v>#DIV/0!</v>
      </c>
      <c r="Q37" s="17" t="e">
        <f ca="1">Q36/Revenue_Build!P36</f>
        <v>#DIV/0!</v>
      </c>
      <c r="R37" s="17" t="e">
        <f ca="1">R36/Revenue_Build!Q36</f>
        <v>#DIV/0!</v>
      </c>
    </row>
    <row r="38" spans="2:19" x14ac:dyDescent="0.25">
      <c r="B38" s="11"/>
    </row>
    <row r="39" spans="2:19" ht="15" customHeight="1" x14ac:dyDescent="0.25">
      <c r="B39" s="11" t="s">
        <v>229</v>
      </c>
      <c r="D39" s="268" t="e">
        <f>D35/D36</f>
        <v>#DIV/0!</v>
      </c>
      <c r="E39" s="25" t="e">
        <f>E35/E36</f>
        <v>#DIV/0!</v>
      </c>
      <c r="F39" s="25" t="e">
        <f>F35/F36</f>
        <v>#DIV/0!</v>
      </c>
      <c r="G39" s="25" t="e">
        <f>G35/G36</f>
        <v>#DIV/0!</v>
      </c>
      <c r="H39" s="268" t="e">
        <f>H35/H36</f>
        <v>#DIV/0!</v>
      </c>
      <c r="I39" s="25" t="e">
        <f ca="1">IF(RSQ($D39:$H39,$D$3:$H$3)&gt;0.5,((SLOPE($D39:$H39,$D$3:$H$3)+H39)*RSQ($D39:$H39,$D$3:$H$3)+(AVERAGE($D39:$H39)*(1-RSQ($D39:$H39,$D$3:$H$3)))),AVERAGE($D39:$H39))</f>
        <v>#DIV/0!</v>
      </c>
      <c r="J39" s="25" t="e">
        <f t="shared" ref="J39:R39" ca="1" si="11">IF(RSQ($D39:$H39,$D$3:$H$3)&gt;0.5,((SLOPE($D39:$H39,$D$3:$H$3)+I39)*RSQ($D39:$H39,$D$3:$H$3)+(AVERAGE($D39:$H39)*(1-RSQ($D39:$H39,$D$3:$H$3)))),AVERAGE($D39:$H39))</f>
        <v>#DIV/0!</v>
      </c>
      <c r="K39" s="25" t="e">
        <f t="shared" ca="1" si="11"/>
        <v>#DIV/0!</v>
      </c>
      <c r="L39" s="25" t="e">
        <f t="shared" ca="1" si="11"/>
        <v>#DIV/0!</v>
      </c>
      <c r="M39" s="25" t="e">
        <f t="shared" ca="1" si="11"/>
        <v>#DIV/0!</v>
      </c>
      <c r="N39" s="25" t="e">
        <f t="shared" ca="1" si="11"/>
        <v>#DIV/0!</v>
      </c>
      <c r="O39" s="25" t="e">
        <f t="shared" ca="1" si="11"/>
        <v>#DIV/0!</v>
      </c>
      <c r="P39" s="25" t="e">
        <f t="shared" ca="1" si="11"/>
        <v>#DIV/0!</v>
      </c>
      <c r="Q39" s="25" t="e">
        <f t="shared" ca="1" si="11"/>
        <v>#DIV/0!</v>
      </c>
      <c r="R39" s="25" t="e">
        <f t="shared" ca="1" si="11"/>
        <v>#DIV/0!</v>
      </c>
    </row>
    <row r="40" spans="2:19" x14ac:dyDescent="0.25">
      <c r="B40" s="11"/>
    </row>
    <row r="41" spans="2:19" x14ac:dyDescent="0.25">
      <c r="B41" t="s">
        <v>230</v>
      </c>
      <c r="D41" s="260">
        <f t="shared" ref="D41:R41" si="12">D36</f>
        <v>0</v>
      </c>
      <c r="E41" s="260">
        <f t="shared" si="12"/>
        <v>0</v>
      </c>
      <c r="F41" s="260">
        <f t="shared" si="12"/>
        <v>0</v>
      </c>
      <c r="G41" s="260">
        <f t="shared" si="12"/>
        <v>0</v>
      </c>
      <c r="H41" s="260">
        <f t="shared" si="12"/>
        <v>0</v>
      </c>
      <c r="I41" s="260" t="e">
        <f ca="1">I36</f>
        <v>#DIV/0!</v>
      </c>
      <c r="J41" s="260" t="e">
        <f t="shared" ca="1" si="12"/>
        <v>#DIV/0!</v>
      </c>
      <c r="K41" s="260" t="e">
        <f t="shared" ca="1" si="12"/>
        <v>#DIV/0!</v>
      </c>
      <c r="L41" s="260" t="e">
        <f t="shared" ca="1" si="12"/>
        <v>#DIV/0!</v>
      </c>
      <c r="M41" s="260" t="e">
        <f t="shared" ca="1" si="12"/>
        <v>#DIV/0!</v>
      </c>
      <c r="N41" s="260" t="e">
        <f t="shared" ca="1" si="12"/>
        <v>#DIV/0!</v>
      </c>
      <c r="O41" s="260" t="e">
        <f t="shared" ca="1" si="12"/>
        <v>#DIV/0!</v>
      </c>
      <c r="P41" s="260" t="e">
        <f t="shared" ca="1" si="12"/>
        <v>#DIV/0!</v>
      </c>
      <c r="Q41" s="260" t="e">
        <f t="shared" ca="1" si="12"/>
        <v>#DIV/0!</v>
      </c>
      <c r="R41" s="260" t="e">
        <f t="shared" ca="1" si="12"/>
        <v>#DIV/0!</v>
      </c>
    </row>
    <row r="42" spans="2:19" x14ac:dyDescent="0.25">
      <c r="B42" s="11"/>
    </row>
    <row r="43" spans="2:19" x14ac:dyDescent="0.25">
      <c r="B43" s="105" t="s">
        <v>231</v>
      </c>
      <c r="C43" s="109"/>
      <c r="D43" s="270">
        <f t="shared" ref="D43:R43" si="13">D10+D41</f>
        <v>0</v>
      </c>
      <c r="E43" s="270">
        <f t="shared" si="13"/>
        <v>0</v>
      </c>
      <c r="F43" s="270">
        <f t="shared" si="13"/>
        <v>0</v>
      </c>
      <c r="G43" s="270">
        <f t="shared" si="13"/>
        <v>0</v>
      </c>
      <c r="H43" s="270">
        <f t="shared" si="13"/>
        <v>0</v>
      </c>
      <c r="I43" s="270" t="e">
        <f t="shared" ca="1" si="13"/>
        <v>#DIV/0!</v>
      </c>
      <c r="J43" s="270" t="e">
        <f t="shared" ca="1" si="13"/>
        <v>#DIV/0!</v>
      </c>
      <c r="K43" s="270" t="e">
        <f t="shared" ca="1" si="13"/>
        <v>#DIV/0!</v>
      </c>
      <c r="L43" s="270" t="e">
        <f t="shared" ca="1" si="13"/>
        <v>#DIV/0!</v>
      </c>
      <c r="M43" s="270" t="e">
        <f t="shared" ca="1" si="13"/>
        <v>#DIV/0!</v>
      </c>
      <c r="N43" s="270" t="e">
        <f t="shared" ca="1" si="13"/>
        <v>#DIV/0!</v>
      </c>
      <c r="O43" s="270" t="e">
        <f t="shared" ca="1" si="13"/>
        <v>#DIV/0!</v>
      </c>
      <c r="P43" s="270" t="e">
        <f t="shared" ca="1" si="13"/>
        <v>#DIV/0!</v>
      </c>
      <c r="Q43" s="270" t="e">
        <f t="shared" ca="1" si="13"/>
        <v>#DIV/0!</v>
      </c>
      <c r="R43" s="270" t="e">
        <f t="shared" ca="1" si="13"/>
        <v>#DIV/0!</v>
      </c>
    </row>
    <row r="44" spans="2:19" x14ac:dyDescent="0.25">
      <c r="B44" s="113" t="s">
        <v>232</v>
      </c>
      <c r="C44" s="112"/>
      <c r="D44" s="310">
        <f>D32+D36</f>
        <v>0</v>
      </c>
      <c r="E44" s="311">
        <f t="shared" ref="E44:R44" si="14">E32+E36</f>
        <v>0</v>
      </c>
      <c r="F44" s="311">
        <f t="shared" si="14"/>
        <v>0</v>
      </c>
      <c r="G44" s="311">
        <f t="shared" si="14"/>
        <v>0</v>
      </c>
      <c r="H44" s="311">
        <f t="shared" si="14"/>
        <v>0</v>
      </c>
      <c r="I44" s="311" t="e">
        <f t="shared" ca="1" si="14"/>
        <v>#DIV/0!</v>
      </c>
      <c r="J44" s="311" t="e">
        <f t="shared" ca="1" si="14"/>
        <v>#DIV/0!</v>
      </c>
      <c r="K44" s="311" t="e">
        <f t="shared" ca="1" si="14"/>
        <v>#DIV/0!</v>
      </c>
      <c r="L44" s="311" t="e">
        <f t="shared" ca="1" si="14"/>
        <v>#DIV/0!</v>
      </c>
      <c r="M44" s="311" t="e">
        <f t="shared" ca="1" si="14"/>
        <v>#DIV/0!</v>
      </c>
      <c r="N44" s="311" t="e">
        <f t="shared" ca="1" si="14"/>
        <v>#DIV/0!</v>
      </c>
      <c r="O44" s="311" t="e">
        <f t="shared" ca="1" si="14"/>
        <v>#DIV/0!</v>
      </c>
      <c r="P44" s="311" t="e">
        <f t="shared" ca="1" si="14"/>
        <v>#DIV/0!</v>
      </c>
      <c r="Q44" s="311" t="e">
        <f t="shared" ca="1" si="14"/>
        <v>#DIV/0!</v>
      </c>
      <c r="R44" s="311" t="e">
        <f t="shared" ca="1" si="14"/>
        <v>#DIV/0!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35F0-0F55-42EA-99FC-6CCB0F17F4B1}">
  <sheetPr codeName="Sheet6"/>
  <dimension ref="B2:T23"/>
  <sheetViews>
    <sheetView workbookViewId="0">
      <selection activeCell="C17" sqref="C17:H17"/>
    </sheetView>
  </sheetViews>
  <sheetFormatPr defaultRowHeight="15" x14ac:dyDescent="0.25"/>
  <cols>
    <col min="2" max="2" width="32.28515625" bestFit="1" customWidth="1"/>
    <col min="3" max="5" width="9.7109375" bestFit="1" customWidth="1"/>
    <col min="6" max="12" width="10.28515625" bestFit="1" customWidth="1"/>
    <col min="13" max="18" width="10.5703125" bestFit="1" customWidth="1"/>
  </cols>
  <sheetData>
    <row r="2" spans="2:20" x14ac:dyDescent="0.25">
      <c r="C2" s="5"/>
      <c r="D2" s="5"/>
      <c r="E2" s="1"/>
      <c r="F2" s="2" t="s">
        <v>85</v>
      </c>
      <c r="G2" s="1"/>
      <c r="H2" s="1"/>
      <c r="I2" s="4"/>
      <c r="J2" s="3"/>
      <c r="K2" s="3"/>
      <c r="L2" s="3"/>
      <c r="M2" s="3" t="s">
        <v>86</v>
      </c>
      <c r="N2" s="3"/>
      <c r="O2" s="3"/>
      <c r="P2" s="3"/>
      <c r="Q2" s="3"/>
      <c r="R2" s="3"/>
    </row>
    <row r="3" spans="2:20" x14ac:dyDescent="0.25">
      <c r="C3" s="7">
        <f ca="1">YEAR(C4)</f>
        <v>2018</v>
      </c>
      <c r="D3" s="7">
        <f ca="1">YEAR(D4)</f>
        <v>2019</v>
      </c>
      <c r="E3" s="7">
        <f t="shared" ref="E3:H3" ca="1" si="0">YEAR(E4)</f>
        <v>2020</v>
      </c>
      <c r="F3" s="7">
        <f t="shared" ca="1" si="0"/>
        <v>2021</v>
      </c>
      <c r="G3" s="7">
        <f t="shared" ca="1" si="0"/>
        <v>2022</v>
      </c>
      <c r="H3" s="7">
        <f t="shared" ca="1" si="0"/>
        <v>2023</v>
      </c>
      <c r="I3" s="8">
        <f ca="1">YEAR(I4)</f>
        <v>2024</v>
      </c>
      <c r="J3" s="8">
        <f t="shared" ref="J3:R3" ca="1" si="1">YEAR(J4)</f>
        <v>2025</v>
      </c>
      <c r="K3" s="8">
        <f t="shared" ca="1" si="1"/>
        <v>2026</v>
      </c>
      <c r="L3" s="8">
        <f t="shared" ca="1" si="1"/>
        <v>2027</v>
      </c>
      <c r="M3" s="8">
        <f t="shared" ca="1" si="1"/>
        <v>2028</v>
      </c>
      <c r="N3" s="8">
        <f t="shared" ca="1" si="1"/>
        <v>2029</v>
      </c>
      <c r="O3" s="8">
        <f t="shared" ca="1" si="1"/>
        <v>2030</v>
      </c>
      <c r="P3" s="8">
        <f t="shared" ca="1" si="1"/>
        <v>2031</v>
      </c>
      <c r="Q3" s="8">
        <f t="shared" ca="1" si="1"/>
        <v>2032</v>
      </c>
      <c r="R3" s="8">
        <f t="shared" ca="1" si="1"/>
        <v>2033</v>
      </c>
    </row>
    <row r="4" spans="2:20" x14ac:dyDescent="0.25">
      <c r="C4" s="9">
        <f t="shared" ref="C4:F4" ca="1" si="2">EOMONTH(D4,-12)</f>
        <v>43465</v>
      </c>
      <c r="D4" s="9">
        <f t="shared" ca="1" si="2"/>
        <v>43830</v>
      </c>
      <c r="E4" s="9">
        <f t="shared" ca="1" si="2"/>
        <v>44196</v>
      </c>
      <c r="F4" s="9">
        <f t="shared" ca="1" si="2"/>
        <v>44561</v>
      </c>
      <c r="G4" s="9">
        <f ca="1">EOMONTH(H4,-12)</f>
        <v>44926</v>
      </c>
      <c r="H4" s="9">
        <f ca="1">DCF!C10</f>
        <v>45291</v>
      </c>
      <c r="I4" s="9">
        <f ca="1">EOMONTH(H4,12)</f>
        <v>45657</v>
      </c>
      <c r="J4" s="9">
        <f t="shared" ref="J4:M4" ca="1" si="3">EOMONTH(I4,12)</f>
        <v>46022</v>
      </c>
      <c r="K4" s="9">
        <f t="shared" ca="1" si="3"/>
        <v>46387</v>
      </c>
      <c r="L4" s="9">
        <f t="shared" ca="1" si="3"/>
        <v>46752</v>
      </c>
      <c r="M4" s="9">
        <f t="shared" ca="1" si="3"/>
        <v>47118</v>
      </c>
      <c r="N4" s="9">
        <f t="shared" ref="N4" ca="1" si="4">EOMONTH(M4,12)</f>
        <v>47483</v>
      </c>
      <c r="O4" s="9">
        <f t="shared" ref="O4" ca="1" si="5">EOMONTH(N4,12)</f>
        <v>47848</v>
      </c>
      <c r="P4" s="9">
        <f t="shared" ref="P4" ca="1" si="6">EOMONTH(O4,12)</f>
        <v>48213</v>
      </c>
      <c r="Q4" s="9">
        <f t="shared" ref="Q4" ca="1" si="7">EOMONTH(P4,12)</f>
        <v>48579</v>
      </c>
      <c r="R4" s="9">
        <f t="shared" ref="R4" ca="1" si="8">EOMONTH(Q4,12)</f>
        <v>48944</v>
      </c>
    </row>
    <row r="5" spans="2:20" x14ac:dyDescent="0.25">
      <c r="B5" s="10" t="s">
        <v>164</v>
      </c>
    </row>
    <row r="7" spans="2:20" x14ac:dyDescent="0.25">
      <c r="B7" t="s">
        <v>165</v>
      </c>
      <c r="C7" s="261"/>
      <c r="D7" s="261"/>
      <c r="E7" s="261"/>
      <c r="F7" s="261"/>
      <c r="G7" s="261"/>
      <c r="H7" s="261"/>
      <c r="I7" s="260">
        <f>H7</f>
        <v>0</v>
      </c>
      <c r="J7" s="260">
        <f>I7</f>
        <v>0</v>
      </c>
      <c r="K7" s="260">
        <f>J7</f>
        <v>0</v>
      </c>
      <c r="L7" s="260">
        <f>K7</f>
        <v>0</v>
      </c>
      <c r="M7" s="260">
        <f>L7</f>
        <v>0</v>
      </c>
      <c r="N7" s="260">
        <f t="shared" ref="N7:R7" si="9">M7</f>
        <v>0</v>
      </c>
      <c r="O7" s="260">
        <f t="shared" si="9"/>
        <v>0</v>
      </c>
      <c r="P7" s="260">
        <f t="shared" si="9"/>
        <v>0</v>
      </c>
      <c r="Q7" s="260">
        <f t="shared" si="9"/>
        <v>0</v>
      </c>
      <c r="R7" s="260">
        <f t="shared" si="9"/>
        <v>0</v>
      </c>
    </row>
    <row r="8" spans="2:20" x14ac:dyDescent="0.25">
      <c r="B8" t="s">
        <v>166</v>
      </c>
      <c r="C8" s="261"/>
      <c r="D8" s="261"/>
      <c r="E8" s="261"/>
      <c r="F8" s="261"/>
      <c r="G8" s="261"/>
      <c r="H8" s="261"/>
      <c r="I8" s="260" t="e">
        <f ca="1">(I9/365)*Revenue_Build!H36</f>
        <v>#DIV/0!</v>
      </c>
      <c r="J8" s="260" t="e">
        <f ca="1">(J9/365)*Revenue_Build!I36</f>
        <v>#DIV/0!</v>
      </c>
      <c r="K8" s="260" t="e">
        <f ca="1">(K9/365)*Revenue_Build!J36</f>
        <v>#DIV/0!</v>
      </c>
      <c r="L8" s="260" t="e">
        <f ca="1">(L9/365)*Revenue_Build!K36</f>
        <v>#DIV/0!</v>
      </c>
      <c r="M8" s="260" t="e">
        <f ca="1">(M9/365)*Revenue_Build!L36</f>
        <v>#DIV/0!</v>
      </c>
      <c r="N8" s="260" t="e">
        <f ca="1">(N9/365)*Revenue_Build!M36</f>
        <v>#DIV/0!</v>
      </c>
      <c r="O8" s="260" t="e">
        <f ca="1">(O9/365)*Revenue_Build!N36</f>
        <v>#DIV/0!</v>
      </c>
      <c r="P8" s="260" t="e">
        <f ca="1">(P9/365)*Revenue_Build!O36</f>
        <v>#DIV/0!</v>
      </c>
      <c r="Q8" s="260" t="e">
        <f ca="1">(Q9/365)*Revenue_Build!P36</f>
        <v>#DIV/0!</v>
      </c>
      <c r="R8" s="260" t="e">
        <f ca="1">(R9/365)*Revenue_Build!Q36</f>
        <v>#DIV/0!</v>
      </c>
    </row>
    <row r="9" spans="2:20" x14ac:dyDescent="0.25">
      <c r="B9" s="11" t="s">
        <v>167</v>
      </c>
      <c r="C9" s="124"/>
      <c r="D9" s="259" t="e">
        <f>(D8/Revenue_Build!C36)*365</f>
        <v>#DIV/0!</v>
      </c>
      <c r="E9" s="259" t="e">
        <f>(E8/Revenue_Build!D36)*365</f>
        <v>#DIV/0!</v>
      </c>
      <c r="F9" s="259" t="e">
        <f>(F8/Revenue_Build!E36)*365</f>
        <v>#DIV/0!</v>
      </c>
      <c r="G9" s="259" t="e">
        <f>(G8/Revenue_Build!F36)*365</f>
        <v>#DIV/0!</v>
      </c>
      <c r="H9" s="259" t="e">
        <f>(H8/Revenue_Build!G36)*365</f>
        <v>#DIV/0!</v>
      </c>
      <c r="I9" s="259" t="e">
        <f ca="1">IF(RSQ($D9:$H9,$D$3:$H$3)&gt;0.5,((SLOPE($D9:$H9,$D$3:$H$3)+H9)*RSQ($D9:$H9,$D$3:$H$3)+(AVERAGE($D9:$H9)*(1-RSQ($D9:$H9,$D$3:$H$3)))),AVERAGE($D9:$H9))</f>
        <v>#DIV/0!</v>
      </c>
      <c r="J9" s="259" t="e">
        <f t="shared" ref="J9:R9" ca="1" si="10">IF(RSQ($D9:$H9,$D$3:$H$3)&gt;0.5,((SLOPE($D9:$H9,$D$3:$H$3)+I9)*RSQ($D9:$H9,$D$3:$H$3)+(AVERAGE($D9:$H9)*(1-RSQ($D9:$H9,$D$3:$H$3)))),AVERAGE($D9:$H9))</f>
        <v>#DIV/0!</v>
      </c>
      <c r="K9" s="259" t="e">
        <f t="shared" ca="1" si="10"/>
        <v>#DIV/0!</v>
      </c>
      <c r="L9" s="259" t="e">
        <f ca="1">IF(RSQ($D9:$H9,$D$3:$H$3)&gt;0.5,((SLOPE($D9:$H9,$D$3:$H$3)+K9)*RSQ($D9:$H9,$D$3:$H$3)+(AVERAGE($D9:$H9)*(1-RSQ($D9:$H9,$D$3:$H$3)))),AVERAGE($D9:$H9))</f>
        <v>#DIV/0!</v>
      </c>
      <c r="M9" s="259" t="e">
        <f t="shared" ca="1" si="10"/>
        <v>#DIV/0!</v>
      </c>
      <c r="N9" s="259" t="e">
        <f t="shared" ca="1" si="10"/>
        <v>#DIV/0!</v>
      </c>
      <c r="O9" s="259" t="e">
        <f t="shared" ca="1" si="10"/>
        <v>#DIV/0!</v>
      </c>
      <c r="P9" s="259" t="e">
        <f t="shared" ca="1" si="10"/>
        <v>#DIV/0!</v>
      </c>
      <c r="Q9" s="259" t="e">
        <f t="shared" ca="1" si="10"/>
        <v>#DIV/0!</v>
      </c>
      <c r="R9" s="259" t="e">
        <f t="shared" ca="1" si="10"/>
        <v>#DIV/0!</v>
      </c>
      <c r="T9" s="89"/>
    </row>
    <row r="10" spans="2:20" x14ac:dyDescent="0.25">
      <c r="B10" t="s">
        <v>168</v>
      </c>
      <c r="C10" s="261"/>
      <c r="D10" s="261"/>
      <c r="E10" s="261"/>
      <c r="F10" s="261"/>
      <c r="G10" s="261"/>
      <c r="H10" s="261"/>
      <c r="I10" s="260" t="e">
        <f ca="1">(I11/365)*Operating_Model!I54</f>
        <v>#DIV/0!</v>
      </c>
      <c r="J10" s="260" t="e">
        <f ca="1">(J11/365)*Operating_Model!J54</f>
        <v>#DIV/0!</v>
      </c>
      <c r="K10" s="260" t="e">
        <f ca="1">(K11/365)*Operating_Model!K54</f>
        <v>#DIV/0!</v>
      </c>
      <c r="L10" s="260" t="e">
        <f ca="1">(L11/365)*Operating_Model!L54</f>
        <v>#DIV/0!</v>
      </c>
      <c r="M10" s="260" t="e">
        <f ca="1">(M11/365)*Operating_Model!M54</f>
        <v>#DIV/0!</v>
      </c>
      <c r="N10" s="260" t="e">
        <f ca="1">(N11/365)*Operating_Model!N54</f>
        <v>#DIV/0!</v>
      </c>
      <c r="O10" s="260" t="e">
        <f ca="1">(O11/365)*Operating_Model!O54</f>
        <v>#DIV/0!</v>
      </c>
      <c r="P10" s="260" t="e">
        <f ca="1">(P11/365)*Operating_Model!P54</f>
        <v>#DIV/0!</v>
      </c>
      <c r="Q10" s="260" t="e">
        <f ca="1">(Q11/365)*Operating_Model!Q54</f>
        <v>#DIV/0!</v>
      </c>
      <c r="R10" s="260" t="e">
        <f ca="1">(R11/365)*Operating_Model!R54</f>
        <v>#DIV/0!</v>
      </c>
    </row>
    <row r="11" spans="2:20" x14ac:dyDescent="0.25">
      <c r="B11" s="11" t="s">
        <v>169</v>
      </c>
      <c r="C11" s="124"/>
      <c r="D11" s="259" t="e">
        <f>(D10/Operating_Model!D54)*365</f>
        <v>#DIV/0!</v>
      </c>
      <c r="E11" s="259" t="e">
        <f>(E10/Operating_Model!E54)*365</f>
        <v>#DIV/0!</v>
      </c>
      <c r="F11" s="259" t="e">
        <f>(F10/Operating_Model!F54)*365</f>
        <v>#DIV/0!</v>
      </c>
      <c r="G11" s="259" t="e">
        <f>(G10/Operating_Model!G54)*365</f>
        <v>#DIV/0!</v>
      </c>
      <c r="H11" s="259" t="e">
        <f>(H10/Operating_Model!H54)*365</f>
        <v>#DIV/0!</v>
      </c>
      <c r="I11" s="259" t="e">
        <f ca="1">IF(RSQ($D11:$H11,$D$3:$H$3)&gt;0.5,((SLOPE($D11:$H11,$D$3:$H$3)+H11)*RSQ($D11:$H11,$D$3:$H$3)+(AVERAGE($D11:$H11)*(1-RSQ($D11:$H11,$D$3:$H$3)))),AVERAGE($D11:$H11))</f>
        <v>#DIV/0!</v>
      </c>
      <c r="J11" s="259" t="e">
        <f t="shared" ref="J11:R11" ca="1" si="11">IF(RSQ($D11:$H11,$D$3:$H$3)&gt;0.5,((SLOPE($D11:$H11,$D$3:$H$3)+I11)*RSQ($D11:$H11,$D$3:$H$3)+(AVERAGE($D11:$H11)*(1-RSQ($D11:$H11,$D$3:$H$3)))),AVERAGE($D11:$H11))</f>
        <v>#DIV/0!</v>
      </c>
      <c r="K11" s="259" t="e">
        <f t="shared" ca="1" si="11"/>
        <v>#DIV/0!</v>
      </c>
      <c r="L11" s="259" t="e">
        <f t="shared" ca="1" si="11"/>
        <v>#DIV/0!</v>
      </c>
      <c r="M11" s="259" t="e">
        <f t="shared" ca="1" si="11"/>
        <v>#DIV/0!</v>
      </c>
      <c r="N11" s="259" t="e">
        <f t="shared" ca="1" si="11"/>
        <v>#DIV/0!</v>
      </c>
      <c r="O11" s="259" t="e">
        <f t="shared" ca="1" si="11"/>
        <v>#DIV/0!</v>
      </c>
      <c r="P11" s="259" t="e">
        <f t="shared" ca="1" si="11"/>
        <v>#DIV/0!</v>
      </c>
      <c r="Q11" s="259" t="e">
        <f ca="1">IF(RSQ($D11:$H11,$D$3:$H$3)&gt;0.5,((SLOPE($D11:$H11,$D$3:$H$3)+P11)*RSQ($D11:$H11,$D$3:$H$3)+(AVERAGE($D11:$H11)*(1-RSQ($D11:$H11,$D$3:$H$3)))),AVERAGE($D11:$H11))</f>
        <v>#DIV/0!</v>
      </c>
      <c r="R11" s="259" t="e">
        <f t="shared" ca="1" si="11"/>
        <v>#DIV/0!</v>
      </c>
    </row>
    <row r="12" spans="2:20" x14ac:dyDescent="0.25">
      <c r="B12" t="s">
        <v>170</v>
      </c>
      <c r="C12" s="261"/>
      <c r="D12" s="261"/>
      <c r="E12" s="261"/>
      <c r="F12" s="261"/>
      <c r="G12" s="261"/>
      <c r="H12" s="261"/>
      <c r="I12" s="260" t="e">
        <f ca="1">I13*Revenue_Build!H36</f>
        <v>#DIV/0!</v>
      </c>
      <c r="J12" s="260" t="e">
        <f ca="1">J13*Revenue_Build!I36</f>
        <v>#DIV/0!</v>
      </c>
      <c r="K12" s="260" t="e">
        <f ca="1">K13*Revenue_Build!J36</f>
        <v>#DIV/0!</v>
      </c>
      <c r="L12" s="260" t="e">
        <f ca="1">L13*Revenue_Build!K36</f>
        <v>#DIV/0!</v>
      </c>
      <c r="M12" s="260" t="e">
        <f ca="1">M13*Revenue_Build!L36</f>
        <v>#DIV/0!</v>
      </c>
      <c r="N12" s="260" t="e">
        <f ca="1">N13*Revenue_Build!M36</f>
        <v>#DIV/0!</v>
      </c>
      <c r="O12" s="260" t="e">
        <f ca="1">O13*Revenue_Build!N36</f>
        <v>#DIV/0!</v>
      </c>
      <c r="P12" s="260" t="e">
        <f ca="1">P13*Revenue_Build!O36</f>
        <v>#DIV/0!</v>
      </c>
      <c r="Q12" s="260" t="e">
        <f ca="1">Q13*Revenue_Build!P36</f>
        <v>#DIV/0!</v>
      </c>
      <c r="R12" s="260" t="e">
        <f ca="1">R13*Revenue_Build!Q36</f>
        <v>#DIV/0!</v>
      </c>
    </row>
    <row r="13" spans="2:20" x14ac:dyDescent="0.25">
      <c r="B13" s="11" t="s">
        <v>171</v>
      </c>
      <c r="C13" s="124"/>
      <c r="D13" s="14" t="e">
        <f>D12/Revenue_Build!C36</f>
        <v>#DIV/0!</v>
      </c>
      <c r="E13" s="14" t="e">
        <f>E12/Revenue_Build!D36</f>
        <v>#DIV/0!</v>
      </c>
      <c r="F13" s="14" t="e">
        <f>F12/Revenue_Build!E36</f>
        <v>#DIV/0!</v>
      </c>
      <c r="G13" s="14" t="e">
        <f>G12/Revenue_Build!F36</f>
        <v>#DIV/0!</v>
      </c>
      <c r="H13" s="14" t="e">
        <f>H12/Revenue_Build!G36</f>
        <v>#DIV/0!</v>
      </c>
      <c r="I13" s="14" t="e">
        <f ca="1">IF(RSQ($D13:$H13,$D$3:$H$3)&gt;0.5,((SLOPE($D13:$H13,$D$3:$H$3)+H13)*RSQ($D13:$H13,$D$3:$H$3)+(AVERAGE($D13:$H13)*(1-RSQ($D13:$H13,$D$3:$H$3)))),AVERAGE($D13:$H13))</f>
        <v>#DIV/0!</v>
      </c>
      <c r="J13" s="14" t="e">
        <f ca="1">IF(RSQ($D13:$H13,$D$3:$H$3)&gt;0.5,((SLOPE($D13:$H13,$D$3:$H$3)+I13)*RSQ($D13:$H13,$D$3:$H$3)+(AVERAGE($D13:$H13)*(1-RSQ($D13:$H13,$D$3:$H$3)))),AVERAGE($D13:$H13))</f>
        <v>#DIV/0!</v>
      </c>
      <c r="K13" s="14" t="e">
        <f t="shared" ref="K13:R13" ca="1" si="12">IF(RSQ($D13:$H13,$D$3:$H$3)&gt;0.5,((SLOPE($D13:$H13,$D$3:$H$3)+J13)*RSQ($D13:$H13,$D$3:$H$3)+(AVERAGE($D13:$H13)*(1-RSQ($D13:$H13,$D$3:$H$3)))),AVERAGE($D13:$H13))</f>
        <v>#DIV/0!</v>
      </c>
      <c r="L13" s="14" t="e">
        <f t="shared" ca="1" si="12"/>
        <v>#DIV/0!</v>
      </c>
      <c r="M13" s="14" t="e">
        <f t="shared" ca="1" si="12"/>
        <v>#DIV/0!</v>
      </c>
      <c r="N13" s="14" t="e">
        <f t="shared" ca="1" si="12"/>
        <v>#DIV/0!</v>
      </c>
      <c r="O13" s="14" t="e">
        <f t="shared" ca="1" si="12"/>
        <v>#DIV/0!</v>
      </c>
      <c r="P13" s="14" t="e">
        <f t="shared" ca="1" si="12"/>
        <v>#DIV/0!</v>
      </c>
      <c r="Q13" s="14" t="e">
        <f ca="1">IF(RSQ($D13:$H13,$D$3:$H$3)&gt;0.5,((SLOPE($D13:$H13,$D$3:$H$3)+P13)*RSQ($D13:$H13,$D$3:$H$3)+(AVERAGE($D13:$H13)*(1-RSQ($D13:$H13,$D$3:$H$3)))),AVERAGE($D13:$H13))</f>
        <v>#DIV/0!</v>
      </c>
      <c r="R13" s="14" t="e">
        <f t="shared" ca="1" si="12"/>
        <v>#DIV/0!</v>
      </c>
    </row>
    <row r="15" spans="2:20" ht="15" customHeight="1" x14ac:dyDescent="0.25">
      <c r="B15" t="s">
        <v>172</v>
      </c>
      <c r="C15" s="261"/>
      <c r="D15" s="261"/>
      <c r="E15" s="261"/>
      <c r="F15" s="262"/>
      <c r="G15" s="261"/>
      <c r="H15" s="261"/>
      <c r="I15" s="260" t="e">
        <f ca="1">(I16/365)*Operating_Model!I54</f>
        <v>#DIV/0!</v>
      </c>
      <c r="J15" s="260" t="e">
        <f ca="1">(J16/365)*Operating_Model!J54</f>
        <v>#DIV/0!</v>
      </c>
      <c r="K15" s="260" t="e">
        <f ca="1">(K16/365)*Operating_Model!K54</f>
        <v>#DIV/0!</v>
      </c>
      <c r="L15" s="260" t="e">
        <f ca="1">(L16/365)*Operating_Model!L54</f>
        <v>#DIV/0!</v>
      </c>
      <c r="M15" s="260" t="e">
        <f ca="1">(M16/365)*Operating_Model!M54</f>
        <v>#DIV/0!</v>
      </c>
      <c r="N15" s="260" t="e">
        <f ca="1">(N16/365)*Operating_Model!N54</f>
        <v>#DIV/0!</v>
      </c>
      <c r="O15" s="260" t="e">
        <f ca="1">(O16/365)*Operating_Model!O54</f>
        <v>#DIV/0!</v>
      </c>
      <c r="P15" s="260" t="e">
        <f ca="1">(P16/365)*Operating_Model!P54</f>
        <v>#DIV/0!</v>
      </c>
      <c r="Q15" s="260" t="e">
        <f ca="1">(Q16/365)*Operating_Model!Q54</f>
        <v>#DIV/0!</v>
      </c>
      <c r="R15" s="260" t="e">
        <f ca="1">(R16/365)*Operating_Model!R54</f>
        <v>#DIV/0!</v>
      </c>
    </row>
    <row r="16" spans="2:20" x14ac:dyDescent="0.25">
      <c r="B16" t="s">
        <v>173</v>
      </c>
      <c r="C16" s="114"/>
      <c r="D16" s="259" t="e">
        <f>(D15/Operating_Model!D54)*365</f>
        <v>#DIV/0!</v>
      </c>
      <c r="E16" s="259" t="e">
        <f>(E15/Operating_Model!E54)*365</f>
        <v>#DIV/0!</v>
      </c>
      <c r="F16" s="259" t="e">
        <f>(F15/Operating_Model!F54)*365</f>
        <v>#DIV/0!</v>
      </c>
      <c r="G16" s="259" t="e">
        <f>(G15/Operating_Model!G54)*365</f>
        <v>#DIV/0!</v>
      </c>
      <c r="H16" s="259" t="e">
        <f>(H15/Operating_Model!H54)*365</f>
        <v>#DIV/0!</v>
      </c>
      <c r="I16" s="259" t="e">
        <f ca="1">IF(RSQ($D16:$H16,$D$3:$H$3)&gt;0.5,((SLOPE($D16:$H16,$D$3:$H$3)+H16)*RSQ($D16:$H16,$D$3:$H$3)+(AVERAGE($D16:$H16)*(1-RSQ($D16:$H16,$D$3:$H$3)))),AVERAGE($D16:$H16))</f>
        <v>#DIV/0!</v>
      </c>
      <c r="J16" s="259" t="e">
        <f t="shared" ref="J16:R16" ca="1" si="13">IF(RSQ($D16:$H16,$D$3:$H$3)&gt;0.5,((SLOPE($D16:$H16,$D$3:$H$3)+I16)*RSQ($D16:$H16,$D$3:$H$3)+(AVERAGE($D16:$H16)*(1-RSQ($D16:$H16,$D$3:$H$3)))),AVERAGE($D16:$H16))</f>
        <v>#DIV/0!</v>
      </c>
      <c r="K16" s="259" t="e">
        <f t="shared" ca="1" si="13"/>
        <v>#DIV/0!</v>
      </c>
      <c r="L16" s="259" t="e">
        <f t="shared" ca="1" si="13"/>
        <v>#DIV/0!</v>
      </c>
      <c r="M16" s="259" t="e">
        <f t="shared" ca="1" si="13"/>
        <v>#DIV/0!</v>
      </c>
      <c r="N16" s="259" t="e">
        <f t="shared" ca="1" si="13"/>
        <v>#DIV/0!</v>
      </c>
      <c r="O16" s="259" t="e">
        <f ca="1">IF(RSQ($D16:$H16,$D$3:$H$3)&gt;0.5,((SLOPE($D16:$H16,$D$3:$H$3)+N16)*RSQ($D16:$H16,$D$3:$H$3)+(AVERAGE($D16:$H16)*(1-RSQ($D16:$H16,$D$3:$H$3)))),AVERAGE($D16:$H16))</f>
        <v>#DIV/0!</v>
      </c>
      <c r="P16" s="259" t="e">
        <f t="shared" ca="1" si="13"/>
        <v>#DIV/0!</v>
      </c>
      <c r="Q16" s="259" t="e">
        <f t="shared" ca="1" si="13"/>
        <v>#DIV/0!</v>
      </c>
      <c r="R16" s="259" t="e">
        <f t="shared" ca="1" si="13"/>
        <v>#DIV/0!</v>
      </c>
    </row>
    <row r="17" spans="2:18" x14ac:dyDescent="0.25">
      <c r="B17" t="s">
        <v>174</v>
      </c>
      <c r="C17" s="261"/>
      <c r="D17" s="261"/>
      <c r="E17" s="261"/>
      <c r="F17" s="261"/>
      <c r="G17" s="261"/>
      <c r="H17" s="261"/>
      <c r="I17" s="260" t="e">
        <f ca="1">I18*Revenue_Build!H36</f>
        <v>#DIV/0!</v>
      </c>
      <c r="J17" s="260" t="e">
        <f ca="1">J18*Revenue_Build!I36</f>
        <v>#DIV/0!</v>
      </c>
      <c r="K17" s="260" t="e">
        <f ca="1">K18*Revenue_Build!J36</f>
        <v>#DIV/0!</v>
      </c>
      <c r="L17" s="260" t="e">
        <f ca="1">L18*Revenue_Build!K36</f>
        <v>#DIV/0!</v>
      </c>
      <c r="M17" s="260" t="e">
        <f ca="1">M18*Revenue_Build!L36</f>
        <v>#DIV/0!</v>
      </c>
      <c r="N17" s="260" t="e">
        <f ca="1">N18*Revenue_Build!M36</f>
        <v>#DIV/0!</v>
      </c>
      <c r="O17" s="260" t="e">
        <f ca="1">O18*Revenue_Build!N36</f>
        <v>#DIV/0!</v>
      </c>
      <c r="P17" s="260" t="e">
        <f ca="1">P18*Revenue_Build!O36</f>
        <v>#DIV/0!</v>
      </c>
      <c r="Q17" s="260" t="e">
        <f ca="1">Q18*Revenue_Build!P36</f>
        <v>#DIV/0!</v>
      </c>
      <c r="R17" s="260" t="e">
        <f ca="1">R18*Revenue_Build!Q36</f>
        <v>#DIV/0!</v>
      </c>
    </row>
    <row r="18" spans="2:18" x14ac:dyDescent="0.25">
      <c r="B18" t="s">
        <v>171</v>
      </c>
      <c r="C18" s="114"/>
      <c r="D18" s="14" t="e">
        <f>D17/Revenue_Build!C36</f>
        <v>#DIV/0!</v>
      </c>
      <c r="E18" s="14" t="e">
        <f>E17/Revenue_Build!D36</f>
        <v>#DIV/0!</v>
      </c>
      <c r="F18" s="14" t="e">
        <f>F17/Revenue_Build!E36</f>
        <v>#DIV/0!</v>
      </c>
      <c r="G18" s="14" t="e">
        <f>G17/Revenue_Build!F36</f>
        <v>#DIV/0!</v>
      </c>
      <c r="H18" s="14" t="e">
        <f>H17/Revenue_Build!G36</f>
        <v>#DIV/0!</v>
      </c>
      <c r="I18" s="14" t="e">
        <f ca="1">IF(RSQ($D18:$H18,$D$3:$H$3)&gt;0.5,((SLOPE($D18:$H18,$D$3:$H$3)+H18)*RSQ($D18:$H18,$D$3:$H$3)+(AVERAGE($D18:$H18)*(1-RSQ($D18:$H18,$D$3:$H$3)))),AVERAGE($D18:$H18))</f>
        <v>#DIV/0!</v>
      </c>
      <c r="J18" s="14" t="e">
        <f t="shared" ref="J18:R18" ca="1" si="14">IF(RSQ($D18:$H18,$D$3:$H$3)&gt;0.5,((SLOPE($D18:$H18,$D$3:$H$3)+I18)*RSQ($D18:$H18,$D$3:$H$3)+(AVERAGE($D18:$H18)*(1-RSQ($D18:$H18,$D$3:$H$3)))),AVERAGE($D18:$H18))</f>
        <v>#DIV/0!</v>
      </c>
      <c r="K18" s="14" t="e">
        <f t="shared" ca="1" si="14"/>
        <v>#DIV/0!</v>
      </c>
      <c r="L18" s="14" t="e">
        <f ca="1">IF(RSQ($D18:$H18,$D$3:$H$3)&gt;0.5,((SLOPE($D18:$H18,$D$3:$H$3)+K18)*RSQ($D18:$H18,$D$3:$H$3)+(AVERAGE($D18:$H18)*(1-RSQ($D18:$H18,$D$3:$H$3)))),AVERAGE($D18:$H18))</f>
        <v>#DIV/0!</v>
      </c>
      <c r="M18" s="14" t="e">
        <f t="shared" ca="1" si="14"/>
        <v>#DIV/0!</v>
      </c>
      <c r="N18" s="14" t="e">
        <f t="shared" ca="1" si="14"/>
        <v>#DIV/0!</v>
      </c>
      <c r="O18" s="14" t="e">
        <f t="shared" ca="1" si="14"/>
        <v>#DIV/0!</v>
      </c>
      <c r="P18" s="14" t="e">
        <f t="shared" ca="1" si="14"/>
        <v>#DIV/0!</v>
      </c>
      <c r="Q18" s="14" t="e">
        <f t="shared" ca="1" si="14"/>
        <v>#DIV/0!</v>
      </c>
      <c r="R18" s="14" t="e">
        <f t="shared" ca="1" si="14"/>
        <v>#DIV/0!</v>
      </c>
    </row>
    <row r="20" spans="2:18" x14ac:dyDescent="0.25">
      <c r="B20" t="s">
        <v>175</v>
      </c>
      <c r="C20" s="157"/>
      <c r="D20" s="157"/>
      <c r="E20" s="157"/>
      <c r="F20" s="157"/>
      <c r="G20" s="157"/>
      <c r="H20" s="260">
        <f ca="1">Debt_Schedule!Z9</f>
        <v>0</v>
      </c>
      <c r="I20" s="260">
        <f ca="1">Debt_Schedule!AA9</f>
        <v>0</v>
      </c>
      <c r="J20" s="260">
        <f ca="1">Debt_Schedule!AB9</f>
        <v>0</v>
      </c>
      <c r="K20" s="260">
        <f ca="1">Debt_Schedule!AC9</f>
        <v>0</v>
      </c>
      <c r="L20" s="260">
        <f ca="1">Debt_Schedule!AD9</f>
        <v>0</v>
      </c>
      <c r="M20" s="260">
        <f ca="1">Debt_Schedule!AE9</f>
        <v>0</v>
      </c>
      <c r="N20" s="260">
        <f ca="1">Debt_Schedule!AF9</f>
        <v>0</v>
      </c>
      <c r="O20" s="260">
        <f ca="1">Debt_Schedule!AG9</f>
        <v>0</v>
      </c>
      <c r="P20" s="260">
        <f ca="1">Debt_Schedule!AH9</f>
        <v>0</v>
      </c>
      <c r="Q20" s="260">
        <f ca="1">Debt_Schedule!AI9</f>
        <v>0</v>
      </c>
      <c r="R20" s="260">
        <f>Debt_Schedule!AJ9</f>
        <v>0</v>
      </c>
    </row>
    <row r="22" spans="2:18" x14ac:dyDescent="0.25">
      <c r="B22" s="105" t="s">
        <v>176</v>
      </c>
      <c r="C22" s="270">
        <f t="shared" ref="C22:M22" si="15">C8+C10+C12-C15-C17</f>
        <v>0</v>
      </c>
      <c r="D22" s="270">
        <f t="shared" si="15"/>
        <v>0</v>
      </c>
      <c r="E22" s="270">
        <f t="shared" si="15"/>
        <v>0</v>
      </c>
      <c r="F22" s="270">
        <f t="shared" si="15"/>
        <v>0</v>
      </c>
      <c r="G22" s="270">
        <f t="shared" si="15"/>
        <v>0</v>
      </c>
      <c r="H22" s="270">
        <f t="shared" si="15"/>
        <v>0</v>
      </c>
      <c r="I22" s="270" t="e">
        <f ca="1">I8+I10+I12-I15-I17</f>
        <v>#DIV/0!</v>
      </c>
      <c r="J22" s="270" t="e">
        <f t="shared" ca="1" si="15"/>
        <v>#DIV/0!</v>
      </c>
      <c r="K22" s="270" t="e">
        <f t="shared" ca="1" si="15"/>
        <v>#DIV/0!</v>
      </c>
      <c r="L22" s="270" t="e">
        <f t="shared" ca="1" si="15"/>
        <v>#DIV/0!</v>
      </c>
      <c r="M22" s="270" t="e">
        <f t="shared" ca="1" si="15"/>
        <v>#DIV/0!</v>
      </c>
      <c r="N22" s="270" t="e">
        <f t="shared" ref="N22:R22" ca="1" si="16">N8+N10+N12-N15-N17</f>
        <v>#DIV/0!</v>
      </c>
      <c r="O22" s="270" t="e">
        <f t="shared" ca="1" si="16"/>
        <v>#DIV/0!</v>
      </c>
      <c r="P22" s="270" t="e">
        <f t="shared" ca="1" si="16"/>
        <v>#DIV/0!</v>
      </c>
      <c r="Q22" s="270" t="e">
        <f t="shared" ca="1" si="16"/>
        <v>#DIV/0!</v>
      </c>
      <c r="R22" s="270" t="e">
        <f t="shared" ca="1" si="16"/>
        <v>#DIV/0!</v>
      </c>
    </row>
    <row r="23" spans="2:18" x14ac:dyDescent="0.25">
      <c r="B23" s="113" t="s">
        <v>177</v>
      </c>
      <c r="C23" s="312" t="s">
        <v>90</v>
      </c>
      <c r="D23" s="311">
        <f t="shared" ref="D23:M23" si="17">D22-C22</f>
        <v>0</v>
      </c>
      <c r="E23" s="311">
        <f t="shared" si="17"/>
        <v>0</v>
      </c>
      <c r="F23" s="311">
        <f t="shared" si="17"/>
        <v>0</v>
      </c>
      <c r="G23" s="311">
        <f t="shared" si="17"/>
        <v>0</v>
      </c>
      <c r="H23" s="311">
        <f t="shared" si="17"/>
        <v>0</v>
      </c>
      <c r="I23" s="311" t="e">
        <f t="shared" ca="1" si="17"/>
        <v>#DIV/0!</v>
      </c>
      <c r="J23" s="311" t="e">
        <f ca="1">J22-I22</f>
        <v>#DIV/0!</v>
      </c>
      <c r="K23" s="311" t="e">
        <f t="shared" ca="1" si="17"/>
        <v>#DIV/0!</v>
      </c>
      <c r="L23" s="311" t="e">
        <f t="shared" ca="1" si="17"/>
        <v>#DIV/0!</v>
      </c>
      <c r="M23" s="311" t="e">
        <f t="shared" ca="1" si="17"/>
        <v>#DIV/0!</v>
      </c>
      <c r="N23" s="311" t="e">
        <f t="shared" ref="N23" ca="1" si="18">N22-M22</f>
        <v>#DIV/0!</v>
      </c>
      <c r="O23" s="311" t="e">
        <f t="shared" ref="O23" ca="1" si="19">O22-N22</f>
        <v>#DIV/0!</v>
      </c>
      <c r="P23" s="311" t="e">
        <f t="shared" ref="P23" ca="1" si="20">P22-O22</f>
        <v>#DIV/0!</v>
      </c>
      <c r="Q23" s="311" t="e">
        <f t="shared" ref="Q23" ca="1" si="21">Q22-P22</f>
        <v>#DIV/0!</v>
      </c>
      <c r="R23" s="311" t="e">
        <f t="shared" ref="R23" ca="1" si="22">R22-Q22</f>
        <v>#DIV/0!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BBE5-7B1C-47F2-9E69-4570941FF1A1}">
  <sheetPr codeName="Sheet7">
    <tabColor rgb="FF0070C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DAF5-D970-4AFE-BB9D-716135B21EEC}">
  <sheetPr codeName="Sheet8"/>
  <dimension ref="D2:S63"/>
  <sheetViews>
    <sheetView zoomScale="80" zoomScaleNormal="80" workbookViewId="0">
      <selection activeCell="S31" sqref="S31"/>
    </sheetView>
  </sheetViews>
  <sheetFormatPr defaultColWidth="8.85546875" defaultRowHeight="15" x14ac:dyDescent="0.25"/>
  <cols>
    <col min="1" max="3" width="8.85546875" style="75"/>
    <col min="4" max="4" width="40.42578125" style="75" bestFit="1" customWidth="1"/>
    <col min="5" max="5" width="54.42578125" style="75" bestFit="1" customWidth="1"/>
    <col min="6" max="6" width="8.85546875" style="75"/>
    <col min="7" max="7" width="15.42578125" style="75" bestFit="1" customWidth="1"/>
    <col min="8" max="8" width="2.28515625" style="75" bestFit="1" customWidth="1"/>
    <col min="9" max="9" width="8.7109375" style="75" bestFit="1" customWidth="1"/>
    <col min="10" max="11" width="9.42578125" style="75" bestFit="1" customWidth="1"/>
    <col min="12" max="17" width="10.5703125" style="75" bestFit="1" customWidth="1"/>
    <col min="18" max="18" width="11.5703125" style="75" bestFit="1" customWidth="1"/>
    <col min="19" max="16384" width="8.85546875" style="75"/>
  </cols>
  <sheetData>
    <row r="2" spans="4:18" x14ac:dyDescent="0.25">
      <c r="D2" s="115" t="str">
        <f>DCF!B2</f>
        <v>APPLE INC.</v>
      </c>
      <c r="E2" s="115"/>
      <c r="F2" s="115"/>
      <c r="G2" s="116"/>
      <c r="H2" s="117" t="s">
        <v>178</v>
      </c>
      <c r="I2" s="117" t="s">
        <v>178</v>
      </c>
      <c r="J2" s="117" t="s">
        <v>178</v>
      </c>
      <c r="K2" s="117" t="s">
        <v>178</v>
      </c>
      <c r="L2" s="117" t="s">
        <v>178</v>
      </c>
      <c r="M2" s="117" t="s">
        <v>178</v>
      </c>
      <c r="N2" s="117" t="s">
        <v>178</v>
      </c>
      <c r="O2" s="117" t="s">
        <v>178</v>
      </c>
      <c r="P2" s="117" t="s">
        <v>178</v>
      </c>
      <c r="Q2" s="117" t="s">
        <v>178</v>
      </c>
      <c r="R2" s="117" t="s">
        <v>178</v>
      </c>
    </row>
    <row r="3" spans="4:18" x14ac:dyDescent="0.25">
      <c r="D3" s="115" t="s">
        <v>179</v>
      </c>
      <c r="E3" s="115"/>
      <c r="F3" s="117"/>
      <c r="G3" s="118" t="s">
        <v>178</v>
      </c>
      <c r="H3" s="117" t="s">
        <v>178</v>
      </c>
      <c r="I3" s="117" t="s">
        <v>178</v>
      </c>
      <c r="J3" s="117" t="s">
        <v>178</v>
      </c>
      <c r="K3" s="117" t="s">
        <v>178</v>
      </c>
      <c r="L3" s="117" t="s">
        <v>178</v>
      </c>
      <c r="M3" s="117" t="s">
        <v>178</v>
      </c>
      <c r="N3" s="117" t="s">
        <v>178</v>
      </c>
      <c r="O3" s="117" t="s">
        <v>178</v>
      </c>
      <c r="P3" s="117" t="s">
        <v>178</v>
      </c>
      <c r="Q3" s="117" t="s">
        <v>178</v>
      </c>
      <c r="R3" s="117" t="s">
        <v>178</v>
      </c>
    </row>
    <row r="4" spans="4:18" x14ac:dyDescent="0.25">
      <c r="D4" s="115"/>
      <c r="E4" s="115"/>
      <c r="F4" s="117"/>
      <c r="G4" s="118" t="s">
        <v>178</v>
      </c>
      <c r="H4" s="117" t="s">
        <v>178</v>
      </c>
      <c r="I4" s="117" t="s">
        <v>178</v>
      </c>
      <c r="J4" s="117" t="s">
        <v>178</v>
      </c>
      <c r="K4" s="117" t="s">
        <v>178</v>
      </c>
      <c r="L4" s="117" t="s">
        <v>178</v>
      </c>
      <c r="M4" s="117" t="s">
        <v>178</v>
      </c>
      <c r="N4" s="117" t="s">
        <v>178</v>
      </c>
      <c r="O4" s="117" t="s">
        <v>178</v>
      </c>
      <c r="P4" s="117" t="s">
        <v>178</v>
      </c>
      <c r="Q4" s="117" t="s">
        <v>178</v>
      </c>
      <c r="R4" s="117" t="s">
        <v>178</v>
      </c>
    </row>
    <row r="5" spans="4:18" x14ac:dyDescent="0.25">
      <c r="D5" s="49"/>
      <c r="E5" s="49"/>
      <c r="F5" s="49"/>
      <c r="G5" s="50"/>
      <c r="H5" s="49"/>
      <c r="I5" s="49"/>
      <c r="J5" s="49"/>
      <c r="K5" s="49"/>
      <c r="L5" s="49"/>
      <c r="M5" s="49"/>
      <c r="N5" s="49"/>
      <c r="O5" s="49"/>
      <c r="P5" s="49"/>
      <c r="Q5" s="49"/>
      <c r="R5" s="49"/>
    </row>
    <row r="6" spans="4:18" x14ac:dyDescent="0.25">
      <c r="D6" s="51" t="s">
        <v>180</v>
      </c>
      <c r="E6" s="51"/>
      <c r="F6" s="52"/>
      <c r="G6" s="53" t="s">
        <v>178</v>
      </c>
      <c r="H6" s="52" t="s">
        <v>178</v>
      </c>
      <c r="I6" s="52" t="s">
        <v>178</v>
      </c>
      <c r="J6" s="52" t="s">
        <v>178</v>
      </c>
      <c r="K6" s="52" t="s">
        <v>178</v>
      </c>
      <c r="L6" s="52" t="s">
        <v>178</v>
      </c>
      <c r="M6" s="52" t="s">
        <v>178</v>
      </c>
      <c r="N6" s="52" t="s">
        <v>178</v>
      </c>
      <c r="O6" s="52" t="s">
        <v>178</v>
      </c>
      <c r="P6" s="52" t="s">
        <v>178</v>
      </c>
      <c r="Q6" s="52" t="s">
        <v>178</v>
      </c>
      <c r="R6" s="52" t="s">
        <v>178</v>
      </c>
    </row>
    <row r="7" spans="4:18" x14ac:dyDescent="0.25">
      <c r="D7" s="49"/>
      <c r="E7" s="49"/>
      <c r="F7" s="49"/>
      <c r="G7" s="50"/>
      <c r="H7" s="49"/>
      <c r="I7" s="49"/>
      <c r="J7" s="49"/>
      <c r="K7" s="49"/>
      <c r="L7" s="49"/>
      <c r="M7" s="49"/>
      <c r="N7" s="49"/>
      <c r="O7" s="49"/>
      <c r="P7" s="49"/>
      <c r="Q7" s="49"/>
      <c r="R7" s="49"/>
    </row>
    <row r="8" spans="4:18" x14ac:dyDescent="0.25">
      <c r="D8" s="10" t="s">
        <v>16</v>
      </c>
      <c r="E8" s="10"/>
      <c r="F8" s="54"/>
      <c r="G8" s="55"/>
      <c r="H8" s="49"/>
      <c r="I8" s="49"/>
      <c r="J8"/>
      <c r="K8"/>
      <c r="L8"/>
      <c r="M8"/>
      <c r="N8"/>
      <c r="O8"/>
      <c r="P8"/>
      <c r="Q8"/>
      <c r="R8"/>
    </row>
    <row r="9" spans="4:18" x14ac:dyDescent="0.25">
      <c r="D9" s="49"/>
      <c r="E9" s="49"/>
      <c r="F9" s="49"/>
      <c r="G9" s="50"/>
      <c r="H9" s="49"/>
      <c r="I9" s="49"/>
      <c r="J9" s="49"/>
      <c r="K9" s="49"/>
      <c r="L9" s="49"/>
      <c r="M9" s="49"/>
      <c r="N9" s="49"/>
      <c r="O9" s="49"/>
      <c r="P9" s="49"/>
      <c r="Q9" s="49"/>
      <c r="R9" s="49"/>
    </row>
    <row r="10" spans="4:18" x14ac:dyDescent="0.25">
      <c r="D10" s="56"/>
      <c r="E10" s="49"/>
      <c r="F10" s="54"/>
      <c r="G10" s="57" t="s">
        <v>181</v>
      </c>
      <c r="H10" s="49"/>
      <c r="I10" s="58" t="s">
        <v>181</v>
      </c>
      <c r="J10" s="58" t="s">
        <v>182</v>
      </c>
      <c r="K10" s="58" t="s">
        <v>183</v>
      </c>
      <c r="L10" s="58" t="s">
        <v>184</v>
      </c>
      <c r="M10" s="58" t="s">
        <v>185</v>
      </c>
      <c r="N10" s="58" t="s">
        <v>186</v>
      </c>
      <c r="O10" s="58" t="s">
        <v>187</v>
      </c>
      <c r="P10" s="58" t="s">
        <v>188</v>
      </c>
      <c r="Q10" s="58" t="s">
        <v>189</v>
      </c>
      <c r="R10" s="58" t="s">
        <v>190</v>
      </c>
    </row>
    <row r="11" spans="4:18" x14ac:dyDescent="0.25">
      <c r="D11" s="59"/>
      <c r="E11" s="59"/>
      <c r="F11" s="54"/>
      <c r="G11" s="60" t="str">
        <f ca="1">OFFSET(H11,0,MATCH(G10,I10:XFD10))</f>
        <v>Base</v>
      </c>
      <c r="H11" s="61"/>
      <c r="I11" s="62" t="s">
        <v>191</v>
      </c>
      <c r="J11" s="63" t="s">
        <v>192</v>
      </c>
      <c r="K11" s="62" t="s">
        <v>193</v>
      </c>
      <c r="L11" s="64" t="s">
        <v>194</v>
      </c>
      <c r="M11" s="64" t="s">
        <v>195</v>
      </c>
      <c r="N11" s="64" t="s">
        <v>196</v>
      </c>
      <c r="O11" s="62" t="s">
        <v>197</v>
      </c>
      <c r="P11" s="62" t="s">
        <v>198</v>
      </c>
      <c r="Q11" s="62" t="s">
        <v>199</v>
      </c>
      <c r="R11" s="62" t="s">
        <v>200</v>
      </c>
    </row>
    <row r="12" spans="4:18" x14ac:dyDescent="0.25">
      <c r="D12" s="49"/>
      <c r="E12" s="49"/>
      <c r="F12" s="49"/>
      <c r="G12" s="50"/>
      <c r="H12" s="49"/>
      <c r="I12" s="49"/>
      <c r="J12" s="49"/>
      <c r="K12" s="49"/>
      <c r="L12" s="49"/>
      <c r="M12" s="49"/>
      <c r="N12" s="49"/>
      <c r="O12" s="49"/>
      <c r="P12" s="49"/>
      <c r="Q12" s="49"/>
      <c r="R12" s="49"/>
    </row>
    <row r="13" spans="4:18" x14ac:dyDescent="0.25">
      <c r="D13" s="65" t="s">
        <v>201</v>
      </c>
      <c r="E13" s="66"/>
      <c r="F13" s="67"/>
      <c r="G13" s="68" t="s">
        <v>178</v>
      </c>
      <c r="H13" s="67" t="s">
        <v>178</v>
      </c>
      <c r="I13" s="67" t="s">
        <v>178</v>
      </c>
      <c r="J13" s="67" t="s">
        <v>178</v>
      </c>
      <c r="K13" s="67" t="s">
        <v>178</v>
      </c>
      <c r="L13" s="67" t="s">
        <v>178</v>
      </c>
      <c r="M13" s="67" t="s">
        <v>178</v>
      </c>
      <c r="N13" s="67" t="s">
        <v>178</v>
      </c>
      <c r="O13" s="67" t="s">
        <v>178</v>
      </c>
      <c r="P13" s="67" t="s">
        <v>178</v>
      </c>
      <c r="Q13" s="67" t="s">
        <v>178</v>
      </c>
      <c r="R13" s="67" t="s">
        <v>178</v>
      </c>
    </row>
    <row r="14" spans="4:18" x14ac:dyDescent="0.25">
      <c r="D14"/>
      <c r="E14"/>
      <c r="F14"/>
      <c r="G14" s="69"/>
      <c r="H14"/>
      <c r="I14"/>
      <c r="J14"/>
      <c r="K14"/>
      <c r="L14"/>
      <c r="M14"/>
      <c r="N14"/>
      <c r="O14"/>
      <c r="P14"/>
      <c r="Q14"/>
      <c r="R14"/>
    </row>
    <row r="15" spans="4:18" x14ac:dyDescent="0.25">
      <c r="D15"/>
      <c r="E15" t="s">
        <v>202</v>
      </c>
      <c r="F15"/>
      <c r="G15" s="70" t="str">
        <f>IF(Hub!N4="No", Hub!R6, Hub!D6)</f>
        <v>APPLE INC.</v>
      </c>
      <c r="H15"/>
      <c r="I15"/>
      <c r="J15"/>
      <c r="K15"/>
      <c r="L15"/>
      <c r="M15"/>
      <c r="N15"/>
      <c r="O15"/>
      <c r="P15"/>
      <c r="Q15"/>
      <c r="R15"/>
    </row>
    <row r="16" spans="4:18" x14ac:dyDescent="0.25">
      <c r="D16"/>
      <c r="E16" t="s">
        <v>10</v>
      </c>
      <c r="F16"/>
      <c r="G16" s="70" t="str">
        <f>IF(Hub!N4="No", Hub!R7, Hub!D7)</f>
        <v>AAPL</v>
      </c>
      <c r="H16"/>
      <c r="I16"/>
      <c r="J16"/>
      <c r="K16"/>
      <c r="L16"/>
      <c r="M16"/>
      <c r="N16"/>
      <c r="O16"/>
      <c r="P16"/>
      <c r="Q16"/>
      <c r="R16"/>
    </row>
    <row r="17" spans="4:19" x14ac:dyDescent="0.25">
      <c r="D17"/>
      <c r="E17" t="s">
        <v>203</v>
      </c>
      <c r="F17"/>
      <c r="G17" s="71" t="str" cm="1">
        <f t="array" ref="G17">RIGHT(_FV(Hub!D4,"Headquarters"), 2)</f>
        <v>US</v>
      </c>
      <c r="H17"/>
      <c r="I17"/>
      <c r="J17"/>
      <c r="K17"/>
      <c r="L17"/>
      <c r="M17"/>
      <c r="N17"/>
      <c r="O17"/>
      <c r="P17"/>
      <c r="Q17"/>
      <c r="R17"/>
    </row>
    <row r="18" spans="4:19" x14ac:dyDescent="0.25">
      <c r="D18"/>
      <c r="E18" t="s">
        <v>79</v>
      </c>
      <c r="F18"/>
      <c r="G18" s="72">
        <f ca="1">DCF!C9</f>
        <v>45431</v>
      </c>
      <c r="H18"/>
      <c r="I18"/>
      <c r="J18"/>
      <c r="K18"/>
      <c r="L18"/>
      <c r="M18"/>
      <c r="N18"/>
      <c r="O18"/>
      <c r="P18"/>
      <c r="Q18"/>
      <c r="R18"/>
    </row>
    <row r="19" spans="4:19" x14ac:dyDescent="0.25">
      <c r="D19"/>
      <c r="E19"/>
      <c r="F19"/>
      <c r="G19" s="69"/>
      <c r="H19"/>
      <c r="I19"/>
      <c r="J19"/>
      <c r="K19"/>
      <c r="L19"/>
      <c r="M19"/>
      <c r="N19"/>
      <c r="O19"/>
      <c r="P19"/>
      <c r="Q19"/>
      <c r="R19"/>
    </row>
    <row r="20" spans="4:19" x14ac:dyDescent="0.25">
      <c r="D20" s="65" t="s">
        <v>204</v>
      </c>
      <c r="E20" s="66"/>
      <c r="F20" s="67"/>
      <c r="G20" s="68" t="s">
        <v>178</v>
      </c>
      <c r="H20" s="67" t="s">
        <v>178</v>
      </c>
      <c r="I20" s="67" t="s">
        <v>178</v>
      </c>
      <c r="J20" s="67" t="s">
        <v>178</v>
      </c>
      <c r="K20" s="67" t="s">
        <v>178</v>
      </c>
      <c r="L20" s="67" t="s">
        <v>178</v>
      </c>
      <c r="M20" s="67" t="s">
        <v>178</v>
      </c>
      <c r="N20" s="67" t="s">
        <v>178</v>
      </c>
      <c r="O20" s="67" t="s">
        <v>178</v>
      </c>
      <c r="P20" s="67" t="s">
        <v>178</v>
      </c>
      <c r="Q20" s="67" t="s">
        <v>178</v>
      </c>
      <c r="R20" s="67" t="s">
        <v>178</v>
      </c>
    </row>
    <row r="21" spans="4:19" x14ac:dyDescent="0.25">
      <c r="D21"/>
      <c r="E21"/>
      <c r="F21"/>
      <c r="G21" s="69"/>
      <c r="H21"/>
      <c r="I21"/>
      <c r="J21"/>
      <c r="K21"/>
      <c r="L21"/>
      <c r="M21"/>
      <c r="N21"/>
      <c r="O21"/>
      <c r="P21"/>
      <c r="Q21"/>
      <c r="R21"/>
    </row>
    <row r="22" spans="4:19" x14ac:dyDescent="0.25">
      <c r="D22"/>
      <c r="E22" t="s">
        <v>205</v>
      </c>
      <c r="F22"/>
      <c r="G22" s="104" cm="1">
        <f t="array" ref="G22">INDEX(I22:XFD22,0,MATCH($G$10,$I$10:$XFD$10))</f>
        <v>1</v>
      </c>
      <c r="H22"/>
      <c r="I22" s="145">
        <v>1</v>
      </c>
      <c r="J22" s="145">
        <v>1.25</v>
      </c>
      <c r="K22" s="145">
        <v>0.6</v>
      </c>
      <c r="L22" s="145"/>
      <c r="M22" s="145"/>
      <c r="N22" s="145"/>
      <c r="O22" s="145"/>
      <c r="P22" s="145"/>
      <c r="Q22" s="145"/>
      <c r="R22" s="145"/>
    </row>
    <row r="23" spans="4:19" x14ac:dyDescent="0.25">
      <c r="D23"/>
      <c r="E23" t="s">
        <v>206</v>
      </c>
      <c r="F23"/>
      <c r="G23" s="104" cm="1">
        <f t="array" ref="G23">INDEX(I23:XFD23,0,MATCH($G$10,$I$10:$XFD$10))</f>
        <v>1</v>
      </c>
      <c r="H23"/>
      <c r="I23" s="145">
        <v>1</v>
      </c>
      <c r="J23" s="145">
        <v>0.6</v>
      </c>
      <c r="K23" s="145">
        <v>1.25</v>
      </c>
      <c r="L23" s="145"/>
      <c r="M23" s="145"/>
      <c r="N23" s="145"/>
      <c r="O23" s="145"/>
      <c r="P23" s="145"/>
      <c r="Q23" s="145"/>
      <c r="R23" s="145"/>
    </row>
    <row r="24" spans="4:19" x14ac:dyDescent="0.25">
      <c r="D24"/>
      <c r="E24"/>
      <c r="F24"/>
      <c r="G24" s="69"/>
      <c r="H24"/>
      <c r="I24"/>
      <c r="J24"/>
      <c r="K24"/>
      <c r="L24"/>
      <c r="M24"/>
      <c r="N24"/>
      <c r="O24"/>
      <c r="P24"/>
      <c r="Q24"/>
      <c r="R24"/>
    </row>
    <row r="25" spans="4:19" x14ac:dyDescent="0.25">
      <c r="D25" s="65"/>
      <c r="E25" s="66"/>
      <c r="F25" s="67"/>
      <c r="G25" s="68" t="s">
        <v>178</v>
      </c>
      <c r="H25" s="67" t="s">
        <v>178</v>
      </c>
      <c r="I25" s="67" t="s">
        <v>178</v>
      </c>
      <c r="J25" s="67" t="s">
        <v>178</v>
      </c>
      <c r="K25" s="67" t="s">
        <v>178</v>
      </c>
      <c r="L25" s="67" t="s">
        <v>178</v>
      </c>
      <c r="M25" s="67" t="s">
        <v>178</v>
      </c>
      <c r="N25" s="67" t="s">
        <v>178</v>
      </c>
      <c r="O25" s="67" t="s">
        <v>178</v>
      </c>
      <c r="P25" s="67" t="s">
        <v>178</v>
      </c>
      <c r="Q25" s="67" t="s">
        <v>178</v>
      </c>
      <c r="R25" s="67" t="s">
        <v>178</v>
      </c>
    </row>
    <row r="26" spans="4:19" x14ac:dyDescent="0.25">
      <c r="D26"/>
      <c r="E26"/>
      <c r="F26"/>
      <c r="G26" s="69"/>
      <c r="H26"/>
      <c r="I26"/>
      <c r="J26"/>
      <c r="K26"/>
      <c r="L26"/>
      <c r="M26"/>
      <c r="N26"/>
      <c r="O26"/>
      <c r="P26"/>
      <c r="Q26"/>
      <c r="R26"/>
    </row>
    <row r="27" spans="4:19" x14ac:dyDescent="0.25">
      <c r="D27"/>
      <c r="E27" t="s">
        <v>207</v>
      </c>
      <c r="F27" s="10"/>
      <c r="G27" s="73" t="str" cm="1">
        <f t="array" ref="G27">INDEX(I27:XFD27,0,MATCH($G$10,$I$10:$XFD$10))</f>
        <v>Base</v>
      </c>
      <c r="H27"/>
      <c r="I27" s="74" t="s">
        <v>191</v>
      </c>
      <c r="J27" s="74" t="s">
        <v>192</v>
      </c>
      <c r="K27" s="74" t="s">
        <v>193</v>
      </c>
      <c r="L27" s="74" t="s">
        <v>191</v>
      </c>
      <c r="M27" s="74" t="s">
        <v>191</v>
      </c>
      <c r="N27" s="74" t="s">
        <v>191</v>
      </c>
      <c r="O27" s="74" t="s">
        <v>191</v>
      </c>
      <c r="P27" s="74" t="s">
        <v>191</v>
      </c>
      <c r="Q27" s="74" t="s">
        <v>191</v>
      </c>
      <c r="R27" s="74" t="s">
        <v>191</v>
      </c>
    </row>
    <row r="28" spans="4:19" x14ac:dyDescent="0.25">
      <c r="D28"/>
      <c r="E28"/>
      <c r="F28"/>
      <c r="G28" s="69"/>
      <c r="H28"/>
      <c r="I28" s="69"/>
      <c r="J28" s="69"/>
      <c r="K28" s="69"/>
      <c r="L28" s="69"/>
      <c r="M28" s="69"/>
      <c r="N28" s="69"/>
      <c r="O28" s="69"/>
      <c r="P28" s="69"/>
      <c r="Q28" s="69"/>
      <c r="R28" s="69"/>
    </row>
    <row r="29" spans="4:19" x14ac:dyDescent="0.25">
      <c r="D29" s="65"/>
      <c r="E29" s="66"/>
      <c r="F29" s="67"/>
      <c r="G29" s="68" t="s">
        <v>178</v>
      </c>
      <c r="H29" s="67" t="s">
        <v>178</v>
      </c>
      <c r="I29" s="67" t="s">
        <v>178</v>
      </c>
      <c r="J29" s="67" t="s">
        <v>178</v>
      </c>
      <c r="K29" s="67" t="s">
        <v>178</v>
      </c>
      <c r="L29" s="67" t="s">
        <v>178</v>
      </c>
      <c r="M29" s="67" t="s">
        <v>178</v>
      </c>
      <c r="N29" s="67" t="s">
        <v>178</v>
      </c>
      <c r="O29" s="67" t="s">
        <v>178</v>
      </c>
      <c r="P29" s="67" t="s">
        <v>178</v>
      </c>
      <c r="Q29" s="67" t="s">
        <v>178</v>
      </c>
      <c r="R29" s="67" t="s">
        <v>178</v>
      </c>
    </row>
    <row r="30" spans="4:19" x14ac:dyDescent="0.25">
      <c r="D30"/>
      <c r="E30"/>
      <c r="F30"/>
      <c r="G30" s="69"/>
      <c r="H30"/>
      <c r="I30"/>
      <c r="J30"/>
      <c r="K30"/>
      <c r="L30"/>
      <c r="M30"/>
      <c r="N30"/>
      <c r="O30"/>
      <c r="P30"/>
      <c r="Q30"/>
      <c r="R30"/>
    </row>
    <row r="31" spans="4:19" x14ac:dyDescent="0.25">
      <c r="D31"/>
      <c r="E31" t="s">
        <v>207</v>
      </c>
      <c r="F31" s="10"/>
      <c r="G31" s="73" t="str">
        <f t="array" ref="G31">INDEX(I31:XFD31,0,MATCH($G$10,$I$10:$XFD$10))</f>
        <v>Base</v>
      </c>
      <c r="H31"/>
      <c r="I31" s="74" t="s">
        <v>191</v>
      </c>
      <c r="J31" s="74" t="s">
        <v>192</v>
      </c>
      <c r="K31" s="74" t="s">
        <v>193</v>
      </c>
      <c r="L31" s="74" t="s">
        <v>191</v>
      </c>
      <c r="M31" s="74" t="s">
        <v>191</v>
      </c>
      <c r="N31" s="74" t="s">
        <v>191</v>
      </c>
      <c r="O31" s="74" t="s">
        <v>191</v>
      </c>
      <c r="P31" s="74" t="s">
        <v>191</v>
      </c>
      <c r="Q31" s="74" t="s">
        <v>191</v>
      </c>
      <c r="R31" s="74" t="s">
        <v>191</v>
      </c>
      <c r="S31" s="149"/>
    </row>
    <row r="32" spans="4:19" x14ac:dyDescent="0.25">
      <c r="D32"/>
      <c r="E32"/>
      <c r="F32"/>
      <c r="G32" s="69"/>
      <c r="H32"/>
      <c r="I32" s="69"/>
      <c r="J32" s="69"/>
      <c r="K32" s="69"/>
      <c r="L32" s="69"/>
      <c r="M32" s="69"/>
      <c r="N32" s="69"/>
      <c r="O32" s="69"/>
      <c r="P32" s="69"/>
      <c r="Q32" s="69"/>
      <c r="R32" s="69"/>
    </row>
    <row r="33" spans="4:18" x14ac:dyDescent="0.25">
      <c r="D33" s="65"/>
      <c r="E33" s="66"/>
      <c r="F33" s="67"/>
      <c r="G33" s="68" t="s">
        <v>178</v>
      </c>
      <c r="H33" s="67" t="s">
        <v>178</v>
      </c>
      <c r="I33" s="67" t="s">
        <v>178</v>
      </c>
      <c r="J33" s="67" t="s">
        <v>178</v>
      </c>
      <c r="K33" s="67" t="s">
        <v>178</v>
      </c>
      <c r="L33" s="67" t="s">
        <v>178</v>
      </c>
      <c r="M33" s="67" t="s">
        <v>178</v>
      </c>
      <c r="N33" s="67" t="s">
        <v>178</v>
      </c>
      <c r="O33" s="67" t="s">
        <v>178</v>
      </c>
      <c r="P33" s="67" t="s">
        <v>178</v>
      </c>
      <c r="Q33" s="67" t="s">
        <v>178</v>
      </c>
      <c r="R33" s="67" t="s">
        <v>178</v>
      </c>
    </row>
    <row r="34" spans="4:18" x14ac:dyDescent="0.25">
      <c r="D34"/>
      <c r="E34"/>
      <c r="F34"/>
      <c r="G34" s="69"/>
      <c r="H34"/>
      <c r="I34"/>
      <c r="J34"/>
      <c r="K34"/>
      <c r="L34"/>
      <c r="M34"/>
      <c r="N34"/>
      <c r="O34"/>
      <c r="P34"/>
      <c r="Q34"/>
      <c r="R34"/>
    </row>
    <row r="35" spans="4:18" x14ac:dyDescent="0.25">
      <c r="D35"/>
      <c r="E35" s="75" t="s">
        <v>207</v>
      </c>
      <c r="F35" s="10"/>
      <c r="G35" s="73" t="str">
        <f t="array" ref="G35">INDEX(I35:XFD35,0,MATCH($G$10,$I$10:$XFD$10))</f>
        <v>Base</v>
      </c>
      <c r="H35"/>
      <c r="I35" s="74" t="s">
        <v>191</v>
      </c>
      <c r="J35" s="74" t="s">
        <v>192</v>
      </c>
      <c r="K35" s="74" t="s">
        <v>193</v>
      </c>
      <c r="L35" s="74" t="s">
        <v>191</v>
      </c>
      <c r="M35" s="74" t="s">
        <v>191</v>
      </c>
      <c r="N35" s="74" t="s">
        <v>191</v>
      </c>
      <c r="O35" s="74" t="s">
        <v>191</v>
      </c>
      <c r="P35" s="74" t="s">
        <v>191</v>
      </c>
      <c r="Q35" s="74" t="s">
        <v>191</v>
      </c>
      <c r="R35" s="74" t="s">
        <v>191</v>
      </c>
    </row>
    <row r="36" spans="4:18" x14ac:dyDescent="0.25">
      <c r="D36"/>
      <c r="E36"/>
      <c r="F36"/>
      <c r="G36" s="69"/>
      <c r="H36"/>
      <c r="I36" s="69"/>
      <c r="J36" s="69"/>
      <c r="K36" s="69"/>
      <c r="L36" s="69"/>
      <c r="M36" s="69"/>
      <c r="N36" s="69"/>
      <c r="O36" s="69"/>
      <c r="P36" s="69"/>
      <c r="Q36" s="69"/>
      <c r="R36" s="69"/>
    </row>
    <row r="37" spans="4:18" x14ac:dyDescent="0.25">
      <c r="D37" s="65"/>
      <c r="E37" s="66"/>
      <c r="F37" s="67"/>
      <c r="G37" s="68" t="s">
        <v>178</v>
      </c>
      <c r="H37" s="67" t="s">
        <v>178</v>
      </c>
      <c r="I37" s="67" t="s">
        <v>178</v>
      </c>
      <c r="J37" s="67" t="s">
        <v>178</v>
      </c>
      <c r="K37" s="67" t="s">
        <v>178</v>
      </c>
      <c r="L37" s="67" t="s">
        <v>178</v>
      </c>
      <c r="M37" s="67" t="s">
        <v>178</v>
      </c>
      <c r="N37" s="67" t="s">
        <v>178</v>
      </c>
      <c r="O37" s="67" t="s">
        <v>178</v>
      </c>
      <c r="P37" s="67" t="s">
        <v>178</v>
      </c>
      <c r="Q37" s="67" t="s">
        <v>178</v>
      </c>
      <c r="R37" s="67" t="s">
        <v>178</v>
      </c>
    </row>
    <row r="38" spans="4:18" x14ac:dyDescent="0.25">
      <c r="D38"/>
      <c r="E38"/>
      <c r="F38"/>
      <c r="G38" s="69"/>
      <c r="H38"/>
      <c r="I38"/>
      <c r="J38"/>
      <c r="K38"/>
      <c r="L38"/>
      <c r="M38"/>
      <c r="N38"/>
      <c r="O38"/>
      <c r="P38"/>
      <c r="Q38"/>
      <c r="R38"/>
    </row>
    <row r="39" spans="4:18" x14ac:dyDescent="0.25">
      <c r="D39"/>
      <c r="E39" t="s">
        <v>207</v>
      </c>
      <c r="F39" s="10"/>
      <c r="G39" s="73" t="str" cm="1">
        <f t="array" ref="G39">INDEX(I39:XFD39,0,MATCH($G$10,$I$10:$XFD$10))</f>
        <v>Base</v>
      </c>
      <c r="H39"/>
      <c r="I39" s="74" t="s">
        <v>191</v>
      </c>
      <c r="J39" s="74" t="s">
        <v>192</v>
      </c>
      <c r="K39" s="74" t="s">
        <v>193</v>
      </c>
      <c r="L39" s="74" t="s">
        <v>191</v>
      </c>
      <c r="M39" s="74" t="s">
        <v>191</v>
      </c>
      <c r="N39" s="74" t="s">
        <v>191</v>
      </c>
      <c r="O39" s="74" t="s">
        <v>191</v>
      </c>
      <c r="P39" s="74" t="s">
        <v>191</v>
      </c>
      <c r="Q39" s="74" t="s">
        <v>191</v>
      </c>
      <c r="R39" s="74" t="s">
        <v>191</v>
      </c>
    </row>
    <row r="41" spans="4:18" x14ac:dyDescent="0.25">
      <c r="D41" s="65"/>
      <c r="E41" s="66"/>
      <c r="F41" s="67"/>
      <c r="G41" s="68" t="s">
        <v>178</v>
      </c>
      <c r="H41" s="67" t="s">
        <v>178</v>
      </c>
      <c r="I41" s="67" t="s">
        <v>178</v>
      </c>
      <c r="J41" s="67" t="s">
        <v>178</v>
      </c>
      <c r="K41" s="67" t="s">
        <v>178</v>
      </c>
      <c r="L41" s="67" t="s">
        <v>178</v>
      </c>
      <c r="M41" s="67" t="s">
        <v>178</v>
      </c>
      <c r="N41" s="67" t="s">
        <v>178</v>
      </c>
      <c r="O41" s="67" t="s">
        <v>178</v>
      </c>
      <c r="P41" s="67" t="s">
        <v>178</v>
      </c>
      <c r="Q41" s="67" t="s">
        <v>178</v>
      </c>
      <c r="R41" s="67" t="s">
        <v>178</v>
      </c>
    </row>
    <row r="42" spans="4:18" x14ac:dyDescent="0.25">
      <c r="D42"/>
      <c r="E42"/>
      <c r="F42"/>
      <c r="G42" s="69"/>
      <c r="H42"/>
      <c r="I42"/>
      <c r="J42"/>
      <c r="K42"/>
      <c r="L42"/>
      <c r="M42"/>
      <c r="N42"/>
      <c r="O42"/>
      <c r="P42"/>
      <c r="Q42"/>
      <c r="R42"/>
    </row>
    <row r="43" spans="4:18" x14ac:dyDescent="0.25">
      <c r="D43"/>
      <c r="E43" t="s">
        <v>207</v>
      </c>
      <c r="F43" s="10"/>
      <c r="G43" s="73" t="str">
        <f t="array" ref="G43">INDEX(I43:XFD43,0,MATCH($G$10,$I$10:$XFD$10))</f>
        <v>Base</v>
      </c>
      <c r="H43"/>
      <c r="I43" s="74" t="s">
        <v>191</v>
      </c>
      <c r="J43" s="74" t="s">
        <v>192</v>
      </c>
      <c r="K43" s="74" t="s">
        <v>193</v>
      </c>
      <c r="L43" s="74" t="s">
        <v>191</v>
      </c>
      <c r="M43" s="74" t="s">
        <v>191</v>
      </c>
      <c r="N43" s="74" t="s">
        <v>191</v>
      </c>
      <c r="O43" s="74" t="s">
        <v>191</v>
      </c>
      <c r="P43" s="74" t="s">
        <v>191</v>
      </c>
      <c r="Q43" s="74" t="s">
        <v>191</v>
      </c>
      <c r="R43" s="74" t="s">
        <v>191</v>
      </c>
    </row>
    <row r="45" spans="4:18" x14ac:dyDescent="0.25">
      <c r="D45" s="65"/>
      <c r="E45" s="66"/>
      <c r="F45" s="67"/>
      <c r="G45" s="68" t="s">
        <v>178</v>
      </c>
      <c r="H45" s="67" t="s">
        <v>178</v>
      </c>
      <c r="I45" s="67" t="s">
        <v>178</v>
      </c>
      <c r="J45" s="67" t="s">
        <v>178</v>
      </c>
      <c r="K45" s="67" t="s">
        <v>178</v>
      </c>
      <c r="L45" s="67" t="s">
        <v>178</v>
      </c>
      <c r="M45" s="67" t="s">
        <v>178</v>
      </c>
      <c r="N45" s="67" t="s">
        <v>178</v>
      </c>
      <c r="O45" s="67" t="s">
        <v>178</v>
      </c>
      <c r="P45" s="67" t="s">
        <v>178</v>
      </c>
      <c r="Q45" s="67" t="s">
        <v>178</v>
      </c>
      <c r="R45" s="67" t="s">
        <v>178</v>
      </c>
    </row>
    <row r="46" spans="4:18" x14ac:dyDescent="0.25">
      <c r="D46"/>
      <c r="E46"/>
      <c r="F46"/>
      <c r="G46" s="69"/>
      <c r="H46"/>
      <c r="I46"/>
      <c r="J46"/>
      <c r="K46"/>
      <c r="L46"/>
      <c r="M46"/>
      <c r="N46"/>
      <c r="O46"/>
      <c r="P46"/>
      <c r="Q46"/>
      <c r="R46"/>
    </row>
    <row r="47" spans="4:18" x14ac:dyDescent="0.25">
      <c r="D47"/>
      <c r="E47" t="s">
        <v>207</v>
      </c>
      <c r="F47" s="10"/>
      <c r="G47" s="73" t="str">
        <f t="array" ref="G47">INDEX(I47:XFD47,0,MATCH($G$10,$I$10:$XFD$10))</f>
        <v>Base</v>
      </c>
      <c r="H47"/>
      <c r="I47" s="74" t="s">
        <v>191</v>
      </c>
      <c r="J47" s="74" t="s">
        <v>192</v>
      </c>
      <c r="K47" s="74" t="s">
        <v>193</v>
      </c>
      <c r="L47" s="74" t="s">
        <v>191</v>
      </c>
      <c r="M47" s="74" t="s">
        <v>191</v>
      </c>
      <c r="N47" s="74" t="s">
        <v>191</v>
      </c>
      <c r="O47" s="74" t="s">
        <v>191</v>
      </c>
      <c r="P47" s="74" t="s">
        <v>191</v>
      </c>
      <c r="Q47" s="74" t="s">
        <v>191</v>
      </c>
      <c r="R47" s="74" t="s">
        <v>191</v>
      </c>
    </row>
    <row r="49" spans="4:18" x14ac:dyDescent="0.25">
      <c r="D49" s="65"/>
      <c r="E49" s="66"/>
      <c r="F49" s="67"/>
      <c r="G49" s="68" t="s">
        <v>178</v>
      </c>
      <c r="H49" s="67" t="s">
        <v>178</v>
      </c>
      <c r="I49" s="67" t="s">
        <v>178</v>
      </c>
      <c r="J49" s="67" t="s">
        <v>178</v>
      </c>
      <c r="K49" s="67" t="s">
        <v>178</v>
      </c>
      <c r="L49" s="67" t="s">
        <v>178</v>
      </c>
      <c r="M49" s="67" t="s">
        <v>178</v>
      </c>
      <c r="N49" s="67" t="s">
        <v>178</v>
      </c>
      <c r="O49" s="67" t="s">
        <v>178</v>
      </c>
      <c r="P49" s="67" t="s">
        <v>178</v>
      </c>
      <c r="Q49" s="67" t="s">
        <v>178</v>
      </c>
      <c r="R49" s="67" t="s">
        <v>178</v>
      </c>
    </row>
    <row r="50" spans="4:18" x14ac:dyDescent="0.25">
      <c r="D50"/>
      <c r="E50"/>
      <c r="F50"/>
      <c r="G50" s="69"/>
      <c r="H50"/>
      <c r="I50"/>
      <c r="J50"/>
      <c r="K50"/>
      <c r="L50"/>
      <c r="M50"/>
      <c r="N50"/>
      <c r="O50"/>
      <c r="P50"/>
      <c r="Q50"/>
      <c r="R50"/>
    </row>
    <row r="51" spans="4:18" x14ac:dyDescent="0.25">
      <c r="D51"/>
      <c r="E51" t="s">
        <v>207</v>
      </c>
      <c r="F51" s="10"/>
      <c r="G51" s="73" t="str" cm="1">
        <f t="array" ref="G51">INDEX(I51:XFD51,0,MATCH($G$10,$I$10:$XFD$10))</f>
        <v>Base</v>
      </c>
      <c r="H51"/>
      <c r="I51" s="74" t="s">
        <v>191</v>
      </c>
      <c r="J51" s="74" t="s">
        <v>192</v>
      </c>
      <c r="K51" s="74" t="s">
        <v>193</v>
      </c>
      <c r="L51" s="74" t="s">
        <v>191</v>
      </c>
      <c r="M51" s="74" t="s">
        <v>191</v>
      </c>
      <c r="N51" s="74" t="s">
        <v>191</v>
      </c>
      <c r="O51" s="74" t="s">
        <v>191</v>
      </c>
      <c r="P51" s="74" t="s">
        <v>191</v>
      </c>
      <c r="Q51" s="74" t="s">
        <v>191</v>
      </c>
      <c r="R51" s="74" t="s">
        <v>191</v>
      </c>
    </row>
    <row r="52" spans="4:18" x14ac:dyDescent="0.25">
      <c r="D52"/>
      <c r="E52"/>
      <c r="F52"/>
      <c r="G52" s="69"/>
      <c r="H52"/>
      <c r="I52" s="69"/>
      <c r="J52" s="69"/>
      <c r="K52" s="69"/>
      <c r="L52" s="69"/>
      <c r="M52" s="69"/>
      <c r="N52" s="69"/>
      <c r="O52" s="69"/>
      <c r="P52" s="69"/>
      <c r="Q52" s="69"/>
      <c r="R52" s="69"/>
    </row>
    <row r="53" spans="4:18" x14ac:dyDescent="0.25">
      <c r="D53" s="65"/>
      <c r="E53" s="66"/>
      <c r="F53" s="67"/>
      <c r="G53" s="68" t="s">
        <v>178</v>
      </c>
      <c r="H53" s="67" t="s">
        <v>178</v>
      </c>
      <c r="I53" s="67" t="s">
        <v>178</v>
      </c>
      <c r="J53" s="67" t="s">
        <v>178</v>
      </c>
      <c r="K53" s="67" t="s">
        <v>178</v>
      </c>
      <c r="L53" s="67" t="s">
        <v>178</v>
      </c>
      <c r="M53" s="67" t="s">
        <v>178</v>
      </c>
      <c r="N53" s="67" t="s">
        <v>178</v>
      </c>
      <c r="O53" s="67" t="s">
        <v>178</v>
      </c>
      <c r="P53" s="67" t="s">
        <v>178</v>
      </c>
      <c r="Q53" s="67" t="s">
        <v>178</v>
      </c>
      <c r="R53" s="67" t="s">
        <v>178</v>
      </c>
    </row>
    <row r="54" spans="4:18" x14ac:dyDescent="0.25">
      <c r="D54"/>
      <c r="E54"/>
      <c r="F54"/>
      <c r="G54" s="69"/>
      <c r="H54"/>
      <c r="I54"/>
      <c r="J54"/>
      <c r="K54"/>
      <c r="L54"/>
      <c r="M54"/>
      <c r="N54"/>
      <c r="O54"/>
      <c r="P54"/>
      <c r="Q54"/>
      <c r="R54"/>
    </row>
    <row r="55" spans="4:18" x14ac:dyDescent="0.25">
      <c r="D55"/>
      <c r="E55" t="s">
        <v>207</v>
      </c>
      <c r="F55" s="10"/>
      <c r="G55" s="73" t="str">
        <f t="array" ref="G55">INDEX(I55:XFD55,0,MATCH($G$10,$I$10:$XFD$10))</f>
        <v>Base</v>
      </c>
      <c r="H55"/>
      <c r="I55" s="74" t="s">
        <v>191</v>
      </c>
      <c r="J55" s="74" t="s">
        <v>192</v>
      </c>
      <c r="K55" s="74" t="s">
        <v>193</v>
      </c>
      <c r="L55" s="74" t="s">
        <v>191</v>
      </c>
      <c r="M55" s="74" t="s">
        <v>191</v>
      </c>
      <c r="N55" s="74" t="s">
        <v>191</v>
      </c>
      <c r="O55" s="74" t="s">
        <v>191</v>
      </c>
      <c r="P55" s="74" t="s">
        <v>191</v>
      </c>
      <c r="Q55" s="74" t="s">
        <v>191</v>
      </c>
      <c r="R55" s="74" t="s">
        <v>191</v>
      </c>
    </row>
    <row r="56" spans="4:18" x14ac:dyDescent="0.25">
      <c r="D56"/>
      <c r="E56"/>
      <c r="F56"/>
      <c r="G56" s="69"/>
      <c r="H56"/>
      <c r="I56" s="69"/>
      <c r="J56" s="69"/>
      <c r="K56" s="69"/>
      <c r="L56" s="69"/>
      <c r="M56" s="69"/>
      <c r="N56" s="69"/>
      <c r="O56" s="69"/>
      <c r="P56" s="69"/>
      <c r="Q56" s="69"/>
      <c r="R56" s="69"/>
    </row>
    <row r="57" spans="4:18" x14ac:dyDescent="0.25">
      <c r="D57" s="65"/>
      <c r="E57" s="66"/>
      <c r="F57" s="67"/>
      <c r="G57" s="68" t="s">
        <v>178</v>
      </c>
      <c r="H57" s="67" t="s">
        <v>178</v>
      </c>
      <c r="I57" s="67" t="s">
        <v>178</v>
      </c>
      <c r="J57" s="67" t="s">
        <v>178</v>
      </c>
      <c r="K57" s="67" t="s">
        <v>178</v>
      </c>
      <c r="L57" s="67" t="s">
        <v>178</v>
      </c>
      <c r="M57" s="67" t="s">
        <v>178</v>
      </c>
      <c r="N57" s="67" t="s">
        <v>178</v>
      </c>
      <c r="O57" s="67" t="s">
        <v>178</v>
      </c>
      <c r="P57" s="67" t="s">
        <v>178</v>
      </c>
      <c r="Q57" s="67" t="s">
        <v>178</v>
      </c>
      <c r="R57" s="67" t="s">
        <v>178</v>
      </c>
    </row>
    <row r="58" spans="4:18" x14ac:dyDescent="0.25">
      <c r="D58"/>
      <c r="E58"/>
      <c r="F58"/>
      <c r="G58" s="69"/>
      <c r="H58"/>
      <c r="I58"/>
      <c r="J58"/>
      <c r="K58"/>
      <c r="L58"/>
      <c r="M58"/>
      <c r="N58"/>
      <c r="O58"/>
      <c r="P58"/>
      <c r="Q58"/>
      <c r="R58"/>
    </row>
    <row r="59" spans="4:18" x14ac:dyDescent="0.25">
      <c r="D59"/>
      <c r="E59" s="75" t="s">
        <v>207</v>
      </c>
      <c r="F59" s="10"/>
      <c r="G59" s="73" t="str">
        <f t="array" ref="G59">INDEX(I59:XFD59,0,MATCH($G$10,$I$10:$XFD$10))</f>
        <v>Base</v>
      </c>
      <c r="H59"/>
      <c r="I59" s="74" t="s">
        <v>191</v>
      </c>
      <c r="J59" s="74" t="s">
        <v>192</v>
      </c>
      <c r="K59" s="74" t="s">
        <v>193</v>
      </c>
      <c r="L59" s="74" t="s">
        <v>191</v>
      </c>
      <c r="M59" s="74" t="s">
        <v>191</v>
      </c>
      <c r="N59" s="74" t="s">
        <v>191</v>
      </c>
      <c r="O59" s="74" t="s">
        <v>191</v>
      </c>
      <c r="P59" s="74" t="s">
        <v>191</v>
      </c>
      <c r="Q59" s="74" t="s">
        <v>191</v>
      </c>
      <c r="R59" s="74" t="s">
        <v>191</v>
      </c>
    </row>
    <row r="60" spans="4:18" x14ac:dyDescent="0.25">
      <c r="D60"/>
      <c r="E60"/>
      <c r="F60"/>
      <c r="G60" s="69"/>
      <c r="H60"/>
      <c r="I60" s="69"/>
      <c r="J60" s="69"/>
      <c r="K60" s="69"/>
      <c r="L60" s="69"/>
      <c r="M60" s="69"/>
      <c r="N60" s="69"/>
      <c r="O60" s="69"/>
      <c r="P60" s="69"/>
      <c r="Q60" s="69"/>
      <c r="R60" s="69"/>
    </row>
    <row r="61" spans="4:18" x14ac:dyDescent="0.25">
      <c r="D61" s="65"/>
      <c r="E61" s="66"/>
      <c r="F61" s="67"/>
      <c r="G61" s="68" t="s">
        <v>178</v>
      </c>
      <c r="H61" s="67" t="s">
        <v>178</v>
      </c>
      <c r="I61" s="67" t="s">
        <v>178</v>
      </c>
      <c r="J61" s="67" t="s">
        <v>178</v>
      </c>
      <c r="K61" s="67" t="s">
        <v>178</v>
      </c>
      <c r="L61" s="67" t="s">
        <v>178</v>
      </c>
      <c r="M61" s="67" t="s">
        <v>178</v>
      </c>
      <c r="N61" s="67" t="s">
        <v>178</v>
      </c>
      <c r="O61" s="67" t="s">
        <v>178</v>
      </c>
      <c r="P61" s="67" t="s">
        <v>178</v>
      </c>
      <c r="Q61" s="67" t="s">
        <v>178</v>
      </c>
      <c r="R61" s="67" t="s">
        <v>178</v>
      </c>
    </row>
    <row r="62" spans="4:18" x14ac:dyDescent="0.25">
      <c r="D62"/>
      <c r="E62"/>
      <c r="F62"/>
      <c r="G62" s="69"/>
      <c r="H62"/>
      <c r="I62"/>
      <c r="J62"/>
      <c r="K62"/>
      <c r="L62"/>
      <c r="M62"/>
      <c r="N62"/>
      <c r="O62"/>
      <c r="P62"/>
      <c r="Q62"/>
      <c r="R62"/>
    </row>
    <row r="63" spans="4:18" x14ac:dyDescent="0.25">
      <c r="D63"/>
      <c r="E63" t="s">
        <v>207</v>
      </c>
      <c r="F63" s="10"/>
      <c r="G63" s="73" t="str" cm="1">
        <f t="array" ref="G63">INDEX(I63:XFD63,0,MATCH($G$10,$I$10:$XFD$10))</f>
        <v>Base</v>
      </c>
      <c r="H63"/>
      <c r="I63" s="74" t="s">
        <v>191</v>
      </c>
      <c r="J63" s="74" t="s">
        <v>192</v>
      </c>
      <c r="K63" s="74" t="s">
        <v>193</v>
      </c>
      <c r="L63" s="74" t="s">
        <v>191</v>
      </c>
      <c r="M63" s="74" t="s">
        <v>191</v>
      </c>
      <c r="N63" s="74" t="s">
        <v>191</v>
      </c>
      <c r="O63" s="74" t="s">
        <v>191</v>
      </c>
      <c r="P63" s="74" t="s">
        <v>191</v>
      </c>
      <c r="Q63" s="74" t="s">
        <v>191</v>
      </c>
      <c r="R63" s="74" t="s">
        <v>191</v>
      </c>
    </row>
  </sheetData>
  <dataValidations count="1">
    <dataValidation type="list" allowBlank="1" showErrorMessage="1" sqref="G10" xr:uid="{73EBA6A4-8AC5-4AAE-AA3F-E0DF8E8D6FC2}">
      <formula1>"Case 1,Case 2,Case 3,Case 4,Case 5,Case 6,Case 7,Case 8,Case 9,Case 10"</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CA3E-FA62-41F7-B511-F731A5F16A71}">
  <sheetPr codeName="Sheet9"/>
  <dimension ref="B2:S87"/>
  <sheetViews>
    <sheetView zoomScale="73" workbookViewId="0">
      <selection activeCell="Q13" sqref="Q13"/>
    </sheetView>
  </sheetViews>
  <sheetFormatPr defaultColWidth="8.85546875" defaultRowHeight="15" x14ac:dyDescent="0.25"/>
  <cols>
    <col min="1" max="1" width="8.85546875" style="75"/>
    <col min="2" max="2" width="22.7109375" style="75" bestFit="1" customWidth="1"/>
    <col min="3" max="3" width="16.42578125" style="75" bestFit="1" customWidth="1"/>
    <col min="4" max="4" width="5.85546875" style="75" bestFit="1" customWidth="1"/>
    <col min="5" max="5" width="1.7109375" style="75" bestFit="1" customWidth="1"/>
    <col min="6" max="15" width="13" style="75" bestFit="1" customWidth="1"/>
    <col min="16" max="16" width="8.140625" style="91" bestFit="1" customWidth="1"/>
    <col min="17" max="17" width="9.28515625" style="75" bestFit="1" customWidth="1"/>
    <col min="18" max="19" width="8.5703125" style="75" bestFit="1" customWidth="1"/>
    <col min="20" max="20" width="9" style="75" bestFit="1" customWidth="1"/>
    <col min="21" max="21" width="8.42578125" style="75" bestFit="1" customWidth="1"/>
    <col min="22" max="22" width="8.5703125" style="75" bestFit="1" customWidth="1"/>
    <col min="23" max="23" width="6.5703125" style="75" bestFit="1" customWidth="1"/>
    <col min="24" max="24" width="15.5703125" style="75" bestFit="1" customWidth="1"/>
    <col min="25" max="28" width="9.42578125" style="75" bestFit="1" customWidth="1"/>
    <col min="29" max="16384" width="8.85546875" style="75"/>
  </cols>
  <sheetData>
    <row r="2" spans="2:17" x14ac:dyDescent="0.25">
      <c r="B2" s="115" t="str">
        <f>DCF!B2</f>
        <v>APPLE INC.</v>
      </c>
      <c r="C2" s="119"/>
      <c r="D2" s="119"/>
      <c r="E2" s="119" t="s">
        <v>178</v>
      </c>
      <c r="F2" s="119" t="s">
        <v>178</v>
      </c>
      <c r="G2" s="119" t="s">
        <v>178</v>
      </c>
      <c r="H2" s="119" t="s">
        <v>178</v>
      </c>
      <c r="I2" s="119" t="s">
        <v>178</v>
      </c>
      <c r="J2" s="119" t="s">
        <v>178</v>
      </c>
      <c r="K2" s="119"/>
      <c r="L2" s="119"/>
      <c r="M2" s="119"/>
      <c r="N2" s="119"/>
      <c r="O2" s="119"/>
    </row>
    <row r="3" spans="2:17" x14ac:dyDescent="0.25">
      <c r="B3" s="115" t="s">
        <v>208</v>
      </c>
      <c r="C3" s="119"/>
      <c r="D3" s="119"/>
      <c r="E3" s="119" t="s">
        <v>178</v>
      </c>
      <c r="F3" s="119" t="s">
        <v>178</v>
      </c>
      <c r="G3" s="119" t="s">
        <v>178</v>
      </c>
      <c r="H3" s="119" t="s">
        <v>178</v>
      </c>
      <c r="I3" s="119" t="s">
        <v>178</v>
      </c>
      <c r="J3" s="119" t="s">
        <v>178</v>
      </c>
      <c r="K3" s="119"/>
      <c r="L3" s="119"/>
      <c r="M3" s="119"/>
      <c r="N3" s="119"/>
      <c r="O3" s="119"/>
    </row>
    <row r="4" spans="2:17" x14ac:dyDescent="0.25">
      <c r="B4" s="119"/>
      <c r="C4" s="119"/>
      <c r="D4" s="119"/>
      <c r="E4" s="119" t="s">
        <v>178</v>
      </c>
      <c r="F4" s="119" t="s">
        <v>178</v>
      </c>
      <c r="G4" s="119" t="s">
        <v>178</v>
      </c>
      <c r="H4" s="119" t="s">
        <v>178</v>
      </c>
      <c r="I4" s="119" t="s">
        <v>178</v>
      </c>
      <c r="J4" s="119" t="s">
        <v>178</v>
      </c>
      <c r="K4" s="119"/>
      <c r="L4" s="119"/>
      <c r="M4" s="119"/>
      <c r="N4" s="119"/>
      <c r="O4" s="119"/>
    </row>
    <row r="5" spans="2:17" x14ac:dyDescent="0.25">
      <c r="B5" s="10"/>
      <c r="C5"/>
      <c r="D5"/>
      <c r="E5"/>
      <c r="F5"/>
      <c r="G5"/>
      <c r="H5"/>
      <c r="I5"/>
      <c r="J5"/>
      <c r="K5"/>
      <c r="L5"/>
      <c r="M5"/>
      <c r="N5"/>
      <c r="O5"/>
    </row>
    <row r="6" spans="2:17" x14ac:dyDescent="0.25">
      <c r="B6" s="76" t="s">
        <v>209</v>
      </c>
      <c r="C6" s="76"/>
      <c r="D6" s="76"/>
      <c r="E6" s="76" t="s">
        <v>178</v>
      </c>
      <c r="F6" s="76" t="s">
        <v>178</v>
      </c>
      <c r="G6" s="76" t="s">
        <v>178</v>
      </c>
      <c r="H6" s="76" t="s">
        <v>178</v>
      </c>
      <c r="I6" s="76" t="s">
        <v>178</v>
      </c>
      <c r="J6" s="76" t="s">
        <v>178</v>
      </c>
      <c r="K6" s="76"/>
      <c r="L6" s="76"/>
      <c r="M6" s="76"/>
      <c r="N6" s="76"/>
      <c r="O6" s="76"/>
    </row>
    <row r="7" spans="2:17" x14ac:dyDescent="0.25">
      <c r="B7" s="10"/>
      <c r="C7"/>
      <c r="D7"/>
      <c r="E7"/>
      <c r="F7"/>
      <c r="G7"/>
      <c r="H7"/>
      <c r="I7"/>
      <c r="J7"/>
      <c r="K7"/>
      <c r="L7"/>
      <c r="M7"/>
      <c r="N7"/>
      <c r="O7"/>
    </row>
    <row r="8" spans="2:17" x14ac:dyDescent="0.25">
      <c r="B8" s="77" t="s">
        <v>210</v>
      </c>
      <c r="C8" s="78"/>
      <c r="D8" s="79"/>
      <c r="E8" s="79" t="s">
        <v>178</v>
      </c>
      <c r="F8" s="80">
        <f ca="1">YEAR(DCF!I16)</f>
        <v>2024</v>
      </c>
      <c r="G8" s="81">
        <f t="shared" ref="G8:J8" ca="1" si="0">F8+1</f>
        <v>2025</v>
      </c>
      <c r="H8" s="81">
        <f t="shared" ca="1" si="0"/>
        <v>2026</v>
      </c>
      <c r="I8" s="81">
        <f t="shared" ca="1" si="0"/>
        <v>2027</v>
      </c>
      <c r="J8" s="81">
        <f t="shared" ca="1" si="0"/>
        <v>2028</v>
      </c>
      <c r="K8" s="81">
        <f t="shared" ref="K8" ca="1" si="1">J8+1</f>
        <v>2029</v>
      </c>
      <c r="L8" s="81">
        <f t="shared" ref="L8" ca="1" si="2">K8+1</f>
        <v>2030</v>
      </c>
      <c r="M8" s="81">
        <f t="shared" ref="M8" ca="1" si="3">L8+1</f>
        <v>2031</v>
      </c>
      <c r="N8" s="81">
        <f t="shared" ref="N8" ca="1" si="4">M8+1</f>
        <v>2032</v>
      </c>
      <c r="O8" s="81">
        <f t="shared" ref="O8" ca="1" si="5">N8+1</f>
        <v>2033</v>
      </c>
    </row>
    <row r="9" spans="2:17" x14ac:dyDescent="0.25">
      <c r="B9" s="65">
        <f>Hub!D13</f>
        <v>0</v>
      </c>
      <c r="C9" s="66"/>
      <c r="D9" s="67"/>
      <c r="E9" s="68" t="s">
        <v>178</v>
      </c>
      <c r="F9" s="67" t="s">
        <v>178</v>
      </c>
      <c r="G9" s="67" t="s">
        <v>178</v>
      </c>
      <c r="H9" s="67" t="s">
        <v>178</v>
      </c>
      <c r="I9" s="67" t="s">
        <v>178</v>
      </c>
      <c r="J9" s="67" t="s">
        <v>178</v>
      </c>
      <c r="K9" s="67"/>
      <c r="L9" s="67"/>
      <c r="M9" s="67"/>
      <c r="N9" s="67"/>
      <c r="O9" s="67"/>
      <c r="P9" s="68" t="s">
        <v>178</v>
      </c>
      <c r="Q9" s="68" t="s">
        <v>178</v>
      </c>
    </row>
    <row r="10" spans="2:17" x14ac:dyDescent="0.25">
      <c r="B10" s="82"/>
      <c r="C10" s="83"/>
      <c r="D10"/>
      <c r="E10"/>
      <c r="F10"/>
      <c r="G10"/>
      <c r="H10"/>
      <c r="I10"/>
      <c r="J10"/>
      <c r="K10"/>
      <c r="L10"/>
      <c r="M10"/>
      <c r="N10"/>
      <c r="O10"/>
      <c r="P10" s="69"/>
    </row>
    <row r="11" spans="2:17" x14ac:dyDescent="0.25">
      <c r="B11" s="84"/>
      <c r="C11" s="85" t="s">
        <v>211</v>
      </c>
      <c r="D11" s="86" t="str">
        <f>SC_Manager!G27</f>
        <v>Base</v>
      </c>
      <c r="E11" s="87" t="s">
        <v>178</v>
      </c>
      <c r="F11" s="281" t="e" cm="1">
        <f t="array" ref="F11">INDEX(F13:F15,MATCH($D11,$C13:$C15,0),0)</f>
        <v>#DIV/0!</v>
      </c>
      <c r="G11" s="281" t="e" cm="1">
        <f t="array" ref="G11">INDEX(G13:G15,MATCH($D11,$C13:$C15,0),0)</f>
        <v>#DIV/0!</v>
      </c>
      <c r="H11" s="281" t="e" cm="1">
        <f t="array" ref="H11">INDEX(H13:H15,MATCH($D11,$C13:$C15,0),0)</f>
        <v>#DIV/0!</v>
      </c>
      <c r="I11" s="281" t="e" cm="1">
        <f t="array" ref="I11">INDEX(I13:I15,MATCH($D11,$C13:$C15,0),0)</f>
        <v>#DIV/0!</v>
      </c>
      <c r="J11" s="281" t="e" cm="1">
        <f t="array" ref="J11">INDEX(J13:J15,MATCH($D11,$C13:$C15,0),0)</f>
        <v>#DIV/0!</v>
      </c>
      <c r="K11" s="281" t="e" cm="1">
        <f t="array" ref="K11">INDEX(K13:K15,MATCH($D11,$C13:$C15,0),0)</f>
        <v>#DIV/0!</v>
      </c>
      <c r="L11" s="281" t="e" cm="1">
        <f t="array" ref="L11">INDEX(L13:L15,MATCH($D11,$C13:$C15,0),0)</f>
        <v>#DIV/0!</v>
      </c>
      <c r="M11" s="281" t="e" cm="1">
        <f t="array" ref="M11">INDEX(M13:M15,MATCH($D11,$C13:$C15,0),0)</f>
        <v>#DIV/0!</v>
      </c>
      <c r="N11" s="281" t="e" cm="1">
        <f t="array" ref="N11">INDEX(N13:N15,MATCH($D11,$C13:$C15,0),0)</f>
        <v>#DIV/0!</v>
      </c>
      <c r="O11" s="281" t="e" cm="1">
        <f t="array" ref="O11">INDEX(O13:O15,MATCH($D11,$C13:$C15,0),0)</f>
        <v>#DIV/0!</v>
      </c>
      <c r="P11" s="88"/>
    </row>
    <row r="12" spans="2:17" x14ac:dyDescent="0.25">
      <c r="B12" s="10"/>
      <c r="C12"/>
      <c r="D12"/>
      <c r="E12"/>
      <c r="F12" s="260"/>
      <c r="G12" s="267"/>
      <c r="H12" s="267"/>
      <c r="I12" s="267"/>
      <c r="J12" s="267"/>
      <c r="K12" s="267"/>
      <c r="L12" s="267"/>
      <c r="M12" s="267"/>
      <c r="N12" s="267"/>
      <c r="O12" s="267"/>
      <c r="P12" s="69" t="s">
        <v>212</v>
      </c>
      <c r="Q12" s="91" t="s">
        <v>213</v>
      </c>
    </row>
    <row r="13" spans="2:17" x14ac:dyDescent="0.25">
      <c r="B13" s="10">
        <v>1</v>
      </c>
      <c r="C13" t="s">
        <v>191</v>
      </c>
      <c r="D13"/>
      <c r="E13"/>
      <c r="F13" s="282" t="e">
        <f>IF($Q13=0, Revenue_Build!$G$6*(1+$P13), Revenue_Build!$G$6*(1+$Q13))</f>
        <v>#DIV/0!</v>
      </c>
      <c r="G13" s="282" t="e">
        <f t="shared" ref="G13:O13" si="6">IF($Q13=0, F13*(1+$P13), F13*(1+$Q13))</f>
        <v>#DIV/0!</v>
      </c>
      <c r="H13" s="282" t="e">
        <f t="shared" si="6"/>
        <v>#DIV/0!</v>
      </c>
      <c r="I13" s="282" t="e">
        <f t="shared" si="6"/>
        <v>#DIV/0!</v>
      </c>
      <c r="J13" s="282" t="e">
        <f t="shared" si="6"/>
        <v>#DIV/0!</v>
      </c>
      <c r="K13" s="282" t="e">
        <f t="shared" si="6"/>
        <v>#DIV/0!</v>
      </c>
      <c r="L13" s="282" t="e">
        <f t="shared" si="6"/>
        <v>#DIV/0!</v>
      </c>
      <c r="M13" s="282" t="e">
        <f t="shared" si="6"/>
        <v>#DIV/0!</v>
      </c>
      <c r="N13" s="282" t="e">
        <f t="shared" si="6"/>
        <v>#DIV/0!</v>
      </c>
      <c r="O13" s="282" t="e">
        <f t="shared" si="6"/>
        <v>#DIV/0!</v>
      </c>
      <c r="P13" s="90" t="e">
        <f>(Revenue_Build!G6/Revenue_Build!C6)^(1/5)-1</f>
        <v>#DIV/0!</v>
      </c>
      <c r="Q13" s="133">
        <f>Hub!D36</f>
        <v>0</v>
      </c>
    </row>
    <row r="14" spans="2:17" x14ac:dyDescent="0.25">
      <c r="B14" s="10">
        <v>2</v>
      </c>
      <c r="C14" t="s">
        <v>192</v>
      </c>
      <c r="D14"/>
      <c r="E14"/>
      <c r="F14" s="282" t="e">
        <f>IF($Q14=0, Revenue_Build!$G$6*(1+$P14), Revenue_Build!$G$6*(1+$Q14))</f>
        <v>#DIV/0!</v>
      </c>
      <c r="G14" s="282" t="e">
        <f t="shared" ref="G14:O14" si="7">IF($Q14=0, F14*(1+$P14), F14*(1+$Q14))</f>
        <v>#DIV/0!</v>
      </c>
      <c r="H14" s="282" t="e">
        <f t="shared" si="7"/>
        <v>#DIV/0!</v>
      </c>
      <c r="I14" s="282" t="e">
        <f t="shared" si="7"/>
        <v>#DIV/0!</v>
      </c>
      <c r="J14" s="282" t="e">
        <f t="shared" si="7"/>
        <v>#DIV/0!</v>
      </c>
      <c r="K14" s="282" t="e">
        <f t="shared" si="7"/>
        <v>#DIV/0!</v>
      </c>
      <c r="L14" s="282" t="e">
        <f t="shared" si="7"/>
        <v>#DIV/0!</v>
      </c>
      <c r="M14" s="282" t="e">
        <f t="shared" si="7"/>
        <v>#DIV/0!</v>
      </c>
      <c r="N14" s="282" t="e">
        <f t="shared" si="7"/>
        <v>#DIV/0!</v>
      </c>
      <c r="O14" s="282" t="e">
        <f t="shared" si="7"/>
        <v>#DIV/0!</v>
      </c>
      <c r="P14" s="90" t="e">
        <f>IF(P13&gt;0, P13*SC_Manager!$J$22, IF(P13&lt;0, P13*SC_Manager!$J$23, 0))</f>
        <v>#DIV/0!</v>
      </c>
      <c r="Q14" s="90">
        <f>IF(Q13&gt;0, Q13*SC_Manager!$J$22, IF(Q13&lt;0, Q13*SC_Manager!$J$23, 0))</f>
        <v>0</v>
      </c>
    </row>
    <row r="15" spans="2:17" x14ac:dyDescent="0.25">
      <c r="B15" s="10">
        <v>3</v>
      </c>
      <c r="C15" t="s">
        <v>193</v>
      </c>
      <c r="D15"/>
      <c r="E15"/>
      <c r="F15" s="282" t="e">
        <f>IF($Q15=0, Revenue_Build!$G$6*(1+$P15), Revenue_Build!$G$6*(1+$Q15))</f>
        <v>#DIV/0!</v>
      </c>
      <c r="G15" s="282" t="e">
        <f t="shared" ref="G15:O15" si="8">IF($Q15=0, F15*(1+$P15), F15*(1+$Q15))</f>
        <v>#DIV/0!</v>
      </c>
      <c r="H15" s="282" t="e">
        <f t="shared" si="8"/>
        <v>#DIV/0!</v>
      </c>
      <c r="I15" s="282" t="e">
        <f t="shared" si="8"/>
        <v>#DIV/0!</v>
      </c>
      <c r="J15" s="282" t="e">
        <f t="shared" si="8"/>
        <v>#DIV/0!</v>
      </c>
      <c r="K15" s="282" t="e">
        <f t="shared" si="8"/>
        <v>#DIV/0!</v>
      </c>
      <c r="L15" s="282" t="e">
        <f t="shared" si="8"/>
        <v>#DIV/0!</v>
      </c>
      <c r="M15" s="282" t="e">
        <f t="shared" si="8"/>
        <v>#DIV/0!</v>
      </c>
      <c r="N15" s="282" t="e">
        <f t="shared" si="8"/>
        <v>#DIV/0!</v>
      </c>
      <c r="O15" s="282" t="e">
        <f t="shared" si="8"/>
        <v>#DIV/0!</v>
      </c>
      <c r="P15" s="90" t="e">
        <f>IF(P13&gt;0, P13*SC_Manager!$K$22, IF(P13&lt;0, P13*SC_Manager!$K$23, 0))</f>
        <v>#DIV/0!</v>
      </c>
      <c r="Q15" s="90">
        <f>IF(Q13&gt;0, Q13*SC_Manager!$K$22, IF(Q13&lt;0, Q13*SC_Manager!$K$23, 0))</f>
        <v>0</v>
      </c>
    </row>
    <row r="16" spans="2:17" x14ac:dyDescent="0.25">
      <c r="B16" s="10"/>
      <c r="C16"/>
      <c r="D16"/>
      <c r="E16"/>
      <c r="F16" s="260"/>
      <c r="G16" s="260"/>
      <c r="H16" s="260"/>
      <c r="I16" s="260"/>
      <c r="J16" s="260"/>
      <c r="K16" s="260"/>
      <c r="L16" s="260"/>
      <c r="M16" s="260"/>
      <c r="N16" s="260"/>
      <c r="O16" s="260"/>
      <c r="P16" s="69"/>
      <c r="Q16" s="91"/>
    </row>
    <row r="17" spans="2:19" x14ac:dyDescent="0.25">
      <c r="B17" s="65">
        <f>Hub!D14</f>
        <v>0</v>
      </c>
      <c r="C17" s="66"/>
      <c r="D17" s="67"/>
      <c r="E17" s="68" t="s">
        <v>178</v>
      </c>
      <c r="F17" s="283" t="s">
        <v>178</v>
      </c>
      <c r="G17" s="283" t="s">
        <v>178</v>
      </c>
      <c r="H17" s="283" t="s">
        <v>178</v>
      </c>
      <c r="I17" s="283" t="s">
        <v>178</v>
      </c>
      <c r="J17" s="283" t="s">
        <v>178</v>
      </c>
      <c r="K17" s="283"/>
      <c r="L17" s="283"/>
      <c r="M17" s="283"/>
      <c r="N17" s="283"/>
      <c r="O17" s="283"/>
      <c r="P17" s="68" t="s">
        <v>178</v>
      </c>
      <c r="Q17" s="68" t="s">
        <v>178</v>
      </c>
      <c r="R17" s="92"/>
      <c r="S17" s="92"/>
    </row>
    <row r="18" spans="2:19" x14ac:dyDescent="0.25">
      <c r="B18" s="82"/>
      <c r="C18" s="83"/>
      <c r="D18"/>
      <c r="E18"/>
      <c r="F18" s="260"/>
      <c r="G18" s="260"/>
      <c r="H18" s="260"/>
      <c r="I18" s="260"/>
      <c r="J18" s="260"/>
      <c r="K18" s="260"/>
      <c r="L18" s="260"/>
      <c r="M18" s="260"/>
      <c r="N18" s="260"/>
      <c r="O18" s="260"/>
      <c r="P18" s="69"/>
      <c r="Q18" s="91"/>
    </row>
    <row r="19" spans="2:19" x14ac:dyDescent="0.25">
      <c r="B19" s="84"/>
      <c r="C19" s="85" t="s">
        <v>211</v>
      </c>
      <c r="D19" s="86" t="str">
        <f>SC_Manager!G31</f>
        <v>Base</v>
      </c>
      <c r="E19" s="87" t="s">
        <v>178</v>
      </c>
      <c r="F19" s="281" t="e" cm="1">
        <f t="array" ref="F19">INDEX(F21:F23,MATCH($D19,$C21:$C23,0),0)</f>
        <v>#DIV/0!</v>
      </c>
      <c r="G19" s="281" t="e" cm="1">
        <f t="array" ref="G19">INDEX(G21:G23,MATCH($D19,$C21:$C23,0),0)</f>
        <v>#DIV/0!</v>
      </c>
      <c r="H19" s="281" t="e" cm="1">
        <f t="array" ref="H19">INDEX(H21:H23,MATCH($D19,$C21:$C23,0),0)</f>
        <v>#DIV/0!</v>
      </c>
      <c r="I19" s="281" t="e" cm="1">
        <f t="array" ref="I19">INDEX(I21:I23,MATCH($D19,$C21:$C23,0),0)</f>
        <v>#DIV/0!</v>
      </c>
      <c r="J19" s="281" t="e" cm="1">
        <f t="array" ref="J19">INDEX(J21:J23,MATCH($D19,$C21:$C23,0),0)</f>
        <v>#DIV/0!</v>
      </c>
      <c r="K19" s="281" t="e" cm="1">
        <f t="array" ref="K19">INDEX(K21:K23,MATCH($D19,$C21:$C23,0),0)</f>
        <v>#DIV/0!</v>
      </c>
      <c r="L19" s="281" t="e" cm="1">
        <f t="array" ref="L19">INDEX(L21:L23,MATCH($D19,$C21:$C23,0),0)</f>
        <v>#DIV/0!</v>
      </c>
      <c r="M19" s="281" t="e" cm="1">
        <f t="array" ref="M19">INDEX(M21:M23,MATCH($D19,$C21:$C23,0),0)</f>
        <v>#DIV/0!</v>
      </c>
      <c r="N19" s="281" t="e" cm="1">
        <f t="array" ref="N19">INDEX(N21:N23,MATCH($D19,$C21:$C23,0),0)</f>
        <v>#DIV/0!</v>
      </c>
      <c r="O19" s="281" t="e" cm="1">
        <f t="array" ref="O19">INDEX(O21:O23,MATCH($D19,$C21:$C23,0),0)</f>
        <v>#DIV/0!</v>
      </c>
      <c r="P19" s="88"/>
      <c r="Q19" s="91"/>
    </row>
    <row r="20" spans="2:19" x14ac:dyDescent="0.25">
      <c r="B20" s="10"/>
      <c r="C20"/>
      <c r="D20"/>
      <c r="E20"/>
      <c r="F20" s="260"/>
      <c r="G20" s="267"/>
      <c r="H20" s="267"/>
      <c r="I20" s="267"/>
      <c r="J20" s="267"/>
      <c r="K20" s="267"/>
      <c r="L20" s="267"/>
      <c r="M20" s="267"/>
      <c r="N20" s="267"/>
      <c r="O20" s="267"/>
      <c r="P20" s="69" t="s">
        <v>212</v>
      </c>
      <c r="Q20" s="91" t="s">
        <v>213</v>
      </c>
    </row>
    <row r="21" spans="2:19" x14ac:dyDescent="0.25">
      <c r="B21" s="10">
        <v>1</v>
      </c>
      <c r="C21" t="s">
        <v>191</v>
      </c>
      <c r="D21"/>
      <c r="E21"/>
      <c r="F21" s="282" t="e">
        <f>IF($Q21=0, Revenue_Build!$G$9*(1+$P21), Revenue_Build!$G$9*(1+$Q21))</f>
        <v>#DIV/0!</v>
      </c>
      <c r="G21" s="282" t="e">
        <f>IF($Q21=0, F21*(1+$P21), F21*(1+$Q21))</f>
        <v>#DIV/0!</v>
      </c>
      <c r="H21" s="282" t="e">
        <f t="shared" ref="H21:O21" si="9">IF($Q21=0, G21*(1+$P21), G21*(1+$Q21))</f>
        <v>#DIV/0!</v>
      </c>
      <c r="I21" s="282" t="e">
        <f t="shared" si="9"/>
        <v>#DIV/0!</v>
      </c>
      <c r="J21" s="282" t="e">
        <f t="shared" si="9"/>
        <v>#DIV/0!</v>
      </c>
      <c r="K21" s="282" t="e">
        <f t="shared" si="9"/>
        <v>#DIV/0!</v>
      </c>
      <c r="L21" s="282" t="e">
        <f t="shared" si="9"/>
        <v>#DIV/0!</v>
      </c>
      <c r="M21" s="282" t="e">
        <f t="shared" si="9"/>
        <v>#DIV/0!</v>
      </c>
      <c r="N21" s="282" t="e">
        <f t="shared" si="9"/>
        <v>#DIV/0!</v>
      </c>
      <c r="O21" s="282" t="e">
        <f t="shared" si="9"/>
        <v>#DIV/0!</v>
      </c>
      <c r="P21" s="90" t="e">
        <f>(Revenue_Build!G9/Revenue_Build!C9)^(1/5)-1</f>
        <v>#DIV/0!</v>
      </c>
      <c r="Q21" s="133">
        <f>Hub!D37</f>
        <v>0</v>
      </c>
    </row>
    <row r="22" spans="2:19" x14ac:dyDescent="0.25">
      <c r="B22" s="10">
        <v>2</v>
      </c>
      <c r="C22" t="s">
        <v>192</v>
      </c>
      <c r="D22"/>
      <c r="E22"/>
      <c r="F22" s="282" t="e">
        <f>IF($Q22=0, Revenue_Build!$G$9*(1+$P22), Revenue_Build!$G$9*(1+$Q22))</f>
        <v>#DIV/0!</v>
      </c>
      <c r="G22" s="282" t="e">
        <f t="shared" ref="G22:O22" si="10">IF($Q22=0, F22*(1+$P22), F22*(1+$Q22))</f>
        <v>#DIV/0!</v>
      </c>
      <c r="H22" s="282" t="e">
        <f t="shared" si="10"/>
        <v>#DIV/0!</v>
      </c>
      <c r="I22" s="282" t="e">
        <f t="shared" si="10"/>
        <v>#DIV/0!</v>
      </c>
      <c r="J22" s="282" t="e">
        <f t="shared" si="10"/>
        <v>#DIV/0!</v>
      </c>
      <c r="K22" s="282" t="e">
        <f t="shared" si="10"/>
        <v>#DIV/0!</v>
      </c>
      <c r="L22" s="282" t="e">
        <f t="shared" si="10"/>
        <v>#DIV/0!</v>
      </c>
      <c r="M22" s="282" t="e">
        <f t="shared" si="10"/>
        <v>#DIV/0!</v>
      </c>
      <c r="N22" s="282" t="e">
        <f t="shared" si="10"/>
        <v>#DIV/0!</v>
      </c>
      <c r="O22" s="282" t="e">
        <f t="shared" si="10"/>
        <v>#DIV/0!</v>
      </c>
      <c r="P22" s="90" t="e">
        <f>IF(P21&gt;0, P21*SC_Manager!$J$22, IF(P21&lt;0, P21*SC_Manager!$J$23, 0))</f>
        <v>#DIV/0!</v>
      </c>
      <c r="Q22" s="90">
        <f>IF(Q21&gt;0, Q21*SC_Manager!$J$22, IF(Q21&lt;0, Q21*SC_Manager!$J$23, 0))</f>
        <v>0</v>
      </c>
    </row>
    <row r="23" spans="2:19" x14ac:dyDescent="0.25">
      <c r="B23" s="10">
        <v>3</v>
      </c>
      <c r="C23" t="s">
        <v>193</v>
      </c>
      <c r="D23"/>
      <c r="E23"/>
      <c r="F23" s="282" t="e">
        <f>IF($Q23=0, Revenue_Build!$G$9*(1+$P23), Revenue_Build!$G$9*(1+$Q23))</f>
        <v>#DIV/0!</v>
      </c>
      <c r="G23" s="282" t="e">
        <f t="shared" ref="G23:O23" si="11">IF($Q23=0, F23*(1+$P23), F23*(1+$Q23))</f>
        <v>#DIV/0!</v>
      </c>
      <c r="H23" s="282" t="e">
        <f t="shared" si="11"/>
        <v>#DIV/0!</v>
      </c>
      <c r="I23" s="282" t="e">
        <f t="shared" si="11"/>
        <v>#DIV/0!</v>
      </c>
      <c r="J23" s="282" t="e">
        <f t="shared" si="11"/>
        <v>#DIV/0!</v>
      </c>
      <c r="K23" s="282" t="e">
        <f>IF($Q23=0, J23*(1+$P23), J23*(1+$Q23))</f>
        <v>#DIV/0!</v>
      </c>
      <c r="L23" s="282" t="e">
        <f t="shared" si="11"/>
        <v>#DIV/0!</v>
      </c>
      <c r="M23" s="282" t="e">
        <f t="shared" si="11"/>
        <v>#DIV/0!</v>
      </c>
      <c r="N23" s="282" t="e">
        <f t="shared" si="11"/>
        <v>#DIV/0!</v>
      </c>
      <c r="O23" s="282" t="e">
        <f t="shared" si="11"/>
        <v>#DIV/0!</v>
      </c>
      <c r="P23" s="90" t="e">
        <f>IF(P21&gt;0, P21*SC_Manager!$K$22, IF(P21&lt;0, P21*SC_Manager!$K$23, 0))</f>
        <v>#DIV/0!</v>
      </c>
      <c r="Q23" s="90">
        <f>IF(Q21&gt;0, Q21*SC_Manager!$K$22, IF(Q21&lt;0, Q21*SC_Manager!$K$23, 0))</f>
        <v>0</v>
      </c>
    </row>
    <row r="24" spans="2:19" x14ac:dyDescent="0.25">
      <c r="F24" s="264"/>
      <c r="G24" s="264"/>
      <c r="H24" s="264"/>
      <c r="I24" s="264"/>
      <c r="J24" s="264"/>
      <c r="K24" s="264"/>
      <c r="L24" s="264"/>
      <c r="M24" s="264"/>
      <c r="N24" s="264"/>
      <c r="O24" s="264"/>
      <c r="Q24" s="91"/>
    </row>
    <row r="25" spans="2:19" x14ac:dyDescent="0.25">
      <c r="B25" s="65">
        <f>Hub!D15</f>
        <v>0</v>
      </c>
      <c r="C25" s="66"/>
      <c r="D25" s="67"/>
      <c r="E25" s="68" t="s">
        <v>178</v>
      </c>
      <c r="F25" s="283" t="s">
        <v>178</v>
      </c>
      <c r="G25" s="283" t="s">
        <v>178</v>
      </c>
      <c r="H25" s="283" t="s">
        <v>178</v>
      </c>
      <c r="I25" s="283" t="s">
        <v>178</v>
      </c>
      <c r="J25" s="283" t="s">
        <v>178</v>
      </c>
      <c r="K25" s="283"/>
      <c r="L25" s="283"/>
      <c r="M25" s="283"/>
      <c r="N25" s="283"/>
      <c r="O25" s="283"/>
      <c r="P25" s="68" t="s">
        <v>178</v>
      </c>
      <c r="Q25" s="68" t="s">
        <v>178</v>
      </c>
    </row>
    <row r="26" spans="2:19" x14ac:dyDescent="0.25">
      <c r="B26" s="82"/>
      <c r="C26" s="83"/>
      <c r="D26"/>
      <c r="E26"/>
      <c r="F26" s="260"/>
      <c r="G26" s="260"/>
      <c r="H26" s="260"/>
      <c r="I26" s="260"/>
      <c r="J26" s="260"/>
      <c r="K26" s="260"/>
      <c r="L26" s="260"/>
      <c r="M26" s="260"/>
      <c r="N26" s="260"/>
      <c r="O26" s="260"/>
      <c r="P26" s="69"/>
      <c r="Q26" s="91"/>
    </row>
    <row r="27" spans="2:19" x14ac:dyDescent="0.25">
      <c r="B27" s="84"/>
      <c r="C27" s="85" t="s">
        <v>211</v>
      </c>
      <c r="D27" s="86" t="str">
        <f>SC_Manager!G35</f>
        <v>Base</v>
      </c>
      <c r="E27" s="87" t="s">
        <v>178</v>
      </c>
      <c r="F27" s="281" t="e" cm="1">
        <f t="array" ref="F27">INDEX(F29:F31,MATCH($D27,$C29:$C31,0),0)</f>
        <v>#DIV/0!</v>
      </c>
      <c r="G27" s="281" t="e" cm="1">
        <f t="array" ref="G27">INDEX(G29:G31,MATCH($D27,$C29:$C31,0),0)</f>
        <v>#DIV/0!</v>
      </c>
      <c r="H27" s="281" t="e" cm="1">
        <f t="array" ref="H27">INDEX(H29:H31,MATCH($D27,$C29:$C31,0),0)</f>
        <v>#DIV/0!</v>
      </c>
      <c r="I27" s="281" t="e" cm="1">
        <f t="array" ref="I27">INDEX(I29:I31,MATCH($D27,$C29:$C31,0),0)</f>
        <v>#DIV/0!</v>
      </c>
      <c r="J27" s="281" t="e" cm="1">
        <f t="array" ref="J27">INDEX(J29:J31,MATCH($D27,$C29:$C31,0),0)</f>
        <v>#DIV/0!</v>
      </c>
      <c r="K27" s="281" t="e" cm="1">
        <f t="array" ref="K27">INDEX(K29:K31,MATCH($D27,$C29:$C31,0),0)</f>
        <v>#DIV/0!</v>
      </c>
      <c r="L27" s="281" t="e" cm="1">
        <f t="array" ref="L27">INDEX(L29:L31,MATCH($D27,$C29:$C31,0),0)</f>
        <v>#DIV/0!</v>
      </c>
      <c r="M27" s="281" t="e" cm="1">
        <f t="array" ref="M27">INDEX(M29:M31,MATCH($D27,$C29:$C31,0),0)</f>
        <v>#DIV/0!</v>
      </c>
      <c r="N27" s="281" t="e" cm="1">
        <f t="array" ref="N27">INDEX(N29:N31,MATCH($D27,$C29:$C31,0),0)</f>
        <v>#DIV/0!</v>
      </c>
      <c r="O27" s="281" t="e" cm="1">
        <f t="array" ref="O27">INDEX(O29:O31,MATCH($D27,$C29:$C31,0),0)</f>
        <v>#DIV/0!</v>
      </c>
      <c r="P27" s="88"/>
      <c r="Q27" s="91"/>
    </row>
    <row r="28" spans="2:19" x14ac:dyDescent="0.25">
      <c r="B28" s="10"/>
      <c r="C28"/>
      <c r="D28"/>
      <c r="E28"/>
      <c r="F28" s="260"/>
      <c r="G28" s="267"/>
      <c r="H28" s="267"/>
      <c r="I28" s="267"/>
      <c r="J28" s="267"/>
      <c r="K28" s="267"/>
      <c r="L28" s="267"/>
      <c r="M28" s="267"/>
      <c r="N28" s="267"/>
      <c r="O28" s="267"/>
      <c r="P28" s="69" t="s">
        <v>212</v>
      </c>
      <c r="Q28" s="91" t="s">
        <v>213</v>
      </c>
    </row>
    <row r="29" spans="2:19" x14ac:dyDescent="0.25">
      <c r="B29" s="10">
        <v>1</v>
      </c>
      <c r="C29" t="s">
        <v>191</v>
      </c>
      <c r="D29"/>
      <c r="E29"/>
      <c r="F29" s="282" t="e">
        <f>IF($Q29=0, Revenue_Build!$G$12*(1+$P29), Revenue_Build!$G$12*(1+$Q29))</f>
        <v>#DIV/0!</v>
      </c>
      <c r="G29" s="282" t="e">
        <f>IF($Q29=0, F29*(1+$P29), F29*(1+$Q29))</f>
        <v>#DIV/0!</v>
      </c>
      <c r="H29" s="282" t="e">
        <f t="shared" ref="H29:O29" si="12">IF($Q29=0, G29*(1+$P29), G29*(1+$Q29))</f>
        <v>#DIV/0!</v>
      </c>
      <c r="I29" s="282" t="e">
        <f t="shared" si="12"/>
        <v>#DIV/0!</v>
      </c>
      <c r="J29" s="282" t="e">
        <f t="shared" si="12"/>
        <v>#DIV/0!</v>
      </c>
      <c r="K29" s="282" t="e">
        <f t="shared" si="12"/>
        <v>#DIV/0!</v>
      </c>
      <c r="L29" s="282" t="e">
        <f t="shared" si="12"/>
        <v>#DIV/0!</v>
      </c>
      <c r="M29" s="282" t="e">
        <f t="shared" si="12"/>
        <v>#DIV/0!</v>
      </c>
      <c r="N29" s="282" t="e">
        <f t="shared" si="12"/>
        <v>#DIV/0!</v>
      </c>
      <c r="O29" s="282" t="e">
        <f t="shared" si="12"/>
        <v>#DIV/0!</v>
      </c>
      <c r="P29" s="90" t="e">
        <f>(Revenue_Build!G12/Revenue_Build!C12)^(1/5)-1</f>
        <v>#DIV/0!</v>
      </c>
      <c r="Q29" s="133">
        <f>Hub!D38</f>
        <v>0</v>
      </c>
    </row>
    <row r="30" spans="2:19" x14ac:dyDescent="0.25">
      <c r="B30" s="10">
        <v>2</v>
      </c>
      <c r="C30" t="s">
        <v>192</v>
      </c>
      <c r="D30"/>
      <c r="E30"/>
      <c r="F30" s="282" t="e">
        <f>IF($Q30=0, Revenue_Build!$G$12*(1+$P30), Revenue_Build!$G$12*(1+$Q30))</f>
        <v>#DIV/0!</v>
      </c>
      <c r="G30" s="282" t="e">
        <f t="shared" ref="G30:O30" si="13">IF($Q30=0, F30*(1+$P30), F30*(1+$Q30))</f>
        <v>#DIV/0!</v>
      </c>
      <c r="H30" s="282" t="e">
        <f t="shared" si="13"/>
        <v>#DIV/0!</v>
      </c>
      <c r="I30" s="282" t="e">
        <f t="shared" si="13"/>
        <v>#DIV/0!</v>
      </c>
      <c r="J30" s="282" t="e">
        <f t="shared" si="13"/>
        <v>#DIV/0!</v>
      </c>
      <c r="K30" s="282" t="e">
        <f t="shared" si="13"/>
        <v>#DIV/0!</v>
      </c>
      <c r="L30" s="282" t="e">
        <f t="shared" si="13"/>
        <v>#DIV/0!</v>
      </c>
      <c r="M30" s="282" t="e">
        <f t="shared" si="13"/>
        <v>#DIV/0!</v>
      </c>
      <c r="N30" s="282" t="e">
        <f t="shared" si="13"/>
        <v>#DIV/0!</v>
      </c>
      <c r="O30" s="282" t="e">
        <f t="shared" si="13"/>
        <v>#DIV/0!</v>
      </c>
      <c r="P30" s="90" t="e">
        <f>IF(P29&gt;0, P29*SC_Manager!$J$22, IF(P29&lt;0, P29*SC_Manager!$J$23, 0))</f>
        <v>#DIV/0!</v>
      </c>
      <c r="Q30" s="90">
        <f>IF(Q29&gt;0, Q29*SC_Manager!$J$22, IF(Q29&lt;0, Q29*SC_Manager!$J$23, 0))</f>
        <v>0</v>
      </c>
    </row>
    <row r="31" spans="2:19" x14ac:dyDescent="0.25">
      <c r="B31" s="10">
        <v>3</v>
      </c>
      <c r="C31" t="s">
        <v>193</v>
      </c>
      <c r="D31"/>
      <c r="E31"/>
      <c r="F31" s="282" t="e">
        <f>IF($Q31=0, Revenue_Build!$G$12*(1+$P31), Revenue_Build!$G$12*(1+$Q31))</f>
        <v>#DIV/0!</v>
      </c>
      <c r="G31" s="282" t="e">
        <f t="shared" ref="G31:O31" si="14">IF($Q31=0, F31*(1+$P31), F31*(1+$Q31))</f>
        <v>#DIV/0!</v>
      </c>
      <c r="H31" s="282" t="e">
        <f t="shared" si="14"/>
        <v>#DIV/0!</v>
      </c>
      <c r="I31" s="282" t="e">
        <f t="shared" si="14"/>
        <v>#DIV/0!</v>
      </c>
      <c r="J31" s="282" t="e">
        <f t="shared" si="14"/>
        <v>#DIV/0!</v>
      </c>
      <c r="K31" s="282" t="e">
        <f t="shared" si="14"/>
        <v>#DIV/0!</v>
      </c>
      <c r="L31" s="282" t="e">
        <f t="shared" si="14"/>
        <v>#DIV/0!</v>
      </c>
      <c r="M31" s="282" t="e">
        <f t="shared" si="14"/>
        <v>#DIV/0!</v>
      </c>
      <c r="N31" s="282" t="e">
        <f t="shared" si="14"/>
        <v>#DIV/0!</v>
      </c>
      <c r="O31" s="282" t="e">
        <f t="shared" si="14"/>
        <v>#DIV/0!</v>
      </c>
      <c r="P31" s="90" t="e">
        <f>IF(P29&gt;0, P29*SC_Manager!$K$22, IF(P29&lt;0, P29*SC_Manager!$K$23, 0))</f>
        <v>#DIV/0!</v>
      </c>
      <c r="Q31" s="90">
        <f>IF(Q29&gt;0, Q29*SC_Manager!$K$22, IF(Q29&lt;0, Q29*SC_Manager!$K$23, 0))</f>
        <v>0</v>
      </c>
    </row>
    <row r="32" spans="2:19" x14ac:dyDescent="0.25">
      <c r="F32" s="264"/>
      <c r="G32" s="264"/>
      <c r="H32" s="264"/>
      <c r="I32" s="264"/>
      <c r="J32" s="264"/>
      <c r="K32" s="264"/>
      <c r="L32" s="264"/>
      <c r="M32" s="264"/>
      <c r="N32" s="264"/>
      <c r="O32" s="264"/>
      <c r="Q32" s="91"/>
    </row>
    <row r="33" spans="2:17" x14ac:dyDescent="0.25">
      <c r="B33" s="65">
        <f>Hub!D16</f>
        <v>0</v>
      </c>
      <c r="C33" s="66"/>
      <c r="D33" s="67"/>
      <c r="E33" s="68" t="s">
        <v>178</v>
      </c>
      <c r="F33" s="283" t="s">
        <v>178</v>
      </c>
      <c r="G33" s="283" t="s">
        <v>178</v>
      </c>
      <c r="H33" s="283" t="s">
        <v>178</v>
      </c>
      <c r="I33" s="283" t="s">
        <v>178</v>
      </c>
      <c r="J33" s="283" t="s">
        <v>178</v>
      </c>
      <c r="K33" s="283"/>
      <c r="L33" s="283"/>
      <c r="M33" s="283"/>
      <c r="N33" s="283"/>
      <c r="O33" s="283"/>
      <c r="P33" s="68" t="s">
        <v>178</v>
      </c>
      <c r="Q33" s="68" t="s">
        <v>178</v>
      </c>
    </row>
    <row r="34" spans="2:17" x14ac:dyDescent="0.25">
      <c r="B34" s="82"/>
      <c r="C34" s="83"/>
      <c r="D34"/>
      <c r="E34"/>
      <c r="F34" s="260"/>
      <c r="G34" s="260"/>
      <c r="H34" s="260"/>
      <c r="I34" s="260"/>
      <c r="J34" s="260"/>
      <c r="K34" s="260"/>
      <c r="L34" s="260"/>
      <c r="M34" s="260"/>
      <c r="N34" s="260"/>
      <c r="O34" s="260"/>
      <c r="P34" s="69"/>
      <c r="Q34" s="91"/>
    </row>
    <row r="35" spans="2:17" x14ac:dyDescent="0.25">
      <c r="B35" s="84"/>
      <c r="C35" s="85" t="s">
        <v>211</v>
      </c>
      <c r="D35" s="86" t="str">
        <f>SC_Manager!G39</f>
        <v>Base</v>
      </c>
      <c r="E35" s="87" t="s">
        <v>178</v>
      </c>
      <c r="F35" s="281" t="e" cm="1">
        <f t="array" ref="F35">INDEX(F37:F39,MATCH($D35,$C37:$C39,0),0)</f>
        <v>#DIV/0!</v>
      </c>
      <c r="G35" s="281" t="e" cm="1">
        <f t="array" ref="G35">INDEX(G37:G39,MATCH($D35,$C37:$C39,0),0)</f>
        <v>#DIV/0!</v>
      </c>
      <c r="H35" s="281" t="e" cm="1">
        <f t="array" ref="H35">INDEX(H37:H39,MATCH($D35,$C37:$C39,0),0)</f>
        <v>#DIV/0!</v>
      </c>
      <c r="I35" s="281" t="e" cm="1">
        <f t="array" ref="I35">INDEX(I37:I39,MATCH($D35,$C37:$C39,0),0)</f>
        <v>#DIV/0!</v>
      </c>
      <c r="J35" s="281" t="e" cm="1">
        <f t="array" ref="J35">INDEX(J37:J39,MATCH($D35,$C37:$C39,0),0)</f>
        <v>#DIV/0!</v>
      </c>
      <c r="K35" s="281" t="e" cm="1">
        <f t="array" ref="K35">INDEX(K37:K39,MATCH($D35,$C37:$C39,0),0)</f>
        <v>#DIV/0!</v>
      </c>
      <c r="L35" s="281" t="e" cm="1">
        <f t="array" ref="L35">INDEX(L37:L39,MATCH($D35,$C37:$C39,0),0)</f>
        <v>#DIV/0!</v>
      </c>
      <c r="M35" s="281" t="e" cm="1">
        <f t="array" ref="M35">INDEX(M37:M39,MATCH($D35,$C37:$C39,0),0)</f>
        <v>#DIV/0!</v>
      </c>
      <c r="N35" s="281" t="e" cm="1">
        <f t="array" ref="N35">INDEX(N37:N39,MATCH($D35,$C37:$C39,0),0)</f>
        <v>#DIV/0!</v>
      </c>
      <c r="O35" s="281" t="e" cm="1">
        <f t="array" ref="O35">INDEX(O37:O39,MATCH($D35,$C37:$C39,0),0)</f>
        <v>#DIV/0!</v>
      </c>
      <c r="P35" s="88"/>
      <c r="Q35" s="91"/>
    </row>
    <row r="36" spans="2:17" x14ac:dyDescent="0.25">
      <c r="B36" s="10"/>
      <c r="C36"/>
      <c r="D36"/>
      <c r="E36"/>
      <c r="F36" s="260"/>
      <c r="G36" s="267"/>
      <c r="H36" s="267"/>
      <c r="I36" s="267"/>
      <c r="J36" s="267"/>
      <c r="K36" s="267"/>
      <c r="L36" s="267"/>
      <c r="M36" s="267"/>
      <c r="N36" s="267"/>
      <c r="O36" s="267"/>
      <c r="P36" s="69" t="s">
        <v>212</v>
      </c>
      <c r="Q36" s="91" t="s">
        <v>213</v>
      </c>
    </row>
    <row r="37" spans="2:17" x14ac:dyDescent="0.25">
      <c r="B37" s="10">
        <v>1</v>
      </c>
      <c r="C37" t="s">
        <v>191</v>
      </c>
      <c r="D37"/>
      <c r="E37"/>
      <c r="F37" s="282" t="e">
        <f>IF($Q37=0, Revenue_Build!$G$15*(1+$P37), Revenue_Build!$G$15*(1+$Q37))</f>
        <v>#DIV/0!</v>
      </c>
      <c r="G37" s="282" t="e">
        <f>IF($Q37=0, F37*(1+$P37), F37*(1+$Q37))</f>
        <v>#DIV/0!</v>
      </c>
      <c r="H37" s="282" t="e">
        <f t="shared" ref="H37:O37" si="15">IF($Q37=0, G37*(1+$P37), G37*(1+$Q37))</f>
        <v>#DIV/0!</v>
      </c>
      <c r="I37" s="282" t="e">
        <f t="shared" si="15"/>
        <v>#DIV/0!</v>
      </c>
      <c r="J37" s="282" t="e">
        <f t="shared" si="15"/>
        <v>#DIV/0!</v>
      </c>
      <c r="K37" s="282" t="e">
        <f t="shared" si="15"/>
        <v>#DIV/0!</v>
      </c>
      <c r="L37" s="282" t="e">
        <f t="shared" si="15"/>
        <v>#DIV/0!</v>
      </c>
      <c r="M37" s="282" t="e">
        <f t="shared" si="15"/>
        <v>#DIV/0!</v>
      </c>
      <c r="N37" s="282" t="e">
        <f t="shared" si="15"/>
        <v>#DIV/0!</v>
      </c>
      <c r="O37" s="282" t="e">
        <f t="shared" si="15"/>
        <v>#DIV/0!</v>
      </c>
      <c r="P37" s="90" t="e">
        <f>(Revenue_Build!G15/Revenue_Build!C15)^(1/5)-1</f>
        <v>#DIV/0!</v>
      </c>
      <c r="Q37" s="133">
        <f>Hub!D39</f>
        <v>0</v>
      </c>
    </row>
    <row r="38" spans="2:17" x14ac:dyDescent="0.25">
      <c r="B38" s="10">
        <v>2</v>
      </c>
      <c r="C38" t="s">
        <v>192</v>
      </c>
      <c r="D38"/>
      <c r="E38"/>
      <c r="F38" s="282" t="e">
        <f>IF($Q38=0, Revenue_Build!$G$15*(1+$P38), Revenue_Build!$G$15*(1+$Q38))</f>
        <v>#DIV/0!</v>
      </c>
      <c r="G38" s="282" t="e">
        <f t="shared" ref="G38:O38" si="16">IF($Q38=0, F38*(1+$P38), F38*(1+$Q38))</f>
        <v>#DIV/0!</v>
      </c>
      <c r="H38" s="282" t="e">
        <f t="shared" si="16"/>
        <v>#DIV/0!</v>
      </c>
      <c r="I38" s="282" t="e">
        <f t="shared" si="16"/>
        <v>#DIV/0!</v>
      </c>
      <c r="J38" s="282" t="e">
        <f t="shared" si="16"/>
        <v>#DIV/0!</v>
      </c>
      <c r="K38" s="282" t="e">
        <f t="shared" si="16"/>
        <v>#DIV/0!</v>
      </c>
      <c r="L38" s="282" t="e">
        <f>IF($Q38=0, K38*(1+$P38), K38*(1+$Q38))</f>
        <v>#DIV/0!</v>
      </c>
      <c r="M38" s="282" t="e">
        <f t="shared" si="16"/>
        <v>#DIV/0!</v>
      </c>
      <c r="N38" s="282" t="e">
        <f t="shared" si="16"/>
        <v>#DIV/0!</v>
      </c>
      <c r="O38" s="282" t="e">
        <f t="shared" si="16"/>
        <v>#DIV/0!</v>
      </c>
      <c r="P38" s="90" t="e">
        <f>IF(P37&gt;0, P37*SC_Manager!$J$22, IF(P37&lt;0, P37*SC_Manager!$J$23, 0))</f>
        <v>#DIV/0!</v>
      </c>
      <c r="Q38" s="90">
        <f>IF(Q37&gt;0, Q37*SC_Manager!$J$22, IF(Q37&lt;0, Q37*SC_Manager!$J$23, 0))</f>
        <v>0</v>
      </c>
    </row>
    <row r="39" spans="2:17" x14ac:dyDescent="0.25">
      <c r="B39" s="10">
        <v>3</v>
      </c>
      <c r="C39" t="s">
        <v>193</v>
      </c>
      <c r="D39"/>
      <c r="E39"/>
      <c r="F39" s="282" t="e">
        <f>IF($Q39=0, Revenue_Build!$G$15*(1+$P39), Revenue_Build!$G$15*(1+$Q39))</f>
        <v>#DIV/0!</v>
      </c>
      <c r="G39" s="282" t="e">
        <f t="shared" ref="G39:O39" si="17">IF($Q39=0, F39*(1+$P39), F39*(1+$Q39))</f>
        <v>#DIV/0!</v>
      </c>
      <c r="H39" s="282" t="e">
        <f t="shared" si="17"/>
        <v>#DIV/0!</v>
      </c>
      <c r="I39" s="282" t="e">
        <f t="shared" si="17"/>
        <v>#DIV/0!</v>
      </c>
      <c r="J39" s="282" t="e">
        <f t="shared" si="17"/>
        <v>#DIV/0!</v>
      </c>
      <c r="K39" s="282" t="e">
        <f t="shared" si="17"/>
        <v>#DIV/0!</v>
      </c>
      <c r="L39" s="282" t="e">
        <f t="shared" si="17"/>
        <v>#DIV/0!</v>
      </c>
      <c r="M39" s="282" t="e">
        <f t="shared" si="17"/>
        <v>#DIV/0!</v>
      </c>
      <c r="N39" s="282" t="e">
        <f t="shared" si="17"/>
        <v>#DIV/0!</v>
      </c>
      <c r="O39" s="282" t="e">
        <f t="shared" si="17"/>
        <v>#DIV/0!</v>
      </c>
      <c r="P39" s="90" t="e">
        <f>IF(P37&gt;0, P37*SC_Manager!$K$22, IF(P37&lt;0, P37*SC_Manager!$K$23, 0))</f>
        <v>#DIV/0!</v>
      </c>
      <c r="Q39" s="90">
        <f>IF(Q37&gt;0, Q37*SC_Manager!$K$22, IF(Q37&lt;0, Q37*SC_Manager!$K$23, 0))</f>
        <v>0</v>
      </c>
    </row>
    <row r="40" spans="2:17" x14ac:dyDescent="0.25">
      <c r="F40" s="264"/>
      <c r="G40" s="264"/>
      <c r="H40" s="264"/>
      <c r="I40" s="264"/>
      <c r="J40" s="264"/>
      <c r="K40" s="264"/>
      <c r="L40" s="264"/>
      <c r="M40" s="264"/>
      <c r="N40" s="264"/>
      <c r="O40" s="264"/>
      <c r="Q40" s="91"/>
    </row>
    <row r="41" spans="2:17" x14ac:dyDescent="0.25">
      <c r="B41" s="65">
        <f>Hub!D17</f>
        <v>0</v>
      </c>
      <c r="C41" s="66"/>
      <c r="D41" s="67"/>
      <c r="E41" s="68" t="s">
        <v>178</v>
      </c>
      <c r="F41" s="283" t="s">
        <v>178</v>
      </c>
      <c r="G41" s="283" t="s">
        <v>178</v>
      </c>
      <c r="H41" s="283" t="s">
        <v>178</v>
      </c>
      <c r="I41" s="283" t="s">
        <v>178</v>
      </c>
      <c r="J41" s="283" t="s">
        <v>178</v>
      </c>
      <c r="K41" s="283"/>
      <c r="L41" s="283"/>
      <c r="M41" s="283"/>
      <c r="N41" s="283"/>
      <c r="O41" s="283"/>
      <c r="P41" s="68" t="s">
        <v>178</v>
      </c>
      <c r="Q41" s="68" t="s">
        <v>178</v>
      </c>
    </row>
    <row r="42" spans="2:17" x14ac:dyDescent="0.25">
      <c r="B42" s="82"/>
      <c r="C42" s="83"/>
      <c r="D42"/>
      <c r="E42"/>
      <c r="F42" s="260"/>
      <c r="G42" s="260"/>
      <c r="H42" s="260"/>
      <c r="I42" s="260"/>
      <c r="J42" s="260"/>
      <c r="K42" s="260"/>
      <c r="L42" s="260"/>
      <c r="M42" s="260"/>
      <c r="N42" s="260"/>
      <c r="O42" s="260"/>
      <c r="P42" s="69"/>
      <c r="Q42" s="91"/>
    </row>
    <row r="43" spans="2:17" x14ac:dyDescent="0.25">
      <c r="B43" s="84"/>
      <c r="C43" s="85" t="s">
        <v>211</v>
      </c>
      <c r="D43" s="86" t="str">
        <f>SC_Manager!G43</f>
        <v>Base</v>
      </c>
      <c r="E43" s="87" t="s">
        <v>178</v>
      </c>
      <c r="F43" s="281" t="e" cm="1">
        <f t="array" ref="F43">INDEX(F45:F47,MATCH($D43,$C45:$C47,0),0)</f>
        <v>#DIV/0!</v>
      </c>
      <c r="G43" s="281" t="e" cm="1">
        <f t="array" ref="G43">INDEX(G45:G47,MATCH($D43,$C45:$C47,0),0)</f>
        <v>#DIV/0!</v>
      </c>
      <c r="H43" s="281" t="e" cm="1">
        <f t="array" ref="H43">INDEX(H45:H47,MATCH($D43,$C45:$C47,0),0)</f>
        <v>#DIV/0!</v>
      </c>
      <c r="I43" s="281" t="e" cm="1">
        <f t="array" ref="I43">INDEX(I45:I47,MATCH($D43,$C45:$C47,0),0)</f>
        <v>#DIV/0!</v>
      </c>
      <c r="J43" s="281" t="e" cm="1">
        <f t="array" ref="J43">INDEX(J45:J47,MATCH($D43,$C45:$C47,0),0)</f>
        <v>#DIV/0!</v>
      </c>
      <c r="K43" s="281" t="e" cm="1">
        <f t="array" ref="K43">INDEX(K45:K47,MATCH($D43,$C45:$C47,0),0)</f>
        <v>#DIV/0!</v>
      </c>
      <c r="L43" s="281" t="e" cm="1">
        <f t="array" ref="L43">INDEX(L45:L47,MATCH($D43,$C45:$C47,0),0)</f>
        <v>#DIV/0!</v>
      </c>
      <c r="M43" s="281" t="e" cm="1">
        <f t="array" ref="M43">INDEX(M45:M47,MATCH($D43,$C45:$C47,0),0)</f>
        <v>#DIV/0!</v>
      </c>
      <c r="N43" s="281" t="e" cm="1">
        <f t="array" ref="N43">INDEX(N45:N47,MATCH($D43,$C45:$C47,0),0)</f>
        <v>#DIV/0!</v>
      </c>
      <c r="O43" s="281" t="e" cm="1">
        <f t="array" ref="O43">INDEX(O45:O47,MATCH($D43,$C45:$C47,0),0)</f>
        <v>#DIV/0!</v>
      </c>
      <c r="P43" s="88"/>
      <c r="Q43" s="91"/>
    </row>
    <row r="44" spans="2:17" x14ac:dyDescent="0.25">
      <c r="B44" s="10"/>
      <c r="C44"/>
      <c r="D44"/>
      <c r="E44"/>
      <c r="F44" s="260"/>
      <c r="G44" s="267"/>
      <c r="H44" s="267"/>
      <c r="I44" s="267"/>
      <c r="J44" s="267"/>
      <c r="K44" s="267"/>
      <c r="L44" s="267"/>
      <c r="M44" s="267"/>
      <c r="N44" s="267"/>
      <c r="O44" s="267"/>
      <c r="P44" s="69" t="s">
        <v>212</v>
      </c>
      <c r="Q44" s="91" t="s">
        <v>213</v>
      </c>
    </row>
    <row r="45" spans="2:17" x14ac:dyDescent="0.25">
      <c r="B45" s="10">
        <v>1</v>
      </c>
      <c r="C45" t="s">
        <v>191</v>
      </c>
      <c r="D45"/>
      <c r="E45"/>
      <c r="F45" s="282" t="e">
        <f>IF($Q45=0, Revenue_Build!$G$18*(1+$P45), Revenue_Build!$G$18*(1+$Q45))</f>
        <v>#DIV/0!</v>
      </c>
      <c r="G45" s="282" t="e">
        <f>IF($Q45=0, F45*(1+$P45), F45*(1+$Q45))</f>
        <v>#DIV/0!</v>
      </c>
      <c r="H45" s="282" t="e">
        <f t="shared" ref="H45:O45" si="18">IF($Q45=0, G45*(1+$P45), G45*(1+$Q45))</f>
        <v>#DIV/0!</v>
      </c>
      <c r="I45" s="282" t="e">
        <f t="shared" si="18"/>
        <v>#DIV/0!</v>
      </c>
      <c r="J45" s="282" t="e">
        <f t="shared" si="18"/>
        <v>#DIV/0!</v>
      </c>
      <c r="K45" s="282" t="e">
        <f t="shared" si="18"/>
        <v>#DIV/0!</v>
      </c>
      <c r="L45" s="282" t="e">
        <f t="shared" si="18"/>
        <v>#DIV/0!</v>
      </c>
      <c r="M45" s="282" t="e">
        <f t="shared" si="18"/>
        <v>#DIV/0!</v>
      </c>
      <c r="N45" s="282" t="e">
        <f t="shared" si="18"/>
        <v>#DIV/0!</v>
      </c>
      <c r="O45" s="282" t="e">
        <f t="shared" si="18"/>
        <v>#DIV/0!</v>
      </c>
      <c r="P45" s="90" t="e">
        <f>(Revenue_Build!G18/Revenue_Build!C18)^(1/5)-1</f>
        <v>#DIV/0!</v>
      </c>
      <c r="Q45" s="133">
        <f>Hub!D40</f>
        <v>0</v>
      </c>
    </row>
    <row r="46" spans="2:17" x14ac:dyDescent="0.25">
      <c r="B46" s="10">
        <v>2</v>
      </c>
      <c r="C46" t="s">
        <v>192</v>
      </c>
      <c r="D46"/>
      <c r="E46"/>
      <c r="F46" s="282" t="e">
        <f>IF($Q46=0, Revenue_Build!$G$18*(1+$P46), Revenue_Build!$G$18*(1+$Q46))</f>
        <v>#DIV/0!</v>
      </c>
      <c r="G46" s="282" t="e">
        <f t="shared" ref="G46:O46" si="19">IF($Q46=0, F46*(1+$P46), F46*(1+$Q46))</f>
        <v>#DIV/0!</v>
      </c>
      <c r="H46" s="282" t="e">
        <f t="shared" si="19"/>
        <v>#DIV/0!</v>
      </c>
      <c r="I46" s="282" t="e">
        <f t="shared" si="19"/>
        <v>#DIV/0!</v>
      </c>
      <c r="J46" s="282" t="e">
        <f t="shared" si="19"/>
        <v>#DIV/0!</v>
      </c>
      <c r="K46" s="282" t="e">
        <f t="shared" si="19"/>
        <v>#DIV/0!</v>
      </c>
      <c r="L46" s="282" t="e">
        <f t="shared" si="19"/>
        <v>#DIV/0!</v>
      </c>
      <c r="M46" s="282" t="e">
        <f t="shared" si="19"/>
        <v>#DIV/0!</v>
      </c>
      <c r="N46" s="282" t="e">
        <f t="shared" si="19"/>
        <v>#DIV/0!</v>
      </c>
      <c r="O46" s="282" t="e">
        <f t="shared" si="19"/>
        <v>#DIV/0!</v>
      </c>
      <c r="P46" s="90" t="e">
        <f>IF(P45&gt;0, P45*SC_Manager!$J$22, IF(P45&lt;0, P45*SC_Manager!$J$23, 0))</f>
        <v>#DIV/0!</v>
      </c>
      <c r="Q46" s="90">
        <f>IF(Q45&gt;0, Q45*SC_Manager!$J$22, IF(Q45&lt;0, Q45*SC_Manager!$J$23, 0))</f>
        <v>0</v>
      </c>
    </row>
    <row r="47" spans="2:17" x14ac:dyDescent="0.25">
      <c r="B47" s="10">
        <v>3</v>
      </c>
      <c r="C47" t="s">
        <v>193</v>
      </c>
      <c r="D47"/>
      <c r="E47"/>
      <c r="F47" s="282" t="e">
        <f>IF($Q47=0, Revenue_Build!$G$18*(1+$P47), Revenue_Build!$G$18*(1+$Q47))</f>
        <v>#DIV/0!</v>
      </c>
      <c r="G47" s="282" t="e">
        <f t="shared" ref="G47:O47" si="20">IF($Q47=0, F47*(1+$P47), F47*(1+$Q47))</f>
        <v>#DIV/0!</v>
      </c>
      <c r="H47" s="282" t="e">
        <f t="shared" si="20"/>
        <v>#DIV/0!</v>
      </c>
      <c r="I47" s="282" t="e">
        <f t="shared" si="20"/>
        <v>#DIV/0!</v>
      </c>
      <c r="J47" s="282" t="e">
        <f t="shared" si="20"/>
        <v>#DIV/0!</v>
      </c>
      <c r="K47" s="282" t="e">
        <f t="shared" si="20"/>
        <v>#DIV/0!</v>
      </c>
      <c r="L47" s="282" t="e">
        <f t="shared" si="20"/>
        <v>#DIV/0!</v>
      </c>
      <c r="M47" s="282" t="e">
        <f t="shared" si="20"/>
        <v>#DIV/0!</v>
      </c>
      <c r="N47" s="282" t="e">
        <f t="shared" si="20"/>
        <v>#DIV/0!</v>
      </c>
      <c r="O47" s="282" t="e">
        <f t="shared" si="20"/>
        <v>#DIV/0!</v>
      </c>
      <c r="P47" s="90" t="e">
        <f>IF(P45&gt;0, P45*SC_Manager!$K$22, IF(P45&lt;0, P45*SC_Manager!$K$23, 0))</f>
        <v>#DIV/0!</v>
      </c>
      <c r="Q47" s="90">
        <f>IF(Q45&gt;0, Q45*SC_Manager!$K$22, IF(Q45&lt;0, Q45*SC_Manager!$K$23, 0))</f>
        <v>0</v>
      </c>
    </row>
    <row r="48" spans="2:17" x14ac:dyDescent="0.25">
      <c r="F48" s="264"/>
      <c r="G48" s="264"/>
      <c r="H48" s="264"/>
      <c r="I48" s="264"/>
      <c r="J48" s="264"/>
      <c r="K48" s="264"/>
      <c r="L48" s="264"/>
      <c r="M48" s="264"/>
      <c r="N48" s="264"/>
      <c r="O48" s="264"/>
      <c r="Q48" s="91"/>
    </row>
    <row r="49" spans="2:17" x14ac:dyDescent="0.25">
      <c r="B49" s="65">
        <f>Hub!H13</f>
        <v>0</v>
      </c>
      <c r="C49" s="66"/>
      <c r="D49" s="67"/>
      <c r="E49" s="68" t="s">
        <v>178</v>
      </c>
      <c r="F49" s="283" t="s">
        <v>178</v>
      </c>
      <c r="G49" s="283" t="s">
        <v>178</v>
      </c>
      <c r="H49" s="283" t="s">
        <v>178</v>
      </c>
      <c r="I49" s="283" t="s">
        <v>178</v>
      </c>
      <c r="J49" s="283" t="s">
        <v>178</v>
      </c>
      <c r="K49" s="283"/>
      <c r="L49" s="283"/>
      <c r="M49" s="283"/>
      <c r="N49" s="283"/>
      <c r="O49" s="283"/>
      <c r="P49" s="68" t="s">
        <v>178</v>
      </c>
      <c r="Q49" s="68" t="s">
        <v>178</v>
      </c>
    </row>
    <row r="50" spans="2:17" x14ac:dyDescent="0.25">
      <c r="B50" s="82"/>
      <c r="C50" s="83"/>
      <c r="D50"/>
      <c r="E50"/>
      <c r="F50" s="260"/>
      <c r="G50" s="260"/>
      <c r="H50" s="260"/>
      <c r="I50" s="260"/>
      <c r="J50" s="260"/>
      <c r="K50" s="260"/>
      <c r="L50" s="260"/>
      <c r="M50" s="260"/>
      <c r="N50" s="260"/>
      <c r="O50" s="260"/>
      <c r="P50" s="69"/>
      <c r="Q50" s="91"/>
    </row>
    <row r="51" spans="2:17" x14ac:dyDescent="0.25">
      <c r="B51" s="84"/>
      <c r="C51" s="85" t="s">
        <v>211</v>
      </c>
      <c r="D51" s="86" t="str">
        <f>SC_Manager!G47</f>
        <v>Base</v>
      </c>
      <c r="E51" s="87" t="s">
        <v>178</v>
      </c>
      <c r="F51" s="281" t="e" cm="1">
        <f t="array" ref="F51">INDEX(F53:F55,MATCH($D51,$C53:$C55,0),0)</f>
        <v>#DIV/0!</v>
      </c>
      <c r="G51" s="281" t="e" cm="1">
        <f t="array" ref="G51">INDEX(G53:G55,MATCH($D51,$C53:$C55,0),0)</f>
        <v>#DIV/0!</v>
      </c>
      <c r="H51" s="281" t="e" cm="1">
        <f t="array" ref="H51">INDEX(H53:H55,MATCH($D51,$C53:$C55,0),0)</f>
        <v>#DIV/0!</v>
      </c>
      <c r="I51" s="281" t="e" cm="1">
        <f t="array" ref="I51">INDEX(I53:I55,MATCH($D51,$C53:$C55,0),0)</f>
        <v>#DIV/0!</v>
      </c>
      <c r="J51" s="281" t="e" cm="1">
        <f t="array" ref="J51">INDEX(J53:J55,MATCH($D51,$C53:$C55,0),0)</f>
        <v>#DIV/0!</v>
      </c>
      <c r="K51" s="281" t="e" cm="1">
        <f t="array" ref="K51">INDEX(K53:K55,MATCH($D51,$C53:$C55,0),0)</f>
        <v>#DIV/0!</v>
      </c>
      <c r="L51" s="281" t="e" cm="1">
        <f t="array" ref="L51">INDEX(L53:L55,MATCH($D51,$C53:$C55,0),0)</f>
        <v>#DIV/0!</v>
      </c>
      <c r="M51" s="281" t="e" cm="1">
        <f t="array" ref="M51">INDEX(M53:M55,MATCH($D51,$C53:$C55,0),0)</f>
        <v>#DIV/0!</v>
      </c>
      <c r="N51" s="281" t="e" cm="1">
        <f t="array" ref="N51">INDEX(N53:N55,MATCH($D51,$C53:$C55,0),0)</f>
        <v>#DIV/0!</v>
      </c>
      <c r="O51" s="281" t="e" cm="1">
        <f t="array" ref="O51">INDEX(O53:O55,MATCH($D51,$C53:$C55,0),0)</f>
        <v>#DIV/0!</v>
      </c>
      <c r="P51" s="88"/>
      <c r="Q51" s="91"/>
    </row>
    <row r="52" spans="2:17" x14ac:dyDescent="0.25">
      <c r="B52" s="10"/>
      <c r="C52"/>
      <c r="D52"/>
      <c r="E52"/>
      <c r="F52" s="260"/>
      <c r="G52" s="267"/>
      <c r="H52" s="267"/>
      <c r="I52" s="267"/>
      <c r="J52" s="267"/>
      <c r="K52" s="267"/>
      <c r="L52" s="267"/>
      <c r="M52" s="267"/>
      <c r="N52" s="267"/>
      <c r="O52" s="267"/>
      <c r="P52" s="69" t="s">
        <v>212</v>
      </c>
      <c r="Q52" s="91" t="s">
        <v>213</v>
      </c>
    </row>
    <row r="53" spans="2:17" x14ac:dyDescent="0.25">
      <c r="B53" s="10">
        <v>1</v>
      </c>
      <c r="C53" t="s">
        <v>191</v>
      </c>
      <c r="D53"/>
      <c r="E53"/>
      <c r="F53" s="282" t="e">
        <f>IF($Q53=0, Revenue_Build!$G$21*(1+$P53), Revenue_Build!$G$21*(1+$Q53))</f>
        <v>#DIV/0!</v>
      </c>
      <c r="G53" s="282" t="e">
        <f>IF($Q53=0, F53*(1+$P53), F53*(1+$Q53))</f>
        <v>#DIV/0!</v>
      </c>
      <c r="H53" s="282" t="e">
        <f t="shared" ref="H53:O53" si="21">IF($Q53=0, G53*(1+$P53), G53*(1+$Q53))</f>
        <v>#DIV/0!</v>
      </c>
      <c r="I53" s="282" t="e">
        <f t="shared" si="21"/>
        <v>#DIV/0!</v>
      </c>
      <c r="J53" s="282" t="e">
        <f t="shared" si="21"/>
        <v>#DIV/0!</v>
      </c>
      <c r="K53" s="282" t="e">
        <f t="shared" si="21"/>
        <v>#DIV/0!</v>
      </c>
      <c r="L53" s="282" t="e">
        <f t="shared" si="21"/>
        <v>#DIV/0!</v>
      </c>
      <c r="M53" s="282" t="e">
        <f t="shared" si="21"/>
        <v>#DIV/0!</v>
      </c>
      <c r="N53" s="282" t="e">
        <f t="shared" si="21"/>
        <v>#DIV/0!</v>
      </c>
      <c r="O53" s="282" t="e">
        <f t="shared" si="21"/>
        <v>#DIV/0!</v>
      </c>
      <c r="P53" s="90" t="e">
        <f>(Revenue_Build!G21/Revenue_Build!C21)^(1/5)-1</f>
        <v>#DIV/0!</v>
      </c>
      <c r="Q53" s="133">
        <f>Hub!H36</f>
        <v>0</v>
      </c>
    </row>
    <row r="54" spans="2:17" x14ac:dyDescent="0.25">
      <c r="B54" s="10">
        <v>2</v>
      </c>
      <c r="C54" t="s">
        <v>192</v>
      </c>
      <c r="D54"/>
      <c r="E54"/>
      <c r="F54" s="282" t="e">
        <f>IF($Q54=0, Revenue_Build!$G$21*(1+$P54), Revenue_Build!$G$21*(1+$Q54))</f>
        <v>#DIV/0!</v>
      </c>
      <c r="G54" s="282" t="e">
        <f t="shared" ref="G54:O54" si="22">IF($Q54=0, F54*(1+$P54), F54*(1+$Q54))</f>
        <v>#DIV/0!</v>
      </c>
      <c r="H54" s="282" t="e">
        <f t="shared" si="22"/>
        <v>#DIV/0!</v>
      </c>
      <c r="I54" s="282" t="e">
        <f t="shared" si="22"/>
        <v>#DIV/0!</v>
      </c>
      <c r="J54" s="282" t="e">
        <f t="shared" si="22"/>
        <v>#DIV/0!</v>
      </c>
      <c r="K54" s="282" t="e">
        <f t="shared" si="22"/>
        <v>#DIV/0!</v>
      </c>
      <c r="L54" s="282" t="e">
        <f t="shared" si="22"/>
        <v>#DIV/0!</v>
      </c>
      <c r="M54" s="282" t="e">
        <f t="shared" si="22"/>
        <v>#DIV/0!</v>
      </c>
      <c r="N54" s="282" t="e">
        <f t="shared" si="22"/>
        <v>#DIV/0!</v>
      </c>
      <c r="O54" s="282" t="e">
        <f t="shared" si="22"/>
        <v>#DIV/0!</v>
      </c>
      <c r="P54" s="90" t="e">
        <f>IF(P53&gt;0, P53*SC_Manager!$J$22, IF(P53&lt;0, P53*SC_Manager!$J$23, 0))</f>
        <v>#DIV/0!</v>
      </c>
      <c r="Q54" s="90">
        <f>IF(Q53&gt;0, Q53*SC_Manager!$J$22, IF(Q53&lt;0, Q53*SC_Manager!$J$23, 0))</f>
        <v>0</v>
      </c>
    </row>
    <row r="55" spans="2:17" x14ac:dyDescent="0.25">
      <c r="B55" s="10">
        <v>3</v>
      </c>
      <c r="C55" t="s">
        <v>193</v>
      </c>
      <c r="D55"/>
      <c r="E55"/>
      <c r="F55" s="282" t="e">
        <f>IF($Q55=0, Revenue_Build!$G$21*(1+$P55), Revenue_Build!$G$21*(1+$Q55))</f>
        <v>#DIV/0!</v>
      </c>
      <c r="G55" s="282" t="e">
        <f t="shared" ref="G55:O55" si="23">IF($Q55=0, F55*(1+$P55), F55*(1+$Q55))</f>
        <v>#DIV/0!</v>
      </c>
      <c r="H55" s="282" t="e">
        <f t="shared" si="23"/>
        <v>#DIV/0!</v>
      </c>
      <c r="I55" s="282" t="e">
        <f t="shared" si="23"/>
        <v>#DIV/0!</v>
      </c>
      <c r="J55" s="282" t="e">
        <f t="shared" si="23"/>
        <v>#DIV/0!</v>
      </c>
      <c r="K55" s="282" t="e">
        <f t="shared" si="23"/>
        <v>#DIV/0!</v>
      </c>
      <c r="L55" s="282" t="e">
        <f t="shared" si="23"/>
        <v>#DIV/0!</v>
      </c>
      <c r="M55" s="282" t="e">
        <f t="shared" si="23"/>
        <v>#DIV/0!</v>
      </c>
      <c r="N55" s="282" t="e">
        <f t="shared" si="23"/>
        <v>#DIV/0!</v>
      </c>
      <c r="O55" s="282" t="e">
        <f t="shared" si="23"/>
        <v>#DIV/0!</v>
      </c>
      <c r="P55" s="90" t="e">
        <f>IF(P53&gt;0, P53*SC_Manager!$K$22, IF(P53&lt;0, P53*SC_Manager!$K$23, 0))</f>
        <v>#DIV/0!</v>
      </c>
      <c r="Q55" s="90">
        <f>IF(Q53&gt;0, Q53*SC_Manager!$K$22, IF(Q53&lt;0, Q53*SC_Manager!$K$23, 0))</f>
        <v>0</v>
      </c>
    </row>
    <row r="56" spans="2:17" x14ac:dyDescent="0.25">
      <c r="F56" s="264"/>
      <c r="G56" s="264"/>
      <c r="H56" s="264"/>
      <c r="I56" s="264"/>
      <c r="J56" s="264"/>
      <c r="K56" s="264"/>
      <c r="L56" s="264"/>
      <c r="M56" s="264"/>
      <c r="N56" s="264"/>
      <c r="O56" s="264"/>
      <c r="Q56" s="91"/>
    </row>
    <row r="57" spans="2:17" x14ac:dyDescent="0.25">
      <c r="B57" s="65">
        <f>Hub!H14</f>
        <v>0</v>
      </c>
      <c r="C57" s="66"/>
      <c r="D57" s="67"/>
      <c r="E57" s="68" t="s">
        <v>178</v>
      </c>
      <c r="F57" s="283" t="s">
        <v>178</v>
      </c>
      <c r="G57" s="283" t="s">
        <v>178</v>
      </c>
      <c r="H57" s="283" t="s">
        <v>178</v>
      </c>
      <c r="I57" s="283" t="s">
        <v>178</v>
      </c>
      <c r="J57" s="283" t="s">
        <v>178</v>
      </c>
      <c r="K57" s="283"/>
      <c r="L57" s="283"/>
      <c r="M57" s="283"/>
      <c r="N57" s="283"/>
      <c r="O57" s="283"/>
      <c r="P57" s="68" t="s">
        <v>178</v>
      </c>
      <c r="Q57" s="68" t="s">
        <v>178</v>
      </c>
    </row>
    <row r="58" spans="2:17" x14ac:dyDescent="0.25">
      <c r="B58" s="82"/>
      <c r="C58" s="83"/>
      <c r="D58"/>
      <c r="E58"/>
      <c r="F58" s="260"/>
      <c r="G58" s="260"/>
      <c r="H58" s="260"/>
      <c r="I58" s="260"/>
      <c r="J58" s="260"/>
      <c r="K58" s="260"/>
      <c r="L58" s="260"/>
      <c r="M58" s="260"/>
      <c r="N58" s="260"/>
      <c r="O58" s="260"/>
      <c r="P58" s="69"/>
      <c r="Q58" s="91"/>
    </row>
    <row r="59" spans="2:17" x14ac:dyDescent="0.25">
      <c r="B59" s="84"/>
      <c r="C59" s="85" t="s">
        <v>211</v>
      </c>
      <c r="D59" s="86" t="str">
        <f>SC_Manager!G51</f>
        <v>Base</v>
      </c>
      <c r="E59" s="87" t="s">
        <v>178</v>
      </c>
      <c r="F59" s="281" t="e" cm="1">
        <f t="array" ref="F59">INDEX(F61:F63,MATCH($D59,$C61:$C63,0),0)</f>
        <v>#DIV/0!</v>
      </c>
      <c r="G59" s="281" t="e" cm="1">
        <f t="array" ref="G59">INDEX(G61:G63,MATCH($D59,$C61:$C63,0),0)</f>
        <v>#DIV/0!</v>
      </c>
      <c r="H59" s="281" t="e" cm="1">
        <f t="array" ref="H59">INDEX(H61:H63,MATCH($D59,$C61:$C63,0),0)</f>
        <v>#DIV/0!</v>
      </c>
      <c r="I59" s="281" t="e" cm="1">
        <f t="array" ref="I59">INDEX(I61:I63,MATCH($D59,$C61:$C63,0),0)</f>
        <v>#DIV/0!</v>
      </c>
      <c r="J59" s="281" t="e" cm="1">
        <f t="array" ref="J59">INDEX(J61:J63,MATCH($D59,$C61:$C63,0),0)</f>
        <v>#DIV/0!</v>
      </c>
      <c r="K59" s="281" t="e" cm="1">
        <f t="array" ref="K59">INDEX(K61:K63,MATCH($D59,$C61:$C63,0),0)</f>
        <v>#DIV/0!</v>
      </c>
      <c r="L59" s="281" t="e" cm="1">
        <f t="array" ref="L59">INDEX(L61:L63,MATCH($D59,$C61:$C63,0),0)</f>
        <v>#DIV/0!</v>
      </c>
      <c r="M59" s="281" t="e" cm="1">
        <f t="array" ref="M59">INDEX(M61:M63,MATCH($D59,$C61:$C63,0),0)</f>
        <v>#DIV/0!</v>
      </c>
      <c r="N59" s="281" t="e" cm="1">
        <f t="array" ref="N59">INDEX(N61:N63,MATCH($D59,$C61:$C63,0),0)</f>
        <v>#DIV/0!</v>
      </c>
      <c r="O59" s="281" t="e" cm="1">
        <f t="array" ref="O59">INDEX(O61:O63,MATCH($D59,$C61:$C63,0),0)</f>
        <v>#DIV/0!</v>
      </c>
      <c r="P59" s="88"/>
      <c r="Q59" s="91"/>
    </row>
    <row r="60" spans="2:17" x14ac:dyDescent="0.25">
      <c r="B60" s="10"/>
      <c r="C60"/>
      <c r="D60"/>
      <c r="E60"/>
      <c r="F60" s="260"/>
      <c r="G60" s="267"/>
      <c r="H60" s="267"/>
      <c r="I60" s="267"/>
      <c r="J60" s="267"/>
      <c r="K60" s="267"/>
      <c r="L60" s="267"/>
      <c r="M60" s="267"/>
      <c r="N60" s="267"/>
      <c r="O60" s="267"/>
      <c r="P60" s="69" t="s">
        <v>212</v>
      </c>
      <c r="Q60" s="91" t="s">
        <v>213</v>
      </c>
    </row>
    <row r="61" spans="2:17" x14ac:dyDescent="0.25">
      <c r="B61" s="10">
        <v>1</v>
      </c>
      <c r="C61" t="s">
        <v>191</v>
      </c>
      <c r="D61"/>
      <c r="E61"/>
      <c r="F61" s="282" t="e">
        <f>IF($Q61=0, Revenue_Build!$G$24*(1+$P61), Revenue_Build!$G$24*(1+$Q61))</f>
        <v>#DIV/0!</v>
      </c>
      <c r="G61" s="282" t="e">
        <f>IF($Q61=0, F61*(1+$P61), F61*(1+$Q61))</f>
        <v>#DIV/0!</v>
      </c>
      <c r="H61" s="282" t="e">
        <f t="shared" ref="H61:O61" si="24">IF($Q61=0, G61*(1+$P61), G61*(1+$Q61))</f>
        <v>#DIV/0!</v>
      </c>
      <c r="I61" s="282" t="e">
        <f t="shared" si="24"/>
        <v>#DIV/0!</v>
      </c>
      <c r="J61" s="282" t="e">
        <f t="shared" si="24"/>
        <v>#DIV/0!</v>
      </c>
      <c r="K61" s="282" t="e">
        <f t="shared" si="24"/>
        <v>#DIV/0!</v>
      </c>
      <c r="L61" s="282" t="e">
        <f t="shared" si="24"/>
        <v>#DIV/0!</v>
      </c>
      <c r="M61" s="282" t="e">
        <f t="shared" si="24"/>
        <v>#DIV/0!</v>
      </c>
      <c r="N61" s="282" t="e">
        <f t="shared" si="24"/>
        <v>#DIV/0!</v>
      </c>
      <c r="O61" s="282" t="e">
        <f t="shared" si="24"/>
        <v>#DIV/0!</v>
      </c>
      <c r="P61" s="90" t="e">
        <f>(Revenue_Build!G24/Revenue_Build!C24)^(1/5)-1</f>
        <v>#DIV/0!</v>
      </c>
      <c r="Q61" s="133">
        <f>Hub!H37</f>
        <v>0</v>
      </c>
    </row>
    <row r="62" spans="2:17" x14ac:dyDescent="0.25">
      <c r="B62" s="10">
        <v>2</v>
      </c>
      <c r="C62" t="s">
        <v>192</v>
      </c>
      <c r="D62"/>
      <c r="E62"/>
      <c r="F62" s="282" t="e">
        <f>IF($Q62=0, Revenue_Build!$G$24*(1+$P62), Revenue_Build!$G$24*(1+$Q62))</f>
        <v>#DIV/0!</v>
      </c>
      <c r="G62" s="282" t="e">
        <f t="shared" ref="G62:O62" si="25">IF($Q62=0, F62*(1+$P62), F62*(1+$Q62))</f>
        <v>#DIV/0!</v>
      </c>
      <c r="H62" s="282" t="e">
        <f t="shared" si="25"/>
        <v>#DIV/0!</v>
      </c>
      <c r="I62" s="282" t="e">
        <f t="shared" si="25"/>
        <v>#DIV/0!</v>
      </c>
      <c r="J62" s="282" t="e">
        <f t="shared" si="25"/>
        <v>#DIV/0!</v>
      </c>
      <c r="K62" s="282" t="e">
        <f t="shared" si="25"/>
        <v>#DIV/0!</v>
      </c>
      <c r="L62" s="282" t="e">
        <f t="shared" si="25"/>
        <v>#DIV/0!</v>
      </c>
      <c r="M62" s="282" t="e">
        <f t="shared" si="25"/>
        <v>#DIV/0!</v>
      </c>
      <c r="N62" s="282" t="e">
        <f t="shared" si="25"/>
        <v>#DIV/0!</v>
      </c>
      <c r="O62" s="282" t="e">
        <f t="shared" si="25"/>
        <v>#DIV/0!</v>
      </c>
      <c r="P62" s="90" t="e">
        <f>IF(P61&gt;0, P61*SC_Manager!$J$22, IF(P61&lt;0, P61*SC_Manager!$J$23, 0))</f>
        <v>#DIV/0!</v>
      </c>
      <c r="Q62" s="90">
        <f>IF(Q61&gt;0, Q61*SC_Manager!$J$22, IF(Q61&lt;0, Q61*SC_Manager!$J$23, 0))</f>
        <v>0</v>
      </c>
    </row>
    <row r="63" spans="2:17" x14ac:dyDescent="0.25">
      <c r="B63" s="10">
        <v>3</v>
      </c>
      <c r="C63" t="s">
        <v>193</v>
      </c>
      <c r="D63"/>
      <c r="E63"/>
      <c r="F63" s="282" t="e">
        <f>IF($Q63=0, Revenue_Build!$G$24*(1+$P63), Revenue_Build!$G$24*(1+$Q63))</f>
        <v>#DIV/0!</v>
      </c>
      <c r="G63" s="282" t="e">
        <f t="shared" ref="G63:O63" si="26">IF($Q63=0, F63*(1+$P63), F63*(1+$Q63))</f>
        <v>#DIV/0!</v>
      </c>
      <c r="H63" s="282" t="e">
        <f t="shared" si="26"/>
        <v>#DIV/0!</v>
      </c>
      <c r="I63" s="282" t="e">
        <f t="shared" si="26"/>
        <v>#DIV/0!</v>
      </c>
      <c r="J63" s="282" t="e">
        <f t="shared" si="26"/>
        <v>#DIV/0!</v>
      </c>
      <c r="K63" s="282" t="e">
        <f t="shared" si="26"/>
        <v>#DIV/0!</v>
      </c>
      <c r="L63" s="282" t="e">
        <f t="shared" si="26"/>
        <v>#DIV/0!</v>
      </c>
      <c r="M63" s="282" t="e">
        <f t="shared" si="26"/>
        <v>#DIV/0!</v>
      </c>
      <c r="N63" s="282" t="e">
        <f t="shared" si="26"/>
        <v>#DIV/0!</v>
      </c>
      <c r="O63" s="282" t="e">
        <f t="shared" si="26"/>
        <v>#DIV/0!</v>
      </c>
      <c r="P63" s="90" t="e">
        <f>IF(P61&gt;0, P61*SC_Manager!$K$22, IF(P61&lt;0, P61*SC_Manager!$K$23, 0))</f>
        <v>#DIV/0!</v>
      </c>
      <c r="Q63" s="90">
        <f>IF(Q61&gt;0, Q61*SC_Manager!$K$22, IF(Q61&lt;0, Q61*SC_Manager!$K$23, 0))</f>
        <v>0</v>
      </c>
    </row>
    <row r="64" spans="2:17" x14ac:dyDescent="0.25">
      <c r="F64" s="264"/>
      <c r="G64" s="264"/>
      <c r="H64" s="264"/>
      <c r="I64" s="264"/>
      <c r="J64" s="264"/>
      <c r="K64" s="264"/>
      <c r="L64" s="264"/>
      <c r="M64" s="264"/>
      <c r="N64" s="264"/>
      <c r="O64" s="264"/>
      <c r="Q64" s="91"/>
    </row>
    <row r="65" spans="2:17" x14ac:dyDescent="0.25">
      <c r="B65" s="65">
        <f>Hub!H15</f>
        <v>0</v>
      </c>
      <c r="C65" s="66"/>
      <c r="D65" s="67"/>
      <c r="E65" s="68" t="s">
        <v>178</v>
      </c>
      <c r="F65" s="283" t="s">
        <v>178</v>
      </c>
      <c r="G65" s="283" t="s">
        <v>178</v>
      </c>
      <c r="H65" s="283" t="s">
        <v>178</v>
      </c>
      <c r="I65" s="283" t="s">
        <v>178</v>
      </c>
      <c r="J65" s="283" t="s">
        <v>178</v>
      </c>
      <c r="K65" s="283"/>
      <c r="L65" s="283"/>
      <c r="M65" s="283"/>
      <c r="N65" s="283"/>
      <c r="O65" s="283"/>
      <c r="P65" s="68" t="s">
        <v>178</v>
      </c>
      <c r="Q65" s="68" t="s">
        <v>178</v>
      </c>
    </row>
    <row r="66" spans="2:17" x14ac:dyDescent="0.25">
      <c r="B66" s="82"/>
      <c r="C66" s="83"/>
      <c r="D66"/>
      <c r="E66"/>
      <c r="F66" s="260"/>
      <c r="G66" s="260"/>
      <c r="H66" s="260"/>
      <c r="I66" s="260"/>
      <c r="J66" s="260"/>
      <c r="K66" s="260"/>
      <c r="L66" s="260"/>
      <c r="M66" s="260"/>
      <c r="N66" s="260"/>
      <c r="O66" s="260"/>
      <c r="P66" s="69"/>
      <c r="Q66" s="91"/>
    </row>
    <row r="67" spans="2:17" x14ac:dyDescent="0.25">
      <c r="B67" s="84"/>
      <c r="C67" s="85" t="s">
        <v>211</v>
      </c>
      <c r="D67" s="86" t="str">
        <f>SC_Manager!G55</f>
        <v>Base</v>
      </c>
      <c r="E67" s="87" t="s">
        <v>178</v>
      </c>
      <c r="F67" s="281" t="e" cm="1">
        <f t="array" ref="F67">INDEX(F69:F71,MATCH($D67,$C69:$C71,0),0)</f>
        <v>#DIV/0!</v>
      </c>
      <c r="G67" s="281" t="e" cm="1">
        <f t="array" ref="G67">INDEX(G69:G71,MATCH($D67,$C69:$C71,0),0)</f>
        <v>#DIV/0!</v>
      </c>
      <c r="H67" s="281" t="e" cm="1">
        <f t="array" ref="H67">INDEX(H69:H71,MATCH($D67,$C69:$C71,0),0)</f>
        <v>#DIV/0!</v>
      </c>
      <c r="I67" s="281" t="e" cm="1">
        <f t="array" ref="I67">INDEX(I69:I71,MATCH($D67,$C69:$C71,0),0)</f>
        <v>#DIV/0!</v>
      </c>
      <c r="J67" s="281" t="e" cm="1">
        <f t="array" ref="J67">INDEX(J69:J71,MATCH($D67,$C69:$C71,0),0)</f>
        <v>#DIV/0!</v>
      </c>
      <c r="K67" s="281" t="e" cm="1">
        <f t="array" ref="K67">INDEX(K69:K71,MATCH($D67,$C69:$C71,0),0)</f>
        <v>#DIV/0!</v>
      </c>
      <c r="L67" s="281" t="e" cm="1">
        <f t="array" ref="L67">INDEX(L69:L71,MATCH($D67,$C69:$C71,0),0)</f>
        <v>#DIV/0!</v>
      </c>
      <c r="M67" s="281" t="e" cm="1">
        <f t="array" ref="M67">INDEX(M69:M71,MATCH($D67,$C69:$C71,0),0)</f>
        <v>#DIV/0!</v>
      </c>
      <c r="N67" s="281" t="e" cm="1">
        <f t="array" ref="N67">INDEX(N69:N71,MATCH($D67,$C69:$C71,0),0)</f>
        <v>#DIV/0!</v>
      </c>
      <c r="O67" s="281" t="e" cm="1">
        <f t="array" ref="O67">INDEX(O69:O71,MATCH($D67,$C69:$C71,0),0)</f>
        <v>#DIV/0!</v>
      </c>
      <c r="P67" s="88"/>
      <c r="Q67" s="91"/>
    </row>
    <row r="68" spans="2:17" x14ac:dyDescent="0.25">
      <c r="B68" s="10"/>
      <c r="C68"/>
      <c r="D68"/>
      <c r="E68"/>
      <c r="F68" s="260"/>
      <c r="G68" s="267"/>
      <c r="H68" s="267"/>
      <c r="I68" s="267"/>
      <c r="J68" s="267"/>
      <c r="K68" s="267"/>
      <c r="L68" s="267"/>
      <c r="M68" s="267"/>
      <c r="N68" s="267"/>
      <c r="O68" s="267"/>
      <c r="P68" s="69" t="s">
        <v>212</v>
      </c>
      <c r="Q68" s="91" t="s">
        <v>213</v>
      </c>
    </row>
    <row r="69" spans="2:17" x14ac:dyDescent="0.25">
      <c r="B69" s="10">
        <v>1</v>
      </c>
      <c r="C69" t="s">
        <v>191</v>
      </c>
      <c r="D69"/>
      <c r="E69"/>
      <c r="F69" s="282" t="e">
        <f>IF($Q69=0, Revenue_Build!$G$27*(1+$P69), Revenue_Build!$G$27*(1+$Q69))</f>
        <v>#DIV/0!</v>
      </c>
      <c r="G69" s="282" t="e">
        <f>IF($Q69=0, F69*(1+$P69), F69*(1+$Q69))</f>
        <v>#DIV/0!</v>
      </c>
      <c r="H69" s="282" t="e">
        <f t="shared" ref="H69:O69" si="27">IF($Q69=0, G69*(1+$P69), G69*(1+$Q69))</f>
        <v>#DIV/0!</v>
      </c>
      <c r="I69" s="282" t="e">
        <f t="shared" si="27"/>
        <v>#DIV/0!</v>
      </c>
      <c r="J69" s="282" t="e">
        <f t="shared" si="27"/>
        <v>#DIV/0!</v>
      </c>
      <c r="K69" s="282" t="e">
        <f t="shared" si="27"/>
        <v>#DIV/0!</v>
      </c>
      <c r="L69" s="282" t="e">
        <f t="shared" si="27"/>
        <v>#DIV/0!</v>
      </c>
      <c r="M69" s="282" t="e">
        <f t="shared" si="27"/>
        <v>#DIV/0!</v>
      </c>
      <c r="N69" s="282" t="e">
        <f t="shared" si="27"/>
        <v>#DIV/0!</v>
      </c>
      <c r="O69" s="282" t="e">
        <f t="shared" si="27"/>
        <v>#DIV/0!</v>
      </c>
      <c r="P69" s="90" t="e">
        <f>(Revenue_Build!G27/Revenue_Build!C27)^(1/5)-1</f>
        <v>#DIV/0!</v>
      </c>
      <c r="Q69" s="133">
        <f>Hub!H38</f>
        <v>0</v>
      </c>
    </row>
    <row r="70" spans="2:17" x14ac:dyDescent="0.25">
      <c r="B70" s="10">
        <v>2</v>
      </c>
      <c r="C70" t="s">
        <v>192</v>
      </c>
      <c r="D70"/>
      <c r="E70"/>
      <c r="F70" s="282" t="e">
        <f>IF($Q70=0, Revenue_Build!$G$27*(1+$P70), Revenue_Build!$G$27*(1+$Q70))</f>
        <v>#DIV/0!</v>
      </c>
      <c r="G70" s="282" t="e">
        <f t="shared" ref="G70:O70" si="28">IF($Q70=0, F70*(1+$P70), F70*(1+$Q70))</f>
        <v>#DIV/0!</v>
      </c>
      <c r="H70" s="282" t="e">
        <f t="shared" si="28"/>
        <v>#DIV/0!</v>
      </c>
      <c r="I70" s="282" t="e">
        <f t="shared" si="28"/>
        <v>#DIV/0!</v>
      </c>
      <c r="J70" s="282" t="e">
        <f t="shared" si="28"/>
        <v>#DIV/0!</v>
      </c>
      <c r="K70" s="282" t="e">
        <f t="shared" si="28"/>
        <v>#DIV/0!</v>
      </c>
      <c r="L70" s="282" t="e">
        <f t="shared" si="28"/>
        <v>#DIV/0!</v>
      </c>
      <c r="M70" s="282" t="e">
        <f t="shared" si="28"/>
        <v>#DIV/0!</v>
      </c>
      <c r="N70" s="282" t="e">
        <f t="shared" si="28"/>
        <v>#DIV/0!</v>
      </c>
      <c r="O70" s="282" t="e">
        <f t="shared" si="28"/>
        <v>#DIV/0!</v>
      </c>
      <c r="P70" s="90" t="e">
        <f>IF(P69&gt;0, P69*SC_Manager!$J$22, IF(P69&lt;0, P69*SC_Manager!$J$23, 0))</f>
        <v>#DIV/0!</v>
      </c>
      <c r="Q70" s="90">
        <f>IF(Q69&gt;0, Q69*SC_Manager!$J$22, IF(Q69&lt;0, Q69*SC_Manager!$J$23, 0))</f>
        <v>0</v>
      </c>
    </row>
    <row r="71" spans="2:17" x14ac:dyDescent="0.25">
      <c r="B71" s="10">
        <v>3</v>
      </c>
      <c r="C71" t="s">
        <v>193</v>
      </c>
      <c r="D71"/>
      <c r="E71"/>
      <c r="F71" s="282" t="e">
        <f>IF($Q71=0, Revenue_Build!$G$27*(1+$P71), Revenue_Build!$G$27*(1+$Q71))</f>
        <v>#DIV/0!</v>
      </c>
      <c r="G71" s="282" t="e">
        <f t="shared" ref="G71:O71" si="29">IF($Q71=0, F71*(1+$P71), F71*(1+$Q71))</f>
        <v>#DIV/0!</v>
      </c>
      <c r="H71" s="282" t="e">
        <f t="shared" si="29"/>
        <v>#DIV/0!</v>
      </c>
      <c r="I71" s="282" t="e">
        <f t="shared" si="29"/>
        <v>#DIV/0!</v>
      </c>
      <c r="J71" s="282" t="e">
        <f t="shared" si="29"/>
        <v>#DIV/0!</v>
      </c>
      <c r="K71" s="282" t="e">
        <f t="shared" si="29"/>
        <v>#DIV/0!</v>
      </c>
      <c r="L71" s="282" t="e">
        <f t="shared" si="29"/>
        <v>#DIV/0!</v>
      </c>
      <c r="M71" s="282" t="e">
        <f t="shared" si="29"/>
        <v>#DIV/0!</v>
      </c>
      <c r="N71" s="282" t="e">
        <f t="shared" si="29"/>
        <v>#DIV/0!</v>
      </c>
      <c r="O71" s="282" t="e">
        <f t="shared" si="29"/>
        <v>#DIV/0!</v>
      </c>
      <c r="P71" s="90" t="e">
        <f>IF(P69&gt;0, P69*SC_Manager!$K$22, IF(P69&lt;0, P69*SC_Manager!$K$23, 0))</f>
        <v>#DIV/0!</v>
      </c>
      <c r="Q71" s="90">
        <f>IF(Q69&gt;0, Q69*SC_Manager!$K$22, IF(Q69&lt;0, Q69*SC_Manager!$K$23, 0))</f>
        <v>0</v>
      </c>
    </row>
    <row r="72" spans="2:17" x14ac:dyDescent="0.25">
      <c r="F72" s="264"/>
      <c r="G72" s="264"/>
      <c r="H72" s="264"/>
      <c r="I72" s="264"/>
      <c r="J72" s="264"/>
      <c r="K72" s="264"/>
      <c r="L72" s="264"/>
      <c r="M72" s="264"/>
      <c r="N72" s="264"/>
      <c r="O72" s="264"/>
      <c r="Q72" s="91"/>
    </row>
    <row r="73" spans="2:17" x14ac:dyDescent="0.25">
      <c r="B73" s="65">
        <f>Hub!H16</f>
        <v>0</v>
      </c>
      <c r="C73" s="66"/>
      <c r="D73" s="67"/>
      <c r="E73" s="68" t="s">
        <v>178</v>
      </c>
      <c r="F73" s="283" t="s">
        <v>178</v>
      </c>
      <c r="G73" s="283" t="s">
        <v>178</v>
      </c>
      <c r="H73" s="283" t="s">
        <v>178</v>
      </c>
      <c r="I73" s="283" t="s">
        <v>178</v>
      </c>
      <c r="J73" s="283" t="s">
        <v>178</v>
      </c>
      <c r="K73" s="283"/>
      <c r="L73" s="283"/>
      <c r="M73" s="283"/>
      <c r="N73" s="283"/>
      <c r="O73" s="283"/>
      <c r="P73" s="68" t="s">
        <v>178</v>
      </c>
      <c r="Q73" s="68" t="s">
        <v>178</v>
      </c>
    </row>
    <row r="74" spans="2:17" x14ac:dyDescent="0.25">
      <c r="B74" s="82"/>
      <c r="C74" s="83"/>
      <c r="D74"/>
      <c r="E74"/>
      <c r="F74" s="260"/>
      <c r="G74" s="260"/>
      <c r="H74" s="260"/>
      <c r="I74" s="260"/>
      <c r="J74" s="260"/>
      <c r="K74" s="260"/>
      <c r="L74" s="260"/>
      <c r="M74" s="260"/>
      <c r="N74" s="260"/>
      <c r="O74" s="260"/>
      <c r="P74" s="69"/>
      <c r="Q74" s="91"/>
    </row>
    <row r="75" spans="2:17" x14ac:dyDescent="0.25">
      <c r="B75" s="84"/>
      <c r="C75" s="85" t="s">
        <v>211</v>
      </c>
      <c r="D75" s="86" t="str">
        <f>SC_Manager!G59</f>
        <v>Base</v>
      </c>
      <c r="E75" s="87" t="s">
        <v>178</v>
      </c>
      <c r="F75" s="281" t="e" cm="1">
        <f t="array" ref="F75">INDEX(F77:F79,MATCH($D75,$C77:$C79,0),0)</f>
        <v>#DIV/0!</v>
      </c>
      <c r="G75" s="281" t="e" cm="1">
        <f t="array" ref="G75">INDEX(G77:G79,MATCH($D75,$C77:$C79,0),0)</f>
        <v>#DIV/0!</v>
      </c>
      <c r="H75" s="281" t="e" cm="1">
        <f t="array" ref="H75">INDEX(H77:H79,MATCH($D75,$C77:$C79,0),0)</f>
        <v>#DIV/0!</v>
      </c>
      <c r="I75" s="281" t="e" cm="1">
        <f t="array" ref="I75">INDEX(I77:I79,MATCH($D75,$C77:$C79,0),0)</f>
        <v>#DIV/0!</v>
      </c>
      <c r="J75" s="281" t="e" cm="1">
        <f t="array" ref="J75">INDEX(J77:J79,MATCH($D75,$C77:$C79,0),0)</f>
        <v>#DIV/0!</v>
      </c>
      <c r="K75" s="281" t="e" cm="1">
        <f t="array" ref="K75">INDEX(K77:K79,MATCH($D75,$C77:$C79,0),0)</f>
        <v>#DIV/0!</v>
      </c>
      <c r="L75" s="281" t="e" cm="1">
        <f t="array" ref="L75">INDEX(L77:L79,MATCH($D75,$C77:$C79,0),0)</f>
        <v>#DIV/0!</v>
      </c>
      <c r="M75" s="281" t="e" cm="1">
        <f t="array" ref="M75">INDEX(M77:M79,MATCH($D75,$C77:$C79,0),0)</f>
        <v>#DIV/0!</v>
      </c>
      <c r="N75" s="281" t="e" cm="1">
        <f t="array" ref="N75">INDEX(N77:N79,MATCH($D75,$C77:$C79,0),0)</f>
        <v>#DIV/0!</v>
      </c>
      <c r="O75" s="281" t="e" cm="1">
        <f t="array" ref="O75">INDEX(O77:O79,MATCH($D75,$C77:$C79,0),0)</f>
        <v>#DIV/0!</v>
      </c>
      <c r="P75" s="88"/>
      <c r="Q75" s="91"/>
    </row>
    <row r="76" spans="2:17" x14ac:dyDescent="0.25">
      <c r="B76" s="10"/>
      <c r="C76"/>
      <c r="D76"/>
      <c r="E76"/>
      <c r="F76" s="260"/>
      <c r="G76" s="267"/>
      <c r="H76" s="267"/>
      <c r="I76" s="267"/>
      <c r="J76" s="267"/>
      <c r="K76" s="267"/>
      <c r="L76" s="267"/>
      <c r="M76" s="267"/>
      <c r="N76" s="267"/>
      <c r="O76" s="267"/>
      <c r="P76" s="69" t="s">
        <v>212</v>
      </c>
      <c r="Q76" s="91" t="s">
        <v>213</v>
      </c>
    </row>
    <row r="77" spans="2:17" x14ac:dyDescent="0.25">
      <c r="B77" s="10">
        <v>1</v>
      </c>
      <c r="C77" t="s">
        <v>191</v>
      </c>
      <c r="D77"/>
      <c r="E77"/>
      <c r="F77" s="282" t="e">
        <f>IF($Q77=0, Revenue_Build!$G$30*(1+$P77), Revenue_Build!$G$30*(1+$Q77))</f>
        <v>#DIV/0!</v>
      </c>
      <c r="G77" s="282" t="e">
        <f>IF($Q77=0, F77*(1+$P77), F77*(1+$Q77))</f>
        <v>#DIV/0!</v>
      </c>
      <c r="H77" s="282" t="e">
        <f t="shared" ref="H77:O77" si="30">IF($Q77=0, G77*(1+$P77), G77*(1+$Q77))</f>
        <v>#DIV/0!</v>
      </c>
      <c r="I77" s="282" t="e">
        <f t="shared" si="30"/>
        <v>#DIV/0!</v>
      </c>
      <c r="J77" s="282" t="e">
        <f t="shared" si="30"/>
        <v>#DIV/0!</v>
      </c>
      <c r="K77" s="282" t="e">
        <f t="shared" si="30"/>
        <v>#DIV/0!</v>
      </c>
      <c r="L77" s="282" t="e">
        <f t="shared" si="30"/>
        <v>#DIV/0!</v>
      </c>
      <c r="M77" s="282" t="e">
        <f t="shared" si="30"/>
        <v>#DIV/0!</v>
      </c>
      <c r="N77" s="282" t="e">
        <f t="shared" si="30"/>
        <v>#DIV/0!</v>
      </c>
      <c r="O77" s="282" t="e">
        <f t="shared" si="30"/>
        <v>#DIV/0!</v>
      </c>
      <c r="P77" s="90" t="e">
        <f>(Revenue_Build!G30/Revenue_Build!C30)^(1/5)-1</f>
        <v>#DIV/0!</v>
      </c>
      <c r="Q77" s="133">
        <f>Hub!H39</f>
        <v>0</v>
      </c>
    </row>
    <row r="78" spans="2:17" x14ac:dyDescent="0.25">
      <c r="B78" s="10">
        <v>2</v>
      </c>
      <c r="C78" t="s">
        <v>192</v>
      </c>
      <c r="D78"/>
      <c r="E78"/>
      <c r="F78" s="282" t="e">
        <f>IF($Q78=0, Revenue_Build!$G$30*(1+$P78), Revenue_Build!$G$30*(1+$Q78))</f>
        <v>#DIV/0!</v>
      </c>
      <c r="G78" s="282" t="e">
        <f t="shared" ref="G78:O78" si="31">IF($Q78=0, F78*(1+$P78), F78*(1+$Q78))</f>
        <v>#DIV/0!</v>
      </c>
      <c r="H78" s="282" t="e">
        <f t="shared" si="31"/>
        <v>#DIV/0!</v>
      </c>
      <c r="I78" s="282" t="e">
        <f t="shared" si="31"/>
        <v>#DIV/0!</v>
      </c>
      <c r="J78" s="282" t="e">
        <f t="shared" si="31"/>
        <v>#DIV/0!</v>
      </c>
      <c r="K78" s="282" t="e">
        <f t="shared" si="31"/>
        <v>#DIV/0!</v>
      </c>
      <c r="L78" s="282" t="e">
        <f t="shared" si="31"/>
        <v>#DIV/0!</v>
      </c>
      <c r="M78" s="282" t="e">
        <f t="shared" si="31"/>
        <v>#DIV/0!</v>
      </c>
      <c r="N78" s="282" t="e">
        <f t="shared" si="31"/>
        <v>#DIV/0!</v>
      </c>
      <c r="O78" s="282" t="e">
        <f t="shared" si="31"/>
        <v>#DIV/0!</v>
      </c>
      <c r="P78" s="90" t="e">
        <f>IF(P77&gt;0, P77*SC_Manager!$J$22, IF(P77&lt;0, P77*SC_Manager!$J$23, 0))</f>
        <v>#DIV/0!</v>
      </c>
      <c r="Q78" s="90">
        <f>IF(Q77&gt;0, Q77*SC_Manager!$J$22, IF(Q77&lt;0, Q77*SC_Manager!$J$23, 0))</f>
        <v>0</v>
      </c>
    </row>
    <row r="79" spans="2:17" x14ac:dyDescent="0.25">
      <c r="B79" s="10">
        <v>3</v>
      </c>
      <c r="C79" t="s">
        <v>193</v>
      </c>
      <c r="D79"/>
      <c r="E79"/>
      <c r="F79" s="282" t="e">
        <f>IF($Q79=0, Revenue_Build!$G$30*(1+$P79), Revenue_Build!$G$30*(1+$Q79))</f>
        <v>#DIV/0!</v>
      </c>
      <c r="G79" s="282" t="e">
        <f t="shared" ref="G79:O79" si="32">IF($Q79=0, F79*(1+$P79), F79*(1+$Q79))</f>
        <v>#DIV/0!</v>
      </c>
      <c r="H79" s="282" t="e">
        <f t="shared" si="32"/>
        <v>#DIV/0!</v>
      </c>
      <c r="I79" s="282" t="e">
        <f t="shared" si="32"/>
        <v>#DIV/0!</v>
      </c>
      <c r="J79" s="282" t="e">
        <f t="shared" si="32"/>
        <v>#DIV/0!</v>
      </c>
      <c r="K79" s="282" t="e">
        <f t="shared" si="32"/>
        <v>#DIV/0!</v>
      </c>
      <c r="L79" s="282" t="e">
        <f t="shared" si="32"/>
        <v>#DIV/0!</v>
      </c>
      <c r="M79" s="282" t="e">
        <f t="shared" si="32"/>
        <v>#DIV/0!</v>
      </c>
      <c r="N79" s="282" t="e">
        <f t="shared" si="32"/>
        <v>#DIV/0!</v>
      </c>
      <c r="O79" s="282" t="e">
        <f t="shared" si="32"/>
        <v>#DIV/0!</v>
      </c>
      <c r="P79" s="90" t="e">
        <f>IF(P77&gt;0, P77*SC_Manager!$K$22, IF(P77&lt;0, P77*SC_Manager!$K$23, 0))</f>
        <v>#DIV/0!</v>
      </c>
      <c r="Q79" s="90">
        <f>IF(Q77&gt;0, Q77*SC_Manager!$K$22, IF(Q77&lt;0, Q77*SC_Manager!$K$23, 0))</f>
        <v>0</v>
      </c>
    </row>
    <row r="80" spans="2:17" x14ac:dyDescent="0.25">
      <c r="F80" s="264"/>
      <c r="G80" s="264"/>
      <c r="H80" s="264"/>
      <c r="I80" s="264"/>
      <c r="J80" s="264"/>
      <c r="K80" s="264"/>
      <c r="L80" s="264"/>
      <c r="M80" s="264"/>
      <c r="N80" s="264"/>
      <c r="O80" s="264"/>
      <c r="Q80" s="91"/>
    </row>
    <row r="81" spans="2:17" x14ac:dyDescent="0.25">
      <c r="B81" s="65">
        <f>Hub!H17</f>
        <v>0</v>
      </c>
      <c r="C81" s="66"/>
      <c r="D81" s="67"/>
      <c r="E81" s="68" t="s">
        <v>178</v>
      </c>
      <c r="F81" s="283" t="s">
        <v>178</v>
      </c>
      <c r="G81" s="283" t="s">
        <v>178</v>
      </c>
      <c r="H81" s="283" t="s">
        <v>178</v>
      </c>
      <c r="I81" s="283" t="s">
        <v>178</v>
      </c>
      <c r="J81" s="283" t="s">
        <v>178</v>
      </c>
      <c r="K81" s="283"/>
      <c r="L81" s="283"/>
      <c r="M81" s="283"/>
      <c r="N81" s="283"/>
      <c r="O81" s="283"/>
      <c r="P81" s="68" t="s">
        <v>178</v>
      </c>
      <c r="Q81" s="68" t="s">
        <v>178</v>
      </c>
    </row>
    <row r="82" spans="2:17" x14ac:dyDescent="0.25">
      <c r="B82" s="82"/>
      <c r="C82" s="83"/>
      <c r="D82"/>
      <c r="E82"/>
      <c r="F82" s="260"/>
      <c r="G82" s="260"/>
      <c r="H82" s="260"/>
      <c r="I82" s="260"/>
      <c r="J82" s="260"/>
      <c r="K82" s="260"/>
      <c r="L82" s="260"/>
      <c r="M82" s="260"/>
      <c r="N82" s="260"/>
      <c r="O82" s="260"/>
      <c r="P82" s="69"/>
      <c r="Q82" s="91"/>
    </row>
    <row r="83" spans="2:17" x14ac:dyDescent="0.25">
      <c r="B83" s="84"/>
      <c r="C83" s="85" t="s">
        <v>211</v>
      </c>
      <c r="D83" s="86" t="str">
        <f>SC_Manager!G63</f>
        <v>Base</v>
      </c>
      <c r="E83" s="87" t="s">
        <v>178</v>
      </c>
      <c r="F83" s="281" t="e" cm="1">
        <f t="array" ref="F83">INDEX(F85:F87,MATCH($D83,$C85:$C87,0),0)</f>
        <v>#DIV/0!</v>
      </c>
      <c r="G83" s="281" t="e" cm="1">
        <f t="array" ref="G83">INDEX(G85:G87,MATCH($D83,$C85:$C87,0),0)</f>
        <v>#DIV/0!</v>
      </c>
      <c r="H83" s="281" t="e" cm="1">
        <f t="array" ref="H83">INDEX(H85:H87,MATCH($D83,$C85:$C87,0),0)</f>
        <v>#DIV/0!</v>
      </c>
      <c r="I83" s="281" t="e" cm="1">
        <f t="array" ref="I83">INDEX(I85:I87,MATCH($D83,$C85:$C87,0),0)</f>
        <v>#DIV/0!</v>
      </c>
      <c r="J83" s="281" t="e" cm="1">
        <f t="array" ref="J83">INDEX(J85:J87,MATCH($D83,$C85:$C87,0),0)</f>
        <v>#DIV/0!</v>
      </c>
      <c r="K83" s="281" t="e" cm="1">
        <f t="array" ref="K83">INDEX(K85:K87,MATCH($D83,$C85:$C87,0),0)</f>
        <v>#DIV/0!</v>
      </c>
      <c r="L83" s="281" t="e" cm="1">
        <f t="array" ref="L83">INDEX(L85:L87,MATCH($D83,$C85:$C87,0),0)</f>
        <v>#DIV/0!</v>
      </c>
      <c r="M83" s="281" t="e" cm="1">
        <f t="array" ref="M83">INDEX(M85:M87,MATCH($D83,$C85:$C87,0),0)</f>
        <v>#DIV/0!</v>
      </c>
      <c r="N83" s="281" t="e" cm="1">
        <f t="array" ref="N83">INDEX(N85:N87,MATCH($D83,$C85:$C87,0),0)</f>
        <v>#DIV/0!</v>
      </c>
      <c r="O83" s="281" t="e" cm="1">
        <f t="array" ref="O83">INDEX(O85:O87,MATCH($D83,$C85:$C87,0),0)</f>
        <v>#DIV/0!</v>
      </c>
      <c r="P83" s="88"/>
      <c r="Q83" s="91"/>
    </row>
    <row r="84" spans="2:17" x14ac:dyDescent="0.25">
      <c r="B84" s="10"/>
      <c r="C84"/>
      <c r="D84"/>
      <c r="E84"/>
      <c r="F84" s="260"/>
      <c r="G84" s="267"/>
      <c r="H84" s="267"/>
      <c r="I84" s="267"/>
      <c r="J84" s="267"/>
      <c r="K84" s="267"/>
      <c r="L84" s="267"/>
      <c r="M84" s="267"/>
      <c r="N84" s="267"/>
      <c r="O84" s="267"/>
      <c r="P84" s="69" t="s">
        <v>212</v>
      </c>
      <c r="Q84" s="91" t="s">
        <v>213</v>
      </c>
    </row>
    <row r="85" spans="2:17" x14ac:dyDescent="0.25">
      <c r="B85" s="10">
        <v>1</v>
      </c>
      <c r="C85" t="s">
        <v>191</v>
      </c>
      <c r="D85"/>
      <c r="E85"/>
      <c r="F85" s="282" t="e">
        <f>IF($Q85=0, Revenue_Build!$G$33*(1+$P85), Revenue_Build!$G$33*(1+$Q85))</f>
        <v>#DIV/0!</v>
      </c>
      <c r="G85" s="282" t="e">
        <f>IF($Q85=0, F85*(1+$P85), F85*(1+$Q85))</f>
        <v>#DIV/0!</v>
      </c>
      <c r="H85" s="282" t="e">
        <f t="shared" ref="H85:O85" si="33">IF($Q85=0, G85*(1+$P85), G85*(1+$Q85))</f>
        <v>#DIV/0!</v>
      </c>
      <c r="I85" s="282" t="e">
        <f t="shared" si="33"/>
        <v>#DIV/0!</v>
      </c>
      <c r="J85" s="282" t="e">
        <f t="shared" si="33"/>
        <v>#DIV/0!</v>
      </c>
      <c r="K85" s="282" t="e">
        <f t="shared" si="33"/>
        <v>#DIV/0!</v>
      </c>
      <c r="L85" s="282" t="e">
        <f t="shared" si="33"/>
        <v>#DIV/0!</v>
      </c>
      <c r="M85" s="282" t="e">
        <f>IF($Q85=0, L85*(1+$P85), L85*(1+$Q85))</f>
        <v>#DIV/0!</v>
      </c>
      <c r="N85" s="282" t="e">
        <f t="shared" si="33"/>
        <v>#DIV/0!</v>
      </c>
      <c r="O85" s="282" t="e">
        <f t="shared" si="33"/>
        <v>#DIV/0!</v>
      </c>
      <c r="P85" s="90" t="e">
        <f>(Revenue_Build!G33/Revenue_Build!C33)^(1/5)-1</f>
        <v>#DIV/0!</v>
      </c>
      <c r="Q85" s="133">
        <f>Hub!H40</f>
        <v>0</v>
      </c>
    </row>
    <row r="86" spans="2:17" x14ac:dyDescent="0.25">
      <c r="B86" s="10">
        <v>2</v>
      </c>
      <c r="C86" t="s">
        <v>192</v>
      </c>
      <c r="D86"/>
      <c r="E86"/>
      <c r="F86" s="282" t="e">
        <f>IF($Q86=0, Revenue_Build!$G$33*(1+$P86), Revenue_Build!$G$33*(1+$Q86))</f>
        <v>#DIV/0!</v>
      </c>
      <c r="G86" s="282" t="e">
        <f t="shared" ref="G86:O86" si="34">IF($Q86=0, F86*(1+$P86), F86*(1+$Q86))</f>
        <v>#DIV/0!</v>
      </c>
      <c r="H86" s="282" t="e">
        <f t="shared" si="34"/>
        <v>#DIV/0!</v>
      </c>
      <c r="I86" s="282" t="e">
        <f t="shared" si="34"/>
        <v>#DIV/0!</v>
      </c>
      <c r="J86" s="282" t="e">
        <f t="shared" si="34"/>
        <v>#DIV/0!</v>
      </c>
      <c r="K86" s="282" t="e">
        <f t="shared" si="34"/>
        <v>#DIV/0!</v>
      </c>
      <c r="L86" s="282" t="e">
        <f t="shared" si="34"/>
        <v>#DIV/0!</v>
      </c>
      <c r="M86" s="282" t="e">
        <f t="shared" si="34"/>
        <v>#DIV/0!</v>
      </c>
      <c r="N86" s="282" t="e">
        <f t="shared" si="34"/>
        <v>#DIV/0!</v>
      </c>
      <c r="O86" s="282" t="e">
        <f t="shared" si="34"/>
        <v>#DIV/0!</v>
      </c>
      <c r="P86" s="90" t="e">
        <f>IF(P85&gt;0, P85*SC_Manager!$J$22, IF(P85&lt;0, P85*SC_Manager!$J$23, 0))</f>
        <v>#DIV/0!</v>
      </c>
      <c r="Q86" s="90">
        <f>IF(Q85&gt;0, Q85*SC_Manager!$J$22, IF(Q85&lt;0, Q85*SC_Manager!$J$23, 0))</f>
        <v>0</v>
      </c>
    </row>
    <row r="87" spans="2:17" x14ac:dyDescent="0.25">
      <c r="B87" s="10">
        <v>3</v>
      </c>
      <c r="C87" t="s">
        <v>193</v>
      </c>
      <c r="D87"/>
      <c r="E87"/>
      <c r="F87" s="282" t="e">
        <f>IF($Q87=0, Revenue_Build!$G$33*(1+$P87), Revenue_Build!$G$33*(1+$Q87))</f>
        <v>#DIV/0!</v>
      </c>
      <c r="G87" s="282" t="e">
        <f t="shared" ref="G87:O87" si="35">IF($Q87=0, F87*(1+$P87), F87*(1+$Q87))</f>
        <v>#DIV/0!</v>
      </c>
      <c r="H87" s="282" t="e">
        <f t="shared" si="35"/>
        <v>#DIV/0!</v>
      </c>
      <c r="I87" s="282" t="e">
        <f t="shared" si="35"/>
        <v>#DIV/0!</v>
      </c>
      <c r="J87" s="282" t="e">
        <f t="shared" si="35"/>
        <v>#DIV/0!</v>
      </c>
      <c r="K87" s="282" t="e">
        <f t="shared" si="35"/>
        <v>#DIV/0!</v>
      </c>
      <c r="L87" s="282" t="e">
        <f t="shared" si="35"/>
        <v>#DIV/0!</v>
      </c>
      <c r="M87" s="282" t="e">
        <f>IF($Q87=0, L87*(1+$P87), L87*(1+$Q87))</f>
        <v>#DIV/0!</v>
      </c>
      <c r="N87" s="282" t="e">
        <f t="shared" si="35"/>
        <v>#DIV/0!</v>
      </c>
      <c r="O87" s="282" t="e">
        <f t="shared" si="35"/>
        <v>#DIV/0!</v>
      </c>
      <c r="P87" s="90" t="e">
        <f>IF(P85&gt;0, P85*SC_Manager!$K$22, IF(P85&lt;0, P85*SC_Manager!$K$23, 0))</f>
        <v>#DIV/0!</v>
      </c>
      <c r="Q87" s="90">
        <f>IF(Q85&gt;0, Q85*SC_Manager!$K$22, IF(Q85&lt;0, Q85*SC_Manager!$K$23, 0))</f>
        <v>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A2485-5797-4BBF-8BE3-7EF2A1A8AA0C}">
  <sheetPr codeName="Sheet10">
    <tabColor rgb="FF0070C0"/>
  </sheetPr>
  <dimension ref="A1"/>
  <sheetViews>
    <sheetView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C35DF-A8FA-4EDC-866E-21EC809CC90C}">
  <sheetPr codeName="Sheet11"/>
  <dimension ref="A2:Q43"/>
  <sheetViews>
    <sheetView topLeftCell="B1" zoomScale="104" workbookViewId="0">
      <selection activeCell="C18" sqref="C18:G18"/>
    </sheetView>
  </sheetViews>
  <sheetFormatPr defaultRowHeight="15" x14ac:dyDescent="0.25"/>
  <cols>
    <col min="1" max="1" width="8.85546875" style="75"/>
    <col min="2" max="2" width="37.5703125" style="75" bestFit="1" customWidth="1"/>
    <col min="3" max="3" width="13.28515625" style="75" bestFit="1" customWidth="1"/>
    <col min="4" max="6" width="11.85546875" style="75" bestFit="1" customWidth="1"/>
    <col min="7" max="7" width="12.140625" style="75" bestFit="1" customWidth="1"/>
    <col min="8" max="17" width="11.7109375" bestFit="1" customWidth="1"/>
  </cols>
  <sheetData>
    <row r="2" spans="2:17" x14ac:dyDescent="0.25">
      <c r="B2" s="93" t="s">
        <v>214</v>
      </c>
      <c r="C2" s="326" t="s">
        <v>85</v>
      </c>
      <c r="D2" s="326"/>
      <c r="E2" s="326"/>
      <c r="F2" s="326"/>
      <c r="G2" s="326"/>
      <c r="H2" s="328" t="s">
        <v>86</v>
      </c>
      <c r="I2" s="329"/>
      <c r="J2" s="329"/>
      <c r="K2" s="329"/>
      <c r="L2" s="329"/>
      <c r="M2" s="329"/>
      <c r="N2" s="329"/>
      <c r="O2" s="329"/>
      <c r="P2" s="329"/>
      <c r="Q2" s="329"/>
    </row>
    <row r="3" spans="2:17" x14ac:dyDescent="0.25">
      <c r="B3" s="327" t="s">
        <v>215</v>
      </c>
      <c r="C3" s="95">
        <f t="shared" ref="C3:Q3" ca="1" si="0">YEAR(C4)</f>
        <v>2019</v>
      </c>
      <c r="D3" s="95">
        <f t="shared" ca="1" si="0"/>
        <v>2020</v>
      </c>
      <c r="E3" s="95">
        <f t="shared" ca="1" si="0"/>
        <v>2021</v>
      </c>
      <c r="F3" s="95">
        <f t="shared" ca="1" si="0"/>
        <v>2022</v>
      </c>
      <c r="G3" s="95">
        <f t="shared" ca="1" si="0"/>
        <v>2023</v>
      </c>
      <c r="H3" s="102">
        <f t="shared" ca="1" si="0"/>
        <v>2024</v>
      </c>
      <c r="I3" s="102">
        <f t="shared" ca="1" si="0"/>
        <v>2025</v>
      </c>
      <c r="J3" s="102">
        <f t="shared" ca="1" si="0"/>
        <v>2026</v>
      </c>
      <c r="K3" s="102">
        <f t="shared" ca="1" si="0"/>
        <v>2027</v>
      </c>
      <c r="L3" s="102">
        <f t="shared" ca="1" si="0"/>
        <v>2028</v>
      </c>
      <c r="M3" s="102">
        <f t="shared" ca="1" si="0"/>
        <v>2029</v>
      </c>
      <c r="N3" s="102">
        <f t="shared" ca="1" si="0"/>
        <v>2030</v>
      </c>
      <c r="O3" s="102">
        <f t="shared" ca="1" si="0"/>
        <v>2031</v>
      </c>
      <c r="P3" s="102">
        <f t="shared" ca="1" si="0"/>
        <v>2032</v>
      </c>
      <c r="Q3" s="102">
        <f t="shared" ca="1" si="0"/>
        <v>2033</v>
      </c>
    </row>
    <row r="4" spans="2:17" x14ac:dyDescent="0.25">
      <c r="B4" s="327"/>
      <c r="C4" s="96">
        <f ca="1">EOMONTH(D4, -12)</f>
        <v>43830</v>
      </c>
      <c r="D4" s="96">
        <f ca="1">EOMONTH(E4, -12)</f>
        <v>44196</v>
      </c>
      <c r="E4" s="96">
        <f ca="1">EOMONTH(F4, -12)</f>
        <v>44561</v>
      </c>
      <c r="F4" s="96">
        <f ca="1">EOMONTH(G4, -12)</f>
        <v>44926</v>
      </c>
      <c r="G4" s="96">
        <f ca="1">DCF!C10</f>
        <v>45291</v>
      </c>
      <c r="H4" s="96">
        <f t="shared" ref="H4:Q4" ca="1" si="1">EOMONTH(G4,12)</f>
        <v>45657</v>
      </c>
      <c r="I4" s="96">
        <f t="shared" ca="1" si="1"/>
        <v>46022</v>
      </c>
      <c r="J4" s="96">
        <f t="shared" ca="1" si="1"/>
        <v>46387</v>
      </c>
      <c r="K4" s="96">
        <f t="shared" ca="1" si="1"/>
        <v>46752</v>
      </c>
      <c r="L4" s="96">
        <f t="shared" ca="1" si="1"/>
        <v>47118</v>
      </c>
      <c r="M4" s="96">
        <f t="shared" ca="1" si="1"/>
        <v>47483</v>
      </c>
      <c r="N4" s="96">
        <f t="shared" ca="1" si="1"/>
        <v>47848</v>
      </c>
      <c r="O4" s="96">
        <f t="shared" ca="1" si="1"/>
        <v>48213</v>
      </c>
      <c r="P4" s="96">
        <f t="shared" ca="1" si="1"/>
        <v>48579</v>
      </c>
      <c r="Q4" s="96">
        <f t="shared" ca="1" si="1"/>
        <v>48944</v>
      </c>
    </row>
    <row r="5" spans="2:17" x14ac:dyDescent="0.25">
      <c r="B5" s="94"/>
      <c r="C5" s="96"/>
      <c r="D5" s="96"/>
      <c r="E5" s="96"/>
      <c r="F5" s="96"/>
      <c r="G5" s="96"/>
    </row>
    <row r="6" spans="2:17" x14ac:dyDescent="0.25">
      <c r="B6" s="75" t="str">
        <f>IF(ISBLANK(Hub!D13), "Division 1 Revenue", Hub!D13 &amp; " Revenue")</f>
        <v>Division 1 Revenue</v>
      </c>
      <c r="C6" s="261"/>
      <c r="D6" s="261"/>
      <c r="E6" s="261"/>
      <c r="F6" s="261"/>
      <c r="G6" s="261"/>
      <c r="H6" s="260" t="e">
        <f>Time_Series!F11</f>
        <v>#DIV/0!</v>
      </c>
      <c r="I6" s="260" t="e">
        <f>Time_Series!G11</f>
        <v>#DIV/0!</v>
      </c>
      <c r="J6" s="260" t="e">
        <f>Time_Series!H11</f>
        <v>#DIV/0!</v>
      </c>
      <c r="K6" s="260" t="e">
        <f>Time_Series!I11</f>
        <v>#DIV/0!</v>
      </c>
      <c r="L6" s="260" t="e">
        <f>Time_Series!J11</f>
        <v>#DIV/0!</v>
      </c>
      <c r="M6" s="260" t="e">
        <f>Time_Series!K11</f>
        <v>#DIV/0!</v>
      </c>
      <c r="N6" s="260" t="e">
        <f>Time_Series!L11</f>
        <v>#DIV/0!</v>
      </c>
      <c r="O6" s="260" t="e">
        <f>Time_Series!M11</f>
        <v>#DIV/0!</v>
      </c>
      <c r="P6" s="260" t="e">
        <f>Time_Series!N11</f>
        <v>#DIV/0!</v>
      </c>
      <c r="Q6" s="260" t="e">
        <f>Time_Series!O11</f>
        <v>#DIV/0!</v>
      </c>
    </row>
    <row r="7" spans="2:17" x14ac:dyDescent="0.25">
      <c r="B7" s="98" t="s">
        <v>89</v>
      </c>
      <c r="C7" s="91" t="s">
        <v>90</v>
      </c>
      <c r="D7" s="99" t="e">
        <f t="shared" ref="D7:Q7" si="2">(D6-C6)/C6</f>
        <v>#DIV/0!</v>
      </c>
      <c r="E7" s="99" t="e">
        <f t="shared" si="2"/>
        <v>#DIV/0!</v>
      </c>
      <c r="F7" s="99" t="e">
        <f t="shared" si="2"/>
        <v>#DIV/0!</v>
      </c>
      <c r="G7" s="99" t="e">
        <f t="shared" si="2"/>
        <v>#DIV/0!</v>
      </c>
      <c r="H7" s="99" t="e">
        <f t="shared" si="2"/>
        <v>#DIV/0!</v>
      </c>
      <c r="I7" s="99" t="e">
        <f t="shared" si="2"/>
        <v>#DIV/0!</v>
      </c>
      <c r="J7" s="99" t="e">
        <f t="shared" si="2"/>
        <v>#DIV/0!</v>
      </c>
      <c r="K7" s="99" t="e">
        <f t="shared" si="2"/>
        <v>#DIV/0!</v>
      </c>
      <c r="L7" s="99" t="e">
        <f t="shared" si="2"/>
        <v>#DIV/0!</v>
      </c>
      <c r="M7" s="99" t="e">
        <f t="shared" si="2"/>
        <v>#DIV/0!</v>
      </c>
      <c r="N7" s="99" t="e">
        <f t="shared" si="2"/>
        <v>#DIV/0!</v>
      </c>
      <c r="O7" s="99" t="e">
        <f t="shared" si="2"/>
        <v>#DIV/0!</v>
      </c>
      <c r="P7" s="99" t="e">
        <f t="shared" si="2"/>
        <v>#DIV/0!</v>
      </c>
      <c r="Q7" s="99" t="e">
        <f t="shared" si="2"/>
        <v>#DIV/0!</v>
      </c>
    </row>
    <row r="9" spans="2:17" x14ac:dyDescent="0.25">
      <c r="B9" s="75" t="str">
        <f>IF(ISBLANK(Hub!D14), "Division 2 Revenue", Hub!D14 &amp; " Revenue")</f>
        <v>Division 2 Revenue</v>
      </c>
      <c r="C9" s="261"/>
      <c r="D9" s="261"/>
      <c r="E9" s="261"/>
      <c r="F9" s="261"/>
      <c r="G9" s="261"/>
      <c r="H9" s="260" t="e">
        <f>Time_Series!F19</f>
        <v>#DIV/0!</v>
      </c>
      <c r="I9" s="260" t="e">
        <f>Time_Series!G19</f>
        <v>#DIV/0!</v>
      </c>
      <c r="J9" s="260" t="e">
        <f>Time_Series!H19</f>
        <v>#DIV/0!</v>
      </c>
      <c r="K9" s="260" t="e">
        <f>Time_Series!I19</f>
        <v>#DIV/0!</v>
      </c>
      <c r="L9" s="260" t="e">
        <f>Time_Series!J19</f>
        <v>#DIV/0!</v>
      </c>
      <c r="M9" s="260" t="e">
        <f>Time_Series!K19</f>
        <v>#DIV/0!</v>
      </c>
      <c r="N9" s="260" t="e">
        <f>Time_Series!L19</f>
        <v>#DIV/0!</v>
      </c>
      <c r="O9" s="260" t="e">
        <f>Time_Series!M19</f>
        <v>#DIV/0!</v>
      </c>
      <c r="P9" s="260" t="e">
        <f>Time_Series!N19</f>
        <v>#DIV/0!</v>
      </c>
      <c r="Q9" s="260" t="e">
        <f>Time_Series!O19</f>
        <v>#DIV/0!</v>
      </c>
    </row>
    <row r="10" spans="2:17" x14ac:dyDescent="0.25">
      <c r="B10" s="98" t="s">
        <v>89</v>
      </c>
      <c r="C10" s="91" t="s">
        <v>90</v>
      </c>
      <c r="D10" s="99" t="e">
        <f t="shared" ref="D10:Q10" si="3">(D9-C9)/C9</f>
        <v>#DIV/0!</v>
      </c>
      <c r="E10" s="99" t="e">
        <f t="shared" si="3"/>
        <v>#DIV/0!</v>
      </c>
      <c r="F10" s="99" t="e">
        <f t="shared" si="3"/>
        <v>#DIV/0!</v>
      </c>
      <c r="G10" s="99" t="e">
        <f t="shared" si="3"/>
        <v>#DIV/0!</v>
      </c>
      <c r="H10" s="99" t="e">
        <f t="shared" si="3"/>
        <v>#DIV/0!</v>
      </c>
      <c r="I10" s="99" t="e">
        <f t="shared" si="3"/>
        <v>#DIV/0!</v>
      </c>
      <c r="J10" s="99" t="e">
        <f t="shared" si="3"/>
        <v>#DIV/0!</v>
      </c>
      <c r="K10" s="99" t="e">
        <f t="shared" si="3"/>
        <v>#DIV/0!</v>
      </c>
      <c r="L10" s="99" t="e">
        <f t="shared" si="3"/>
        <v>#DIV/0!</v>
      </c>
      <c r="M10" s="99" t="e">
        <f t="shared" si="3"/>
        <v>#DIV/0!</v>
      </c>
      <c r="N10" s="99" t="e">
        <f t="shared" si="3"/>
        <v>#DIV/0!</v>
      </c>
      <c r="O10" s="99" t="e">
        <f t="shared" si="3"/>
        <v>#DIV/0!</v>
      </c>
      <c r="P10" s="99" t="e">
        <f t="shared" si="3"/>
        <v>#DIV/0!</v>
      </c>
      <c r="Q10" s="99" t="e">
        <f t="shared" si="3"/>
        <v>#DIV/0!</v>
      </c>
    </row>
    <row r="11" spans="2:17" x14ac:dyDescent="0.25">
      <c r="B11" s="98"/>
    </row>
    <row r="12" spans="2:17" x14ac:dyDescent="0.25">
      <c r="B12" s="75" t="str">
        <f>IF(ISBLANK(Hub!D15), "Division 3 Revenue", Hub!D15 &amp; " Revenue")</f>
        <v>Division 3 Revenue</v>
      </c>
      <c r="C12" s="261"/>
      <c r="D12" s="261"/>
      <c r="E12" s="261"/>
      <c r="F12" s="261"/>
      <c r="G12" s="261"/>
      <c r="H12" s="260" t="e">
        <f>Time_Series!F27</f>
        <v>#DIV/0!</v>
      </c>
      <c r="I12" s="260" t="e">
        <f>Time_Series!G27</f>
        <v>#DIV/0!</v>
      </c>
      <c r="J12" s="260" t="e">
        <f>Time_Series!H27</f>
        <v>#DIV/0!</v>
      </c>
      <c r="K12" s="260" t="e">
        <f>Time_Series!I27</f>
        <v>#DIV/0!</v>
      </c>
      <c r="L12" s="260" t="e">
        <f>Time_Series!J27</f>
        <v>#DIV/0!</v>
      </c>
      <c r="M12" s="260" t="e">
        <f>Time_Series!K27</f>
        <v>#DIV/0!</v>
      </c>
      <c r="N12" s="260" t="e">
        <f>Time_Series!L27</f>
        <v>#DIV/0!</v>
      </c>
      <c r="O12" s="260" t="e">
        <f>Time_Series!M27</f>
        <v>#DIV/0!</v>
      </c>
      <c r="P12" s="260" t="e">
        <f>Time_Series!N27</f>
        <v>#DIV/0!</v>
      </c>
      <c r="Q12" s="260" t="e">
        <f>Time_Series!O27</f>
        <v>#DIV/0!</v>
      </c>
    </row>
    <row r="13" spans="2:17" x14ac:dyDescent="0.25">
      <c r="B13" s="98" t="s">
        <v>89</v>
      </c>
      <c r="C13" s="91" t="s">
        <v>90</v>
      </c>
      <c r="D13" s="99" t="e">
        <f t="shared" ref="D13:Q13" si="4">(D12-C12)/C12</f>
        <v>#DIV/0!</v>
      </c>
      <c r="E13" s="99" t="e">
        <f t="shared" si="4"/>
        <v>#DIV/0!</v>
      </c>
      <c r="F13" s="99" t="e">
        <f t="shared" si="4"/>
        <v>#DIV/0!</v>
      </c>
      <c r="G13" s="99" t="e">
        <f t="shared" si="4"/>
        <v>#DIV/0!</v>
      </c>
      <c r="H13" s="99" t="e">
        <f t="shared" si="4"/>
        <v>#DIV/0!</v>
      </c>
      <c r="I13" s="99" t="e">
        <f t="shared" si="4"/>
        <v>#DIV/0!</v>
      </c>
      <c r="J13" s="99" t="e">
        <f t="shared" si="4"/>
        <v>#DIV/0!</v>
      </c>
      <c r="K13" s="99" t="e">
        <f t="shared" si="4"/>
        <v>#DIV/0!</v>
      </c>
      <c r="L13" s="99" t="e">
        <f t="shared" si="4"/>
        <v>#DIV/0!</v>
      </c>
      <c r="M13" s="99" t="e">
        <f t="shared" si="4"/>
        <v>#DIV/0!</v>
      </c>
      <c r="N13" s="99" t="e">
        <f t="shared" si="4"/>
        <v>#DIV/0!</v>
      </c>
      <c r="O13" s="99" t="e">
        <f t="shared" si="4"/>
        <v>#DIV/0!</v>
      </c>
      <c r="P13" s="99" t="e">
        <f t="shared" si="4"/>
        <v>#DIV/0!</v>
      </c>
      <c r="Q13" s="99" t="e">
        <f t="shared" si="4"/>
        <v>#DIV/0!</v>
      </c>
    </row>
    <row r="15" spans="2:17" x14ac:dyDescent="0.25">
      <c r="B15" s="75" t="str">
        <f>IF(ISBLANK(Hub!D16), "Division 4 Revenue", Hub!D16 &amp; " Revenue")</f>
        <v>Division 4 Revenue</v>
      </c>
      <c r="C15" s="261"/>
      <c r="D15" s="261"/>
      <c r="E15" s="261"/>
      <c r="F15" s="261"/>
      <c r="G15" s="261"/>
      <c r="H15" s="260" t="e">
        <f>Time_Series!F35</f>
        <v>#DIV/0!</v>
      </c>
      <c r="I15" s="260" t="e">
        <f>Time_Series!G35</f>
        <v>#DIV/0!</v>
      </c>
      <c r="J15" s="260" t="e">
        <f>Time_Series!H35</f>
        <v>#DIV/0!</v>
      </c>
      <c r="K15" s="260" t="e">
        <f>Time_Series!I35</f>
        <v>#DIV/0!</v>
      </c>
      <c r="L15" s="260" t="e">
        <f>Time_Series!J35</f>
        <v>#DIV/0!</v>
      </c>
      <c r="M15" s="260" t="e">
        <f>Time_Series!K35</f>
        <v>#DIV/0!</v>
      </c>
      <c r="N15" s="260" t="e">
        <f>Time_Series!L35</f>
        <v>#DIV/0!</v>
      </c>
      <c r="O15" s="260" t="e">
        <f>Time_Series!M35</f>
        <v>#DIV/0!</v>
      </c>
      <c r="P15" s="260" t="e">
        <f>Time_Series!N35</f>
        <v>#DIV/0!</v>
      </c>
      <c r="Q15" s="260" t="e">
        <f>Time_Series!O35</f>
        <v>#DIV/0!</v>
      </c>
    </row>
    <row r="16" spans="2:17" x14ac:dyDescent="0.25">
      <c r="B16" s="98" t="s">
        <v>89</v>
      </c>
      <c r="C16" s="91" t="s">
        <v>90</v>
      </c>
      <c r="D16" s="99" t="e">
        <f t="shared" ref="D16:Q16" si="5">(D15-C15)/C15</f>
        <v>#DIV/0!</v>
      </c>
      <c r="E16" s="99" t="e">
        <f t="shared" si="5"/>
        <v>#DIV/0!</v>
      </c>
      <c r="F16" s="99" t="e">
        <f t="shared" si="5"/>
        <v>#DIV/0!</v>
      </c>
      <c r="G16" s="99" t="e">
        <f t="shared" si="5"/>
        <v>#DIV/0!</v>
      </c>
      <c r="H16" s="99" t="e">
        <f t="shared" si="5"/>
        <v>#DIV/0!</v>
      </c>
      <c r="I16" s="99" t="e">
        <f t="shared" si="5"/>
        <v>#DIV/0!</v>
      </c>
      <c r="J16" s="99" t="e">
        <f t="shared" si="5"/>
        <v>#DIV/0!</v>
      </c>
      <c r="K16" s="99" t="e">
        <f t="shared" si="5"/>
        <v>#DIV/0!</v>
      </c>
      <c r="L16" s="99" t="e">
        <f t="shared" si="5"/>
        <v>#DIV/0!</v>
      </c>
      <c r="M16" s="99" t="e">
        <f t="shared" si="5"/>
        <v>#DIV/0!</v>
      </c>
      <c r="N16" s="99" t="e">
        <f t="shared" si="5"/>
        <v>#DIV/0!</v>
      </c>
      <c r="O16" s="99" t="e">
        <f t="shared" si="5"/>
        <v>#DIV/0!</v>
      </c>
      <c r="P16" s="99" t="e">
        <f t="shared" si="5"/>
        <v>#DIV/0!</v>
      </c>
      <c r="Q16" s="99" t="e">
        <f t="shared" si="5"/>
        <v>#DIV/0!</v>
      </c>
    </row>
    <row r="17" spans="2:17" x14ac:dyDescent="0.25">
      <c r="B17" s="98"/>
    </row>
    <row r="18" spans="2:17" x14ac:dyDescent="0.25">
      <c r="B18" s="75" t="str">
        <f>IF(ISBLANK(Hub!D17), "Division 5 Revenue", Hub!D17 &amp; " Revenue")</f>
        <v>Division 5 Revenue</v>
      </c>
      <c r="C18" s="261"/>
      <c r="D18" s="261"/>
      <c r="E18" s="261"/>
      <c r="F18" s="261"/>
      <c r="G18" s="261"/>
      <c r="H18" s="260" t="e">
        <f>Time_Series!F43</f>
        <v>#DIV/0!</v>
      </c>
      <c r="I18" s="260" t="e">
        <f>Time_Series!G43</f>
        <v>#DIV/0!</v>
      </c>
      <c r="J18" s="260" t="e">
        <f>Time_Series!H43</f>
        <v>#DIV/0!</v>
      </c>
      <c r="K18" s="260" t="e">
        <f>Time_Series!I43</f>
        <v>#DIV/0!</v>
      </c>
      <c r="L18" s="260" t="e">
        <f>Time_Series!J43</f>
        <v>#DIV/0!</v>
      </c>
      <c r="M18" s="260" t="e">
        <f>Time_Series!K43</f>
        <v>#DIV/0!</v>
      </c>
      <c r="N18" s="260" t="e">
        <f>Time_Series!L43</f>
        <v>#DIV/0!</v>
      </c>
      <c r="O18" s="260" t="e">
        <f>Time_Series!M43</f>
        <v>#DIV/0!</v>
      </c>
      <c r="P18" s="260" t="e">
        <f>Time_Series!N43</f>
        <v>#DIV/0!</v>
      </c>
      <c r="Q18" s="260" t="e">
        <f>Time_Series!O43</f>
        <v>#DIV/0!</v>
      </c>
    </row>
    <row r="19" spans="2:17" x14ac:dyDescent="0.25">
      <c r="B19" s="98" t="s">
        <v>89</v>
      </c>
      <c r="C19" s="91" t="s">
        <v>90</v>
      </c>
      <c r="D19" s="99" t="e">
        <f t="shared" ref="D19:Q19" si="6">(D18-C18)/C18</f>
        <v>#DIV/0!</v>
      </c>
      <c r="E19" s="99" t="e">
        <f t="shared" si="6"/>
        <v>#DIV/0!</v>
      </c>
      <c r="F19" s="99" t="e">
        <f t="shared" si="6"/>
        <v>#DIV/0!</v>
      </c>
      <c r="G19" s="99" t="e">
        <f t="shared" si="6"/>
        <v>#DIV/0!</v>
      </c>
      <c r="H19" s="99" t="e">
        <f t="shared" si="6"/>
        <v>#DIV/0!</v>
      </c>
      <c r="I19" s="99" t="e">
        <f t="shared" si="6"/>
        <v>#DIV/0!</v>
      </c>
      <c r="J19" s="99" t="e">
        <f t="shared" si="6"/>
        <v>#DIV/0!</v>
      </c>
      <c r="K19" s="99" t="e">
        <f t="shared" si="6"/>
        <v>#DIV/0!</v>
      </c>
      <c r="L19" s="99" t="e">
        <f t="shared" si="6"/>
        <v>#DIV/0!</v>
      </c>
      <c r="M19" s="99" t="e">
        <f t="shared" si="6"/>
        <v>#DIV/0!</v>
      </c>
      <c r="N19" s="99" t="e">
        <f t="shared" si="6"/>
        <v>#DIV/0!</v>
      </c>
      <c r="O19" s="99" t="e">
        <f t="shared" si="6"/>
        <v>#DIV/0!</v>
      </c>
      <c r="P19" s="99" t="e">
        <f t="shared" si="6"/>
        <v>#DIV/0!</v>
      </c>
      <c r="Q19" s="99" t="e">
        <f t="shared" si="6"/>
        <v>#DIV/0!</v>
      </c>
    </row>
    <row r="20" spans="2:17" x14ac:dyDescent="0.25">
      <c r="B20" s="98"/>
    </row>
    <row r="21" spans="2:17" x14ac:dyDescent="0.25">
      <c r="B21" s="75" t="str">
        <f>IF(ISBLANK(Hub!H13), "Division 6 Revenue", Hub!H13 &amp; " Revenue")</f>
        <v>Division 6 Revenue</v>
      </c>
      <c r="C21" s="261"/>
      <c r="D21" s="261"/>
      <c r="E21" s="261"/>
      <c r="F21" s="261"/>
      <c r="G21" s="261"/>
      <c r="H21" s="260" t="e">
        <f>Time_Series!F51</f>
        <v>#DIV/0!</v>
      </c>
      <c r="I21" s="260" t="e">
        <f>Time_Series!G51</f>
        <v>#DIV/0!</v>
      </c>
      <c r="J21" s="260" t="e">
        <f>Time_Series!H51</f>
        <v>#DIV/0!</v>
      </c>
      <c r="K21" s="260" t="e">
        <f>Time_Series!I51</f>
        <v>#DIV/0!</v>
      </c>
      <c r="L21" s="260" t="e">
        <f>Time_Series!J51</f>
        <v>#DIV/0!</v>
      </c>
      <c r="M21" s="260" t="e">
        <f>Time_Series!K51</f>
        <v>#DIV/0!</v>
      </c>
      <c r="N21" s="260" t="e">
        <f>Time_Series!L51</f>
        <v>#DIV/0!</v>
      </c>
      <c r="O21" s="260" t="e">
        <f>Time_Series!M51</f>
        <v>#DIV/0!</v>
      </c>
      <c r="P21" s="260" t="e">
        <f>Time_Series!N51</f>
        <v>#DIV/0!</v>
      </c>
      <c r="Q21" s="260" t="e">
        <f>Time_Series!O51</f>
        <v>#DIV/0!</v>
      </c>
    </row>
    <row r="22" spans="2:17" x14ac:dyDescent="0.25">
      <c r="B22" s="98" t="s">
        <v>89</v>
      </c>
      <c r="C22" s="91" t="s">
        <v>90</v>
      </c>
      <c r="D22" s="99" t="e">
        <f t="shared" ref="D22:Q22" si="7">(D21-C21)/C21</f>
        <v>#DIV/0!</v>
      </c>
      <c r="E22" s="99" t="e">
        <f t="shared" si="7"/>
        <v>#DIV/0!</v>
      </c>
      <c r="F22" s="99" t="e">
        <f t="shared" si="7"/>
        <v>#DIV/0!</v>
      </c>
      <c r="G22" s="99" t="e">
        <f t="shared" si="7"/>
        <v>#DIV/0!</v>
      </c>
      <c r="H22" s="99" t="e">
        <f t="shared" si="7"/>
        <v>#DIV/0!</v>
      </c>
      <c r="I22" s="99" t="e">
        <f t="shared" si="7"/>
        <v>#DIV/0!</v>
      </c>
      <c r="J22" s="99" t="e">
        <f t="shared" si="7"/>
        <v>#DIV/0!</v>
      </c>
      <c r="K22" s="99" t="e">
        <f t="shared" si="7"/>
        <v>#DIV/0!</v>
      </c>
      <c r="L22" s="99" t="e">
        <f t="shared" si="7"/>
        <v>#DIV/0!</v>
      </c>
      <c r="M22" s="99" t="e">
        <f t="shared" si="7"/>
        <v>#DIV/0!</v>
      </c>
      <c r="N22" s="99" t="e">
        <f t="shared" si="7"/>
        <v>#DIV/0!</v>
      </c>
      <c r="O22" s="99" t="e">
        <f t="shared" si="7"/>
        <v>#DIV/0!</v>
      </c>
      <c r="P22" s="99" t="e">
        <f t="shared" si="7"/>
        <v>#DIV/0!</v>
      </c>
      <c r="Q22" s="99" t="e">
        <f t="shared" si="7"/>
        <v>#DIV/0!</v>
      </c>
    </row>
    <row r="23" spans="2:17" x14ac:dyDescent="0.25">
      <c r="C23" s="100"/>
      <c r="D23" s="100"/>
      <c r="E23" s="100"/>
      <c r="F23" s="100"/>
      <c r="G23" s="100"/>
    </row>
    <row r="24" spans="2:17" x14ac:dyDescent="0.25">
      <c r="B24" s="75" t="str">
        <f>IF(ISBLANK(Hub!H14), "Division 7 Revenue", Hub!H14 &amp; " Revenue")</f>
        <v>Division 7 Revenue</v>
      </c>
      <c r="C24" s="261"/>
      <c r="D24" s="261"/>
      <c r="E24" s="261"/>
      <c r="F24" s="261"/>
      <c r="G24" s="261"/>
      <c r="H24" s="260" t="e">
        <f>Time_Series!F59</f>
        <v>#DIV/0!</v>
      </c>
      <c r="I24" s="260" t="e">
        <f>Time_Series!G59</f>
        <v>#DIV/0!</v>
      </c>
      <c r="J24" s="260" t="e">
        <f>Time_Series!H59</f>
        <v>#DIV/0!</v>
      </c>
      <c r="K24" s="260" t="e">
        <f>Time_Series!I59</f>
        <v>#DIV/0!</v>
      </c>
      <c r="L24" s="260" t="e">
        <f>Time_Series!J59</f>
        <v>#DIV/0!</v>
      </c>
      <c r="M24" s="260" t="e">
        <f>Time_Series!K59</f>
        <v>#DIV/0!</v>
      </c>
      <c r="N24" s="260" t="e">
        <f>Time_Series!L59</f>
        <v>#DIV/0!</v>
      </c>
      <c r="O24" s="260" t="e">
        <f>Time_Series!M59</f>
        <v>#DIV/0!</v>
      </c>
      <c r="P24" s="260" t="e">
        <f>Time_Series!N59</f>
        <v>#DIV/0!</v>
      </c>
      <c r="Q24" s="260" t="e">
        <f>Time_Series!O59</f>
        <v>#DIV/0!</v>
      </c>
    </row>
    <row r="25" spans="2:17" x14ac:dyDescent="0.25">
      <c r="B25" s="98" t="s">
        <v>89</v>
      </c>
      <c r="C25" s="91" t="s">
        <v>90</v>
      </c>
      <c r="D25" s="99" t="e">
        <f t="shared" ref="D25:Q25" si="8">(D24-C24)/C24</f>
        <v>#DIV/0!</v>
      </c>
      <c r="E25" s="99" t="e">
        <f t="shared" si="8"/>
        <v>#DIV/0!</v>
      </c>
      <c r="F25" s="99" t="e">
        <f t="shared" si="8"/>
        <v>#DIV/0!</v>
      </c>
      <c r="G25" s="99" t="e">
        <f t="shared" si="8"/>
        <v>#DIV/0!</v>
      </c>
      <c r="H25" s="99" t="e">
        <f t="shared" si="8"/>
        <v>#DIV/0!</v>
      </c>
      <c r="I25" s="99" t="e">
        <f t="shared" si="8"/>
        <v>#DIV/0!</v>
      </c>
      <c r="J25" s="99" t="e">
        <f t="shared" si="8"/>
        <v>#DIV/0!</v>
      </c>
      <c r="K25" s="99" t="e">
        <f t="shared" si="8"/>
        <v>#DIV/0!</v>
      </c>
      <c r="L25" s="99" t="e">
        <f t="shared" si="8"/>
        <v>#DIV/0!</v>
      </c>
      <c r="M25" s="99" t="e">
        <f t="shared" si="8"/>
        <v>#DIV/0!</v>
      </c>
      <c r="N25" s="99" t="e">
        <f t="shared" si="8"/>
        <v>#DIV/0!</v>
      </c>
      <c r="O25" s="99" t="e">
        <f t="shared" si="8"/>
        <v>#DIV/0!</v>
      </c>
      <c r="P25" s="99" t="e">
        <f t="shared" si="8"/>
        <v>#DIV/0!</v>
      </c>
      <c r="Q25" s="99" t="e">
        <f t="shared" si="8"/>
        <v>#DIV/0!</v>
      </c>
    </row>
    <row r="26" spans="2:17" x14ac:dyDescent="0.25">
      <c r="C26" s="100"/>
      <c r="D26" s="100"/>
      <c r="E26" s="100"/>
      <c r="F26" s="100"/>
      <c r="G26" s="100"/>
    </row>
    <row r="27" spans="2:17" x14ac:dyDescent="0.25">
      <c r="B27" s="75" t="str">
        <f>IF(ISBLANK(Hub!H15), "Division 8 Revenue", Hub!H15 &amp; " Revenue")</f>
        <v>Division 8 Revenue</v>
      </c>
      <c r="C27" s="261"/>
      <c r="D27" s="261"/>
      <c r="E27" s="261"/>
      <c r="F27" s="261"/>
      <c r="G27" s="261"/>
      <c r="H27" s="260" t="e">
        <f>Time_Series!F67</f>
        <v>#DIV/0!</v>
      </c>
      <c r="I27" s="260" t="e">
        <f>Time_Series!G67</f>
        <v>#DIV/0!</v>
      </c>
      <c r="J27" s="260" t="e">
        <f>Time_Series!H67</f>
        <v>#DIV/0!</v>
      </c>
      <c r="K27" s="260" t="e">
        <f>Time_Series!I67</f>
        <v>#DIV/0!</v>
      </c>
      <c r="L27" s="260" t="e">
        <f>Time_Series!J67</f>
        <v>#DIV/0!</v>
      </c>
      <c r="M27" s="260" t="e">
        <f>Time_Series!K67</f>
        <v>#DIV/0!</v>
      </c>
      <c r="N27" s="260" t="e">
        <f>Time_Series!L67</f>
        <v>#DIV/0!</v>
      </c>
      <c r="O27" s="260" t="e">
        <f>Time_Series!M67</f>
        <v>#DIV/0!</v>
      </c>
      <c r="P27" s="260" t="e">
        <f>Time_Series!N67</f>
        <v>#DIV/0!</v>
      </c>
      <c r="Q27" s="260" t="e">
        <f>Time_Series!O67</f>
        <v>#DIV/0!</v>
      </c>
    </row>
    <row r="28" spans="2:17" x14ac:dyDescent="0.25">
      <c r="B28" s="98" t="s">
        <v>89</v>
      </c>
      <c r="C28" s="91" t="s">
        <v>90</v>
      </c>
      <c r="D28" s="99" t="e">
        <f t="shared" ref="D28:Q28" si="9">(D27-C27)/C27</f>
        <v>#DIV/0!</v>
      </c>
      <c r="E28" s="99" t="e">
        <f t="shared" si="9"/>
        <v>#DIV/0!</v>
      </c>
      <c r="F28" s="99" t="e">
        <f t="shared" si="9"/>
        <v>#DIV/0!</v>
      </c>
      <c r="G28" s="99" t="e">
        <f t="shared" si="9"/>
        <v>#DIV/0!</v>
      </c>
      <c r="H28" s="99" t="e">
        <f t="shared" si="9"/>
        <v>#DIV/0!</v>
      </c>
      <c r="I28" s="99" t="e">
        <f t="shared" si="9"/>
        <v>#DIV/0!</v>
      </c>
      <c r="J28" s="99" t="e">
        <f t="shared" si="9"/>
        <v>#DIV/0!</v>
      </c>
      <c r="K28" s="99" t="e">
        <f t="shared" si="9"/>
        <v>#DIV/0!</v>
      </c>
      <c r="L28" s="99" t="e">
        <f t="shared" si="9"/>
        <v>#DIV/0!</v>
      </c>
      <c r="M28" s="99" t="e">
        <f t="shared" si="9"/>
        <v>#DIV/0!</v>
      </c>
      <c r="N28" s="99" t="e">
        <f t="shared" si="9"/>
        <v>#DIV/0!</v>
      </c>
      <c r="O28" s="99" t="e">
        <f t="shared" si="9"/>
        <v>#DIV/0!</v>
      </c>
      <c r="P28" s="99" t="e">
        <f t="shared" si="9"/>
        <v>#DIV/0!</v>
      </c>
      <c r="Q28" s="99" t="e">
        <f t="shared" si="9"/>
        <v>#DIV/0!</v>
      </c>
    </row>
    <row r="29" spans="2:17" x14ac:dyDescent="0.25">
      <c r="C29" s="100"/>
      <c r="D29" s="100"/>
      <c r="E29" s="100"/>
      <c r="F29" s="100"/>
      <c r="G29" s="100"/>
    </row>
    <row r="30" spans="2:17" x14ac:dyDescent="0.25">
      <c r="B30" s="75" t="str">
        <f>IF(ISBLANK(Hub!H16), "Division 9 Revenue", Hub!H16 &amp; " Revenue")</f>
        <v>Division 9 Revenue</v>
      </c>
      <c r="C30" s="261"/>
      <c r="D30" s="261"/>
      <c r="E30" s="261"/>
      <c r="F30" s="261"/>
      <c r="G30" s="261"/>
      <c r="H30" s="260" t="e">
        <f>Time_Series!F75</f>
        <v>#DIV/0!</v>
      </c>
      <c r="I30" s="260" t="e">
        <f>Time_Series!G75</f>
        <v>#DIV/0!</v>
      </c>
      <c r="J30" s="260" t="e">
        <f>Time_Series!H75</f>
        <v>#DIV/0!</v>
      </c>
      <c r="K30" s="260" t="e">
        <f>Time_Series!I75</f>
        <v>#DIV/0!</v>
      </c>
      <c r="L30" s="260" t="e">
        <f>Time_Series!J75</f>
        <v>#DIV/0!</v>
      </c>
      <c r="M30" s="260" t="e">
        <f>Time_Series!K75</f>
        <v>#DIV/0!</v>
      </c>
      <c r="N30" s="260" t="e">
        <f>Time_Series!L75</f>
        <v>#DIV/0!</v>
      </c>
      <c r="O30" s="260" t="e">
        <f>Time_Series!M75</f>
        <v>#DIV/0!</v>
      </c>
      <c r="P30" s="260" t="e">
        <f>Time_Series!N75</f>
        <v>#DIV/0!</v>
      </c>
      <c r="Q30" s="260" t="e">
        <f>Time_Series!O75</f>
        <v>#DIV/0!</v>
      </c>
    </row>
    <row r="31" spans="2:17" x14ac:dyDescent="0.25">
      <c r="B31" s="98" t="s">
        <v>89</v>
      </c>
      <c r="C31" s="91" t="s">
        <v>90</v>
      </c>
      <c r="D31" s="99" t="e">
        <f t="shared" ref="D31:Q31" si="10">(D30-C30)/C30</f>
        <v>#DIV/0!</v>
      </c>
      <c r="E31" s="99" t="e">
        <f t="shared" si="10"/>
        <v>#DIV/0!</v>
      </c>
      <c r="F31" s="99" t="e">
        <f t="shared" si="10"/>
        <v>#DIV/0!</v>
      </c>
      <c r="G31" s="99" t="e">
        <f t="shared" si="10"/>
        <v>#DIV/0!</v>
      </c>
      <c r="H31" s="99" t="e">
        <f t="shared" si="10"/>
        <v>#DIV/0!</v>
      </c>
      <c r="I31" s="99" t="e">
        <f t="shared" si="10"/>
        <v>#DIV/0!</v>
      </c>
      <c r="J31" s="99" t="e">
        <f t="shared" si="10"/>
        <v>#DIV/0!</v>
      </c>
      <c r="K31" s="99" t="e">
        <f t="shared" si="10"/>
        <v>#DIV/0!</v>
      </c>
      <c r="L31" s="99" t="e">
        <f t="shared" si="10"/>
        <v>#DIV/0!</v>
      </c>
      <c r="M31" s="99" t="e">
        <f t="shared" si="10"/>
        <v>#DIV/0!</v>
      </c>
      <c r="N31" s="99" t="e">
        <f t="shared" si="10"/>
        <v>#DIV/0!</v>
      </c>
      <c r="O31" s="99" t="e">
        <f t="shared" si="10"/>
        <v>#DIV/0!</v>
      </c>
      <c r="P31" s="99" t="e">
        <f t="shared" si="10"/>
        <v>#DIV/0!</v>
      </c>
      <c r="Q31" s="99" t="e">
        <f t="shared" si="10"/>
        <v>#DIV/0!</v>
      </c>
    </row>
    <row r="32" spans="2:17" x14ac:dyDescent="0.25">
      <c r="B32" s="97"/>
      <c r="C32" s="101"/>
      <c r="D32" s="101"/>
      <c r="E32" s="101"/>
      <c r="F32" s="101"/>
      <c r="G32" s="101"/>
    </row>
    <row r="33" spans="2:17" x14ac:dyDescent="0.25">
      <c r="B33" s="75" t="str">
        <f>IF(ISBLANK(Hub!H17), "Division 10 Revenue", Hub!H17 &amp; " Revenue")</f>
        <v>Division 10 Revenue</v>
      </c>
      <c r="C33" s="261"/>
      <c r="D33" s="261"/>
      <c r="E33" s="261"/>
      <c r="F33" s="261"/>
      <c r="G33" s="261"/>
      <c r="H33" s="260" t="e">
        <f>Time_Series!F83</f>
        <v>#DIV/0!</v>
      </c>
      <c r="I33" s="260" t="e">
        <f>Time_Series!G83</f>
        <v>#DIV/0!</v>
      </c>
      <c r="J33" s="260" t="e">
        <f>Time_Series!H83</f>
        <v>#DIV/0!</v>
      </c>
      <c r="K33" s="260" t="e">
        <f>Time_Series!I83</f>
        <v>#DIV/0!</v>
      </c>
      <c r="L33" s="260" t="e">
        <f>Time_Series!J83</f>
        <v>#DIV/0!</v>
      </c>
      <c r="M33" s="260" t="e">
        <f>Time_Series!K83</f>
        <v>#DIV/0!</v>
      </c>
      <c r="N33" s="260" t="e">
        <f>Time_Series!L83</f>
        <v>#DIV/0!</v>
      </c>
      <c r="O33" s="260" t="e">
        <f>Time_Series!M83</f>
        <v>#DIV/0!</v>
      </c>
      <c r="P33" s="260" t="e">
        <f>Time_Series!N83</f>
        <v>#DIV/0!</v>
      </c>
      <c r="Q33" s="260" t="e">
        <f>Time_Series!O83</f>
        <v>#DIV/0!</v>
      </c>
    </row>
    <row r="34" spans="2:17" x14ac:dyDescent="0.25">
      <c r="B34" s="98" t="s">
        <v>89</v>
      </c>
      <c r="C34" s="91" t="s">
        <v>90</v>
      </c>
      <c r="D34" s="99" t="e">
        <f t="shared" ref="D34:Q34" si="11">(D33-C33)/C33</f>
        <v>#DIV/0!</v>
      </c>
      <c r="E34" s="99" t="e">
        <f t="shared" si="11"/>
        <v>#DIV/0!</v>
      </c>
      <c r="F34" s="99" t="e">
        <f t="shared" si="11"/>
        <v>#DIV/0!</v>
      </c>
      <c r="G34" s="99" t="e">
        <f t="shared" si="11"/>
        <v>#DIV/0!</v>
      </c>
      <c r="H34" s="99" t="e">
        <f>(H33-G33)/G33</f>
        <v>#DIV/0!</v>
      </c>
      <c r="I34" s="99" t="e">
        <f t="shared" si="11"/>
        <v>#DIV/0!</v>
      </c>
      <c r="J34" s="99" t="e">
        <f t="shared" si="11"/>
        <v>#DIV/0!</v>
      </c>
      <c r="K34" s="99" t="e">
        <f t="shared" si="11"/>
        <v>#DIV/0!</v>
      </c>
      <c r="L34" s="99" t="e">
        <f t="shared" si="11"/>
        <v>#DIV/0!</v>
      </c>
      <c r="M34" s="99" t="e">
        <f t="shared" si="11"/>
        <v>#DIV/0!</v>
      </c>
      <c r="N34" s="99" t="e">
        <f t="shared" si="11"/>
        <v>#DIV/0!</v>
      </c>
      <c r="O34" s="99" t="e">
        <f t="shared" si="11"/>
        <v>#DIV/0!</v>
      </c>
      <c r="P34" s="99" t="e">
        <f t="shared" si="11"/>
        <v>#DIV/0!</v>
      </c>
      <c r="Q34" s="99" t="e">
        <f t="shared" si="11"/>
        <v>#DIV/0!</v>
      </c>
    </row>
    <row r="36" spans="2:17" x14ac:dyDescent="0.25">
      <c r="B36" s="97" t="s">
        <v>216</v>
      </c>
      <c r="C36" s="317" cm="1">
        <f t="array" ref="C36">SUM(IF(MOD(ROW(C6:C34)-ROW(C6),3)=0, IFERROR(C6:C34, 0)))</f>
        <v>0</v>
      </c>
      <c r="D36" s="317" cm="1">
        <f t="array" ref="D36">SUM(IF(MOD(ROW(D6:D34)-ROW(D6),3)=0, IFERROR(D6:D34, 0)))</f>
        <v>0</v>
      </c>
      <c r="E36" s="317" cm="1">
        <f t="array" ref="E36">SUM(IF(MOD(ROW(E6:E34)-ROW(E6),3)=0, IFERROR(E6:E34, 0)))</f>
        <v>0</v>
      </c>
      <c r="F36" s="317" cm="1">
        <f t="array" ref="F36">SUM(IF(MOD(ROW(F6:F34)-ROW(F6),3)=0, IFERROR(F6:F34, 0)))</f>
        <v>0</v>
      </c>
      <c r="G36" s="317" cm="1">
        <f t="array" ref="G36">SUM(IF(MOD(ROW(G6:G34)-ROW(G6),3)=0, IFERROR(G6:G34, 0)))</f>
        <v>0</v>
      </c>
      <c r="H36" s="317" cm="1">
        <f t="array" ref="H36">SUM(IF(MOD(ROW(H6:H34)-ROW(H6),3)=0, IFERROR(H6:H34, 0)))</f>
        <v>0</v>
      </c>
      <c r="I36" s="317" cm="1">
        <f t="array" ref="I36">SUM(IF(MOD(ROW(I6:I34)-ROW(I6),3)=0, IFERROR(I6:I34, 0)))</f>
        <v>0</v>
      </c>
      <c r="J36" s="317" cm="1">
        <f t="array" ref="J36">SUM(IF(MOD(ROW(J6:J34)-ROW(J6),3)=0, IFERROR(J6:J34, 0)))</f>
        <v>0</v>
      </c>
      <c r="K36" s="317" cm="1">
        <f t="array" ref="K36">SUM(IF(MOD(ROW(K6:K34)-ROW(K6),3)=0, IFERROR(K6:K34, 0)))</f>
        <v>0</v>
      </c>
      <c r="L36" s="317" cm="1">
        <f t="array" ref="L36">SUM(IF(MOD(ROW(L6:L34)-ROW(L6),3)=0, IFERROR(L6:L34, 0)))</f>
        <v>0</v>
      </c>
      <c r="M36" s="317" cm="1">
        <f t="array" ref="M36">SUM(IF(MOD(ROW(M6:M34)-ROW(M6),3)=0, IFERROR(M6:M34, 0)))</f>
        <v>0</v>
      </c>
      <c r="N36" s="317" cm="1">
        <f t="array" ref="N36">SUM(IF(MOD(ROW(N6:N34)-ROW(N6),3)=0, IFERROR(N6:N34, 0)))</f>
        <v>0</v>
      </c>
      <c r="O36" s="317" cm="1">
        <f t="array" ref="O36">SUM(IF(MOD(ROW(O6:O34)-ROW(O6),3)=0, IFERROR(O6:O34, 0)))</f>
        <v>0</v>
      </c>
      <c r="P36" s="317" cm="1">
        <f t="array" ref="P36">SUM(IF(MOD(ROW(P6:P34)-ROW(P6),3)=0, IFERROR(P6:P34, 0)))</f>
        <v>0</v>
      </c>
      <c r="Q36" s="317" cm="1">
        <f t="array" ref="Q36">SUM(IF(MOD(ROW(Q6:Q34)-ROW(Q6),3)=0, IFERROR(Q6:Q34, 0)))</f>
        <v>0</v>
      </c>
    </row>
    <row r="37" spans="2:17" x14ac:dyDescent="0.25">
      <c r="B37" s="98" t="s">
        <v>89</v>
      </c>
      <c r="C37" s="91" t="s">
        <v>90</v>
      </c>
      <c r="D37" s="99" t="e">
        <f t="shared" ref="D37:Q37" si="12">(D36-C36)/C36</f>
        <v>#DIV/0!</v>
      </c>
      <c r="E37" s="99" t="e">
        <f t="shared" si="12"/>
        <v>#DIV/0!</v>
      </c>
      <c r="F37" s="99" t="e">
        <f t="shared" si="12"/>
        <v>#DIV/0!</v>
      </c>
      <c r="G37" s="99" t="e">
        <f t="shared" si="12"/>
        <v>#DIV/0!</v>
      </c>
      <c r="H37" s="99" t="e">
        <f>(H36-G36)/G36</f>
        <v>#DIV/0!</v>
      </c>
      <c r="I37" s="99" t="e">
        <f t="shared" si="12"/>
        <v>#DIV/0!</v>
      </c>
      <c r="J37" s="99" t="e">
        <f t="shared" si="12"/>
        <v>#DIV/0!</v>
      </c>
      <c r="K37" s="99" t="e">
        <f t="shared" si="12"/>
        <v>#DIV/0!</v>
      </c>
      <c r="L37" s="99" t="e">
        <f t="shared" si="12"/>
        <v>#DIV/0!</v>
      </c>
      <c r="M37" s="99" t="e">
        <f t="shared" si="12"/>
        <v>#DIV/0!</v>
      </c>
      <c r="N37" s="99" t="e">
        <f t="shared" si="12"/>
        <v>#DIV/0!</v>
      </c>
      <c r="O37" s="99" t="e">
        <f t="shared" si="12"/>
        <v>#DIV/0!</v>
      </c>
      <c r="P37" s="99" t="e">
        <f t="shared" si="12"/>
        <v>#DIV/0!</v>
      </c>
      <c r="Q37" s="99" t="e">
        <f t="shared" si="12"/>
        <v>#DIV/0!</v>
      </c>
    </row>
    <row r="39" spans="2:17" x14ac:dyDescent="0.25">
      <c r="B39" s="97"/>
      <c r="C39" s="101"/>
      <c r="D39" s="101"/>
      <c r="E39" s="101"/>
      <c r="F39" s="101"/>
      <c r="G39" s="101"/>
    </row>
    <row r="40" spans="2:17" x14ac:dyDescent="0.25">
      <c r="B40" s="98"/>
      <c r="C40" s="91"/>
      <c r="D40" s="91"/>
      <c r="E40" s="91"/>
      <c r="F40" s="91"/>
      <c r="G40" s="91"/>
    </row>
    <row r="42" spans="2:17" x14ac:dyDescent="0.25">
      <c r="B42" s="97"/>
      <c r="C42" s="101"/>
      <c r="D42" s="101"/>
      <c r="E42" s="101"/>
      <c r="F42" s="101"/>
      <c r="G42" s="101"/>
    </row>
    <row r="43" spans="2:17" x14ac:dyDescent="0.25">
      <c r="B43" s="98"/>
      <c r="C43" s="91"/>
      <c r="D43" s="99"/>
      <c r="E43" s="99"/>
      <c r="F43" s="99"/>
      <c r="G43" s="99"/>
    </row>
  </sheetData>
  <mergeCells count="3">
    <mergeCell ref="C2:G2"/>
    <mergeCell ref="B3:B4"/>
    <mergeCell ref="H2:Q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86F75-54B0-435F-95E0-9A0AD61B4591}">
  <sheetPr codeName="Sheet12"/>
  <dimension ref="B2:R59"/>
  <sheetViews>
    <sheetView topLeftCell="A4" zoomScaleNormal="100" workbookViewId="0">
      <selection activeCell="F38" sqref="F38"/>
    </sheetView>
  </sheetViews>
  <sheetFormatPr defaultRowHeight="15" x14ac:dyDescent="0.25"/>
  <cols>
    <col min="2" max="2" width="16" customWidth="1"/>
    <col min="4" max="18" width="11.5703125" bestFit="1" customWidth="1"/>
  </cols>
  <sheetData>
    <row r="2" spans="2:18" x14ac:dyDescent="0.25">
      <c r="B2" s="2" t="str">
        <f>DCF!B2</f>
        <v>APPLE INC.</v>
      </c>
      <c r="C2" s="2"/>
      <c r="D2" s="16"/>
      <c r="E2" s="16"/>
      <c r="F2" s="16"/>
      <c r="G2" s="16"/>
      <c r="H2" s="16"/>
      <c r="I2" s="16"/>
      <c r="J2" s="16"/>
      <c r="K2" s="16"/>
      <c r="L2" s="16"/>
      <c r="M2" s="1"/>
      <c r="N2" s="1"/>
      <c r="O2" s="1"/>
      <c r="P2" s="1"/>
      <c r="Q2" s="1"/>
      <c r="R2" s="1"/>
    </row>
    <row r="3" spans="2:18" x14ac:dyDescent="0.25">
      <c r="B3" s="2" t="s">
        <v>217</v>
      </c>
      <c r="C3" s="16"/>
      <c r="D3" s="16"/>
      <c r="E3" s="16"/>
      <c r="F3" s="16"/>
      <c r="G3" s="16"/>
      <c r="H3" s="16"/>
      <c r="I3" s="16"/>
      <c r="J3" s="16"/>
      <c r="K3" s="16"/>
      <c r="L3" s="16"/>
      <c r="M3" s="1"/>
      <c r="N3" s="1"/>
      <c r="O3" s="1"/>
      <c r="P3" s="1"/>
      <c r="Q3" s="1"/>
      <c r="R3" s="1"/>
    </row>
    <row r="4" spans="2:18" x14ac:dyDescent="0.25">
      <c r="B4" s="2" t="s">
        <v>76</v>
      </c>
      <c r="C4" s="16"/>
      <c r="D4" s="16"/>
      <c r="E4" s="16"/>
      <c r="F4" s="16"/>
      <c r="G4" s="16"/>
      <c r="H4" s="16"/>
      <c r="I4" s="16"/>
      <c r="J4" s="16"/>
      <c r="K4" s="16"/>
      <c r="L4" s="16"/>
      <c r="M4" s="1"/>
      <c r="N4" s="1"/>
      <c r="O4" s="1"/>
      <c r="P4" s="1"/>
      <c r="Q4" s="1"/>
      <c r="R4" s="1"/>
    </row>
    <row r="5" spans="2:18" x14ac:dyDescent="0.25">
      <c r="B5" s="2" t="s">
        <v>218</v>
      </c>
      <c r="C5" s="16"/>
      <c r="D5" s="16"/>
      <c r="E5" s="16"/>
      <c r="F5" s="16"/>
      <c r="G5" s="16"/>
      <c r="H5" s="16"/>
      <c r="I5" s="16"/>
      <c r="J5" s="16"/>
      <c r="K5" s="16"/>
      <c r="L5" s="16"/>
      <c r="M5" s="1"/>
      <c r="N5" s="1"/>
      <c r="O5" s="1"/>
      <c r="P5" s="1"/>
      <c r="Q5" s="1"/>
      <c r="R5" s="1"/>
    </row>
    <row r="7" spans="2:18" x14ac:dyDescent="0.25">
      <c r="D7" s="5"/>
      <c r="E7" s="1"/>
      <c r="F7" s="2" t="s">
        <v>85</v>
      </c>
      <c r="G7" s="1"/>
      <c r="H7" s="1"/>
      <c r="I7" s="4"/>
      <c r="J7" s="3"/>
      <c r="K7" s="3"/>
      <c r="L7" s="3"/>
      <c r="M7" s="3" t="s">
        <v>86</v>
      </c>
      <c r="N7" s="3"/>
      <c r="O7" s="3"/>
      <c r="P7" s="3"/>
      <c r="Q7" s="3"/>
      <c r="R7" s="3"/>
    </row>
    <row r="8" spans="2:18" x14ac:dyDescent="0.25">
      <c r="D8" s="7">
        <f ca="1">YEAR(D9)</f>
        <v>2019</v>
      </c>
      <c r="E8" s="7">
        <f t="shared" ref="E8:H8" ca="1" si="0">YEAR(E9)</f>
        <v>2020</v>
      </c>
      <c r="F8" s="7">
        <f t="shared" ca="1" si="0"/>
        <v>2021</v>
      </c>
      <c r="G8" s="7">
        <f t="shared" ca="1" si="0"/>
        <v>2022</v>
      </c>
      <c r="H8" s="7">
        <f t="shared" ca="1" si="0"/>
        <v>2023</v>
      </c>
      <c r="I8" s="8">
        <f ca="1">YEAR(I9)</f>
        <v>2024</v>
      </c>
      <c r="J8" s="8">
        <f t="shared" ref="J8:R8" ca="1" si="1">YEAR(J9)</f>
        <v>2025</v>
      </c>
      <c r="K8" s="8">
        <f t="shared" ca="1" si="1"/>
        <v>2026</v>
      </c>
      <c r="L8" s="8">
        <f t="shared" ca="1" si="1"/>
        <v>2027</v>
      </c>
      <c r="M8" s="8">
        <f t="shared" ca="1" si="1"/>
        <v>2028</v>
      </c>
      <c r="N8" s="8">
        <f t="shared" ca="1" si="1"/>
        <v>2029</v>
      </c>
      <c r="O8" s="8">
        <f t="shared" ca="1" si="1"/>
        <v>2030</v>
      </c>
      <c r="P8" s="8">
        <f t="shared" ca="1" si="1"/>
        <v>2031</v>
      </c>
      <c r="Q8" s="8">
        <f t="shared" ca="1" si="1"/>
        <v>2032</v>
      </c>
      <c r="R8" s="8">
        <f t="shared" ca="1" si="1"/>
        <v>2033</v>
      </c>
    </row>
    <row r="9" spans="2:18" x14ac:dyDescent="0.25">
      <c r="D9" s="9">
        <f t="shared" ref="D9:F9" ca="1" si="2">EOMONTH(E9,-12)</f>
        <v>43830</v>
      </c>
      <c r="E9" s="9">
        <f t="shared" ca="1" si="2"/>
        <v>44196</v>
      </c>
      <c r="F9" s="9">
        <f t="shared" ca="1" si="2"/>
        <v>44561</v>
      </c>
      <c r="G9" s="9">
        <f ca="1">EOMONTH(H9,-12)</f>
        <v>44926</v>
      </c>
      <c r="H9" s="9">
        <f ca="1">DCF!H16</f>
        <v>45291</v>
      </c>
      <c r="I9" s="9">
        <f ca="1">EOMONTH(H9,12)</f>
        <v>45657</v>
      </c>
      <c r="J9" s="9">
        <f t="shared" ref="J9:R9" ca="1" si="3">EOMONTH(I9,12)</f>
        <v>46022</v>
      </c>
      <c r="K9" s="9">
        <f t="shared" ca="1" si="3"/>
        <v>46387</v>
      </c>
      <c r="L9" s="9">
        <f t="shared" ca="1" si="3"/>
        <v>46752</v>
      </c>
      <c r="M9" s="9">
        <f t="shared" ca="1" si="3"/>
        <v>47118</v>
      </c>
      <c r="N9" s="9">
        <f t="shared" ca="1" si="3"/>
        <v>47483</v>
      </c>
      <c r="O9" s="9">
        <f t="shared" ca="1" si="3"/>
        <v>47848</v>
      </c>
      <c r="P9" s="9">
        <f t="shared" ca="1" si="3"/>
        <v>48213</v>
      </c>
      <c r="Q9" s="9">
        <f t="shared" ca="1" si="3"/>
        <v>48579</v>
      </c>
      <c r="R9" s="9">
        <f t="shared" ca="1" si="3"/>
        <v>48944</v>
      </c>
    </row>
    <row r="11" spans="2:18" x14ac:dyDescent="0.25">
      <c r="B11" s="10" t="s">
        <v>88</v>
      </c>
    </row>
    <row r="13" spans="2:18" x14ac:dyDescent="0.25">
      <c r="B13" t="str">
        <f>IF(ISBLANK(Hub!D13), "Division 1", Hub!D13)</f>
        <v>Division 1</v>
      </c>
      <c r="D13" s="103" t="e">
        <f>(Revenue_Build!C6/Revenue_Build!C$36)</f>
        <v>#DIV/0!</v>
      </c>
      <c r="E13" s="103" t="e">
        <f>(Revenue_Build!D6/Revenue_Build!D$36)</f>
        <v>#DIV/0!</v>
      </c>
      <c r="F13" s="103" t="e">
        <f>(Revenue_Build!E6/Revenue_Build!E$36)</f>
        <v>#DIV/0!</v>
      </c>
      <c r="G13" s="103" t="e">
        <f>(Revenue_Build!F6/Revenue_Build!F$36)</f>
        <v>#DIV/0!</v>
      </c>
      <c r="H13" s="103" t="e">
        <f>(Revenue_Build!G6/Revenue_Build!G$36)</f>
        <v>#DIV/0!</v>
      </c>
      <c r="I13" s="103" t="e">
        <f>(Revenue_Build!H6/Revenue_Build!H$36)</f>
        <v>#DIV/0!</v>
      </c>
      <c r="J13" s="103" t="e">
        <f>(Revenue_Build!I6/Revenue_Build!I$36)</f>
        <v>#DIV/0!</v>
      </c>
      <c r="K13" s="103" t="e">
        <f>(Revenue_Build!J6/Revenue_Build!J$36)</f>
        <v>#DIV/0!</v>
      </c>
      <c r="L13" s="103" t="e">
        <f>(Revenue_Build!K6/Revenue_Build!K$36)</f>
        <v>#DIV/0!</v>
      </c>
      <c r="M13" s="103" t="e">
        <f>(Revenue_Build!L6/Revenue_Build!L$36)</f>
        <v>#DIV/0!</v>
      </c>
      <c r="N13" s="103" t="e">
        <f>(Revenue_Build!M6/Revenue_Build!M$36)</f>
        <v>#DIV/0!</v>
      </c>
      <c r="O13" s="103" t="e">
        <f>(Revenue_Build!N6/Revenue_Build!N$36)</f>
        <v>#DIV/0!</v>
      </c>
      <c r="P13" s="103" t="e">
        <f>(Revenue_Build!O6/Revenue_Build!O$36)</f>
        <v>#DIV/0!</v>
      </c>
      <c r="Q13" s="103" t="e">
        <f>(Revenue_Build!P6/Revenue_Build!P$36)</f>
        <v>#DIV/0!</v>
      </c>
      <c r="R13" s="103" t="e">
        <f>(Revenue_Build!Q6/Revenue_Build!Q$36)</f>
        <v>#DIV/0!</v>
      </c>
    </row>
    <row r="14" spans="2:18" x14ac:dyDescent="0.25">
      <c r="B14" t="str">
        <f>IF(ISBLANK(Hub!D14), "Division 2", Hub!D14)</f>
        <v>Division 2</v>
      </c>
      <c r="D14" s="103" t="e">
        <f>(Revenue_Build!C9/Revenue_Build!C$36)</f>
        <v>#DIV/0!</v>
      </c>
      <c r="E14" s="103" t="e">
        <f>(Revenue_Build!D9/Revenue_Build!D$36)</f>
        <v>#DIV/0!</v>
      </c>
      <c r="F14" s="103" t="e">
        <f>(Revenue_Build!E9/Revenue_Build!E$36)</f>
        <v>#DIV/0!</v>
      </c>
      <c r="G14" s="103" t="e">
        <f>(Revenue_Build!F9/Revenue_Build!F$36)</f>
        <v>#DIV/0!</v>
      </c>
      <c r="H14" s="103" t="e">
        <f>(Revenue_Build!G9/Revenue_Build!G$36)</f>
        <v>#DIV/0!</v>
      </c>
      <c r="I14" s="103" t="e">
        <f>(Revenue_Build!H9/Revenue_Build!H$36)</f>
        <v>#DIV/0!</v>
      </c>
      <c r="J14" s="103" t="e">
        <f>(Revenue_Build!I9/Revenue_Build!I$36)</f>
        <v>#DIV/0!</v>
      </c>
      <c r="K14" s="103" t="e">
        <f>(Revenue_Build!J9/Revenue_Build!J$36)</f>
        <v>#DIV/0!</v>
      </c>
      <c r="L14" s="103" t="e">
        <f>(Revenue_Build!K9/Revenue_Build!K$36)</f>
        <v>#DIV/0!</v>
      </c>
      <c r="M14" s="103" t="e">
        <f>(Revenue_Build!L9/Revenue_Build!L$36)</f>
        <v>#DIV/0!</v>
      </c>
      <c r="N14" s="103" t="e">
        <f>(Revenue_Build!M9/Revenue_Build!M$36)</f>
        <v>#DIV/0!</v>
      </c>
      <c r="O14" s="103" t="e">
        <f>(Revenue_Build!N9/Revenue_Build!N$36)</f>
        <v>#DIV/0!</v>
      </c>
      <c r="P14" s="103" t="e">
        <f>(Revenue_Build!O9/Revenue_Build!O$36)</f>
        <v>#DIV/0!</v>
      </c>
      <c r="Q14" s="103" t="e">
        <f>(Revenue_Build!P9/Revenue_Build!P$36)</f>
        <v>#DIV/0!</v>
      </c>
      <c r="R14" s="103" t="e">
        <f>(Revenue_Build!Q9/Revenue_Build!Q$36)</f>
        <v>#DIV/0!</v>
      </c>
    </row>
    <row r="15" spans="2:18" x14ac:dyDescent="0.25">
      <c r="B15" t="str">
        <f>IF(ISBLANK(Hub!D15), "Division 3", Hub!D15)</f>
        <v>Division 3</v>
      </c>
      <c r="D15" s="103" t="e">
        <f>(Revenue_Build!C12/Revenue_Build!C$36)</f>
        <v>#DIV/0!</v>
      </c>
      <c r="E15" s="103" t="e">
        <f>(Revenue_Build!D12/Revenue_Build!D$36)</f>
        <v>#DIV/0!</v>
      </c>
      <c r="F15" s="103" t="e">
        <f>(Revenue_Build!E12/Revenue_Build!E$36)</f>
        <v>#DIV/0!</v>
      </c>
      <c r="G15" s="103" t="e">
        <f>(Revenue_Build!F12/Revenue_Build!F$36)</f>
        <v>#DIV/0!</v>
      </c>
      <c r="H15" s="103" t="e">
        <f>(Revenue_Build!G12/Revenue_Build!G$36)</f>
        <v>#DIV/0!</v>
      </c>
      <c r="I15" s="103" t="e">
        <f>(Revenue_Build!H12/Revenue_Build!H$36)</f>
        <v>#DIV/0!</v>
      </c>
      <c r="J15" s="103" t="e">
        <f>(Revenue_Build!I12/Revenue_Build!I$36)</f>
        <v>#DIV/0!</v>
      </c>
      <c r="K15" s="103" t="e">
        <f>(Revenue_Build!J12/Revenue_Build!J$36)</f>
        <v>#DIV/0!</v>
      </c>
      <c r="L15" s="103" t="e">
        <f>(Revenue_Build!K12/Revenue_Build!K$36)</f>
        <v>#DIV/0!</v>
      </c>
      <c r="M15" s="103" t="e">
        <f>(Revenue_Build!L12/Revenue_Build!L$36)</f>
        <v>#DIV/0!</v>
      </c>
      <c r="N15" s="103" t="e">
        <f>(Revenue_Build!M12/Revenue_Build!M$36)</f>
        <v>#DIV/0!</v>
      </c>
      <c r="O15" s="103" t="e">
        <f>(Revenue_Build!N12/Revenue_Build!N$36)</f>
        <v>#DIV/0!</v>
      </c>
      <c r="P15" s="103" t="e">
        <f>(Revenue_Build!O12/Revenue_Build!O$36)</f>
        <v>#DIV/0!</v>
      </c>
      <c r="Q15" s="103" t="e">
        <f>(Revenue_Build!P12/Revenue_Build!P$36)</f>
        <v>#DIV/0!</v>
      </c>
      <c r="R15" s="103" t="e">
        <f>(Revenue_Build!Q12/Revenue_Build!Q$36)</f>
        <v>#DIV/0!</v>
      </c>
    </row>
    <row r="16" spans="2:18" x14ac:dyDescent="0.25">
      <c r="B16" t="str">
        <f>IF(ISBLANK(Hub!D16), "Division 4", Hub!D16)</f>
        <v>Division 4</v>
      </c>
      <c r="D16" s="103" t="e">
        <f>(Revenue_Build!C15/Revenue_Build!C$36)</f>
        <v>#DIV/0!</v>
      </c>
      <c r="E16" s="103" t="e">
        <f>(Revenue_Build!D15/Revenue_Build!D$36)</f>
        <v>#DIV/0!</v>
      </c>
      <c r="F16" s="103" t="e">
        <f>(Revenue_Build!E15/Revenue_Build!E$36)</f>
        <v>#DIV/0!</v>
      </c>
      <c r="G16" s="103" t="e">
        <f>(Revenue_Build!F15/Revenue_Build!F$36)</f>
        <v>#DIV/0!</v>
      </c>
      <c r="H16" s="103" t="e">
        <f>(Revenue_Build!G15/Revenue_Build!G$36)</f>
        <v>#DIV/0!</v>
      </c>
      <c r="I16" s="103" t="e">
        <f>(Revenue_Build!H15/Revenue_Build!H$36)</f>
        <v>#DIV/0!</v>
      </c>
      <c r="J16" s="103" t="e">
        <f>(Revenue_Build!I15/Revenue_Build!I$36)</f>
        <v>#DIV/0!</v>
      </c>
      <c r="K16" s="103" t="e">
        <f>(Revenue_Build!J15/Revenue_Build!J$36)</f>
        <v>#DIV/0!</v>
      </c>
      <c r="L16" s="103" t="e">
        <f>(Revenue_Build!K15/Revenue_Build!K$36)</f>
        <v>#DIV/0!</v>
      </c>
      <c r="M16" s="103" t="e">
        <f>(Revenue_Build!L15/Revenue_Build!L$36)</f>
        <v>#DIV/0!</v>
      </c>
      <c r="N16" s="103" t="e">
        <f>(Revenue_Build!M15/Revenue_Build!M$36)</f>
        <v>#DIV/0!</v>
      </c>
      <c r="O16" s="103" t="e">
        <f>(Revenue_Build!N15/Revenue_Build!N$36)</f>
        <v>#DIV/0!</v>
      </c>
      <c r="P16" s="103" t="e">
        <f>(Revenue_Build!O15/Revenue_Build!O$36)</f>
        <v>#DIV/0!</v>
      </c>
      <c r="Q16" s="103" t="e">
        <f>(Revenue_Build!P15/Revenue_Build!P$36)</f>
        <v>#DIV/0!</v>
      </c>
      <c r="R16" s="103" t="e">
        <f>(Revenue_Build!Q15/Revenue_Build!Q$36)</f>
        <v>#DIV/0!</v>
      </c>
    </row>
    <row r="17" spans="2:18" x14ac:dyDescent="0.25">
      <c r="B17" t="str">
        <f>IF(ISBLANK(Hub!D17), "Division 5", Hub!D17)</f>
        <v>Division 5</v>
      </c>
      <c r="D17" s="103" t="e">
        <f>(Revenue_Build!C18/Revenue_Build!C$36)</f>
        <v>#DIV/0!</v>
      </c>
      <c r="E17" s="103" t="e">
        <f>(Revenue_Build!D18/Revenue_Build!D$36)</f>
        <v>#DIV/0!</v>
      </c>
      <c r="F17" s="103" t="e">
        <f>(Revenue_Build!E18/Revenue_Build!E$36)</f>
        <v>#DIV/0!</v>
      </c>
      <c r="G17" s="103" t="e">
        <f>(Revenue_Build!F18/Revenue_Build!F$36)</f>
        <v>#DIV/0!</v>
      </c>
      <c r="H17" s="103" t="e">
        <f>(Revenue_Build!G18/Revenue_Build!G$36)</f>
        <v>#DIV/0!</v>
      </c>
      <c r="I17" s="103" t="e">
        <f>(Revenue_Build!H18/Revenue_Build!H$36)</f>
        <v>#DIV/0!</v>
      </c>
      <c r="J17" s="103" t="e">
        <f>(Revenue_Build!I18/Revenue_Build!I$36)</f>
        <v>#DIV/0!</v>
      </c>
      <c r="K17" s="103" t="e">
        <f>(Revenue_Build!J18/Revenue_Build!J$36)</f>
        <v>#DIV/0!</v>
      </c>
      <c r="L17" s="103" t="e">
        <f>(Revenue_Build!K18/Revenue_Build!K$36)</f>
        <v>#DIV/0!</v>
      </c>
      <c r="M17" s="103" t="e">
        <f>(Revenue_Build!L18/Revenue_Build!L$36)</f>
        <v>#DIV/0!</v>
      </c>
      <c r="N17" s="103" t="e">
        <f>(Revenue_Build!M18/Revenue_Build!M$36)</f>
        <v>#DIV/0!</v>
      </c>
      <c r="O17" s="103" t="e">
        <f>(Revenue_Build!N18/Revenue_Build!N$36)</f>
        <v>#DIV/0!</v>
      </c>
      <c r="P17" s="103" t="e">
        <f>(Revenue_Build!O18/Revenue_Build!O$36)</f>
        <v>#DIV/0!</v>
      </c>
      <c r="Q17" s="103" t="e">
        <f>(Revenue_Build!P18/Revenue_Build!P$36)</f>
        <v>#DIV/0!</v>
      </c>
      <c r="R17" s="103" t="e">
        <f>(Revenue_Build!Q18/Revenue_Build!Q$36)</f>
        <v>#DIV/0!</v>
      </c>
    </row>
    <row r="18" spans="2:18" x14ac:dyDescent="0.25">
      <c r="B18" t="str">
        <f>IF(ISBLANK(Hub!H13), "Division 6", Hub!H13)</f>
        <v>Division 6</v>
      </c>
      <c r="D18" s="103" t="e">
        <f>(Revenue_Build!C21/Revenue_Build!C$36)</f>
        <v>#DIV/0!</v>
      </c>
      <c r="E18" s="103" t="e">
        <f>(Revenue_Build!D21/Revenue_Build!D$36)</f>
        <v>#DIV/0!</v>
      </c>
      <c r="F18" s="103" t="e">
        <f>(Revenue_Build!E21/Revenue_Build!E$36)</f>
        <v>#DIV/0!</v>
      </c>
      <c r="G18" s="103" t="e">
        <f>(Revenue_Build!F21/Revenue_Build!F$36)</f>
        <v>#DIV/0!</v>
      </c>
      <c r="H18" s="103" t="e">
        <f>(Revenue_Build!G21/Revenue_Build!G$36)</f>
        <v>#DIV/0!</v>
      </c>
      <c r="I18" s="103" t="e">
        <f>(Revenue_Build!H21/Revenue_Build!H$36)</f>
        <v>#DIV/0!</v>
      </c>
      <c r="J18" s="103" t="e">
        <f>(Revenue_Build!I21/Revenue_Build!I$36)</f>
        <v>#DIV/0!</v>
      </c>
      <c r="K18" s="103" t="e">
        <f>(Revenue_Build!J21/Revenue_Build!J$36)</f>
        <v>#DIV/0!</v>
      </c>
      <c r="L18" s="103" t="e">
        <f>(Revenue_Build!K21/Revenue_Build!K$36)</f>
        <v>#DIV/0!</v>
      </c>
      <c r="M18" s="103" t="e">
        <f>(Revenue_Build!L21/Revenue_Build!L$36)</f>
        <v>#DIV/0!</v>
      </c>
      <c r="N18" s="103" t="e">
        <f>(Revenue_Build!M21/Revenue_Build!M$36)</f>
        <v>#DIV/0!</v>
      </c>
      <c r="O18" s="103" t="e">
        <f>(Revenue_Build!N21/Revenue_Build!N$36)</f>
        <v>#DIV/0!</v>
      </c>
      <c r="P18" s="103" t="e">
        <f>(Revenue_Build!O21/Revenue_Build!O$36)</f>
        <v>#DIV/0!</v>
      </c>
      <c r="Q18" s="103" t="e">
        <f>(Revenue_Build!P21/Revenue_Build!P$36)</f>
        <v>#DIV/0!</v>
      </c>
      <c r="R18" s="103" t="e">
        <f>(Revenue_Build!Q21/Revenue_Build!Q$36)</f>
        <v>#DIV/0!</v>
      </c>
    </row>
    <row r="19" spans="2:18" x14ac:dyDescent="0.25">
      <c r="B19" t="str">
        <f>IF(ISBLANK(Hub!H14), "Division 7", Hub!H14)</f>
        <v>Division 7</v>
      </c>
      <c r="D19" s="103" t="e">
        <f>(Revenue_Build!C24/Revenue_Build!C$36)</f>
        <v>#DIV/0!</v>
      </c>
      <c r="E19" s="103" t="e">
        <f>(Revenue_Build!D24/Revenue_Build!D$36)</f>
        <v>#DIV/0!</v>
      </c>
      <c r="F19" s="103" t="e">
        <f>(Revenue_Build!E24/Revenue_Build!E$36)</f>
        <v>#DIV/0!</v>
      </c>
      <c r="G19" s="103" t="e">
        <f>(Revenue_Build!F24/Revenue_Build!F$36)</f>
        <v>#DIV/0!</v>
      </c>
      <c r="H19" s="103" t="e">
        <f>(Revenue_Build!G24/Revenue_Build!G$36)</f>
        <v>#DIV/0!</v>
      </c>
      <c r="I19" s="103" t="e">
        <f>(Revenue_Build!H24/Revenue_Build!H$36)</f>
        <v>#DIV/0!</v>
      </c>
      <c r="J19" s="103" t="e">
        <f>(Revenue_Build!I24/Revenue_Build!I$36)</f>
        <v>#DIV/0!</v>
      </c>
      <c r="K19" s="103" t="e">
        <f>(Revenue_Build!J24/Revenue_Build!J$36)</f>
        <v>#DIV/0!</v>
      </c>
      <c r="L19" s="103" t="e">
        <f>(Revenue_Build!K24/Revenue_Build!K$36)</f>
        <v>#DIV/0!</v>
      </c>
      <c r="M19" s="103" t="e">
        <f>(Revenue_Build!L24/Revenue_Build!L$36)</f>
        <v>#DIV/0!</v>
      </c>
      <c r="N19" s="103" t="e">
        <f>(Revenue_Build!M24/Revenue_Build!M$36)</f>
        <v>#DIV/0!</v>
      </c>
      <c r="O19" s="103" t="e">
        <f>(Revenue_Build!N24/Revenue_Build!N$36)</f>
        <v>#DIV/0!</v>
      </c>
      <c r="P19" s="103" t="e">
        <f>(Revenue_Build!O24/Revenue_Build!O$36)</f>
        <v>#DIV/0!</v>
      </c>
      <c r="Q19" s="103" t="e">
        <f>(Revenue_Build!P24/Revenue_Build!P$36)</f>
        <v>#DIV/0!</v>
      </c>
      <c r="R19" s="103" t="e">
        <f>(Revenue_Build!Q24/Revenue_Build!Q$36)</f>
        <v>#DIV/0!</v>
      </c>
    </row>
    <row r="20" spans="2:18" x14ac:dyDescent="0.25">
      <c r="B20" t="str">
        <f>IF(ISBLANK(Hub!H15), "Division 8", Hub!H15)</f>
        <v>Division 8</v>
      </c>
      <c r="D20" s="103" t="e">
        <f>(Revenue_Build!C27/Revenue_Build!C$36)</f>
        <v>#DIV/0!</v>
      </c>
      <c r="E20" s="103" t="e">
        <f>(Revenue_Build!D27/Revenue_Build!D$36)</f>
        <v>#DIV/0!</v>
      </c>
      <c r="F20" s="103" t="e">
        <f>(Revenue_Build!E27/Revenue_Build!E$36)</f>
        <v>#DIV/0!</v>
      </c>
      <c r="G20" s="103" t="e">
        <f>(Revenue_Build!F27/Revenue_Build!F$36)</f>
        <v>#DIV/0!</v>
      </c>
      <c r="H20" s="103" t="e">
        <f>(Revenue_Build!G27/Revenue_Build!G$36)</f>
        <v>#DIV/0!</v>
      </c>
      <c r="I20" s="103" t="e">
        <f>(Revenue_Build!H27/Revenue_Build!H$36)</f>
        <v>#DIV/0!</v>
      </c>
      <c r="J20" s="103" t="e">
        <f>(Revenue_Build!I27/Revenue_Build!I$36)</f>
        <v>#DIV/0!</v>
      </c>
      <c r="K20" s="103" t="e">
        <f>(Revenue_Build!J27/Revenue_Build!J$36)</f>
        <v>#DIV/0!</v>
      </c>
      <c r="L20" s="103" t="e">
        <f>(Revenue_Build!K27/Revenue_Build!K$36)</f>
        <v>#DIV/0!</v>
      </c>
      <c r="M20" s="103" t="e">
        <f>(Revenue_Build!L27/Revenue_Build!L$36)</f>
        <v>#DIV/0!</v>
      </c>
      <c r="N20" s="103" t="e">
        <f>(Revenue_Build!M27/Revenue_Build!M$36)</f>
        <v>#DIV/0!</v>
      </c>
      <c r="O20" s="103" t="e">
        <f>(Revenue_Build!N27/Revenue_Build!N$36)</f>
        <v>#DIV/0!</v>
      </c>
      <c r="P20" s="103" t="e">
        <f>(Revenue_Build!O27/Revenue_Build!O$36)</f>
        <v>#DIV/0!</v>
      </c>
      <c r="Q20" s="103" t="e">
        <f>(Revenue_Build!P27/Revenue_Build!P$36)</f>
        <v>#DIV/0!</v>
      </c>
      <c r="R20" s="103" t="e">
        <f>(Revenue_Build!Q27/Revenue_Build!Q$36)</f>
        <v>#DIV/0!</v>
      </c>
    </row>
    <row r="21" spans="2:18" x14ac:dyDescent="0.25">
      <c r="B21" t="str">
        <f>IF(ISBLANK(Hub!H16), "Division 9", Hub!H16)</f>
        <v>Division 9</v>
      </c>
      <c r="D21" s="103" t="e">
        <f>(Revenue_Build!C30/Revenue_Build!C$36)</f>
        <v>#DIV/0!</v>
      </c>
      <c r="E21" s="103" t="e">
        <f>(Revenue_Build!D30/Revenue_Build!D$36)</f>
        <v>#DIV/0!</v>
      </c>
      <c r="F21" s="103" t="e">
        <f>(Revenue_Build!E30/Revenue_Build!E$36)</f>
        <v>#DIV/0!</v>
      </c>
      <c r="G21" s="103" t="e">
        <f>(Revenue_Build!F30/Revenue_Build!F$36)</f>
        <v>#DIV/0!</v>
      </c>
      <c r="H21" s="103" t="e">
        <f>(Revenue_Build!G30/Revenue_Build!G$36)</f>
        <v>#DIV/0!</v>
      </c>
      <c r="I21" s="103" t="e">
        <f>(Revenue_Build!H30/Revenue_Build!H$36)</f>
        <v>#DIV/0!</v>
      </c>
      <c r="J21" s="103" t="e">
        <f>(Revenue_Build!I30/Revenue_Build!I$36)</f>
        <v>#DIV/0!</v>
      </c>
      <c r="K21" s="103" t="e">
        <f>(Revenue_Build!J30/Revenue_Build!J$36)</f>
        <v>#DIV/0!</v>
      </c>
      <c r="L21" s="103" t="e">
        <f>(Revenue_Build!K30/Revenue_Build!K$36)</f>
        <v>#DIV/0!</v>
      </c>
      <c r="M21" s="103" t="e">
        <f>(Revenue_Build!L30/Revenue_Build!L$36)</f>
        <v>#DIV/0!</v>
      </c>
      <c r="N21" s="103" t="e">
        <f>(Revenue_Build!M30/Revenue_Build!M$36)</f>
        <v>#DIV/0!</v>
      </c>
      <c r="O21" s="103" t="e">
        <f>(Revenue_Build!N30/Revenue_Build!N$36)</f>
        <v>#DIV/0!</v>
      </c>
      <c r="P21" s="103" t="e">
        <f>(Revenue_Build!O30/Revenue_Build!O$36)</f>
        <v>#DIV/0!</v>
      </c>
      <c r="Q21" s="103" t="e">
        <f>(Revenue_Build!P30/Revenue_Build!P$36)</f>
        <v>#DIV/0!</v>
      </c>
      <c r="R21" s="103" t="e">
        <f>(Revenue_Build!Q30/Revenue_Build!Q$36)</f>
        <v>#DIV/0!</v>
      </c>
    </row>
    <row r="22" spans="2:18" x14ac:dyDescent="0.25">
      <c r="B22" t="str">
        <f>IF(ISBLANK(Hub!H17), "Division 10", Hub!H17)</f>
        <v>Division 10</v>
      </c>
      <c r="D22" s="103" t="e">
        <f>(Revenue_Build!C33/Revenue_Build!C$36)</f>
        <v>#DIV/0!</v>
      </c>
      <c r="E22" s="103" t="e">
        <f>(Revenue_Build!D33/Revenue_Build!D$36)</f>
        <v>#DIV/0!</v>
      </c>
      <c r="F22" s="103" t="e">
        <f>(Revenue_Build!E33/Revenue_Build!E$36)</f>
        <v>#DIV/0!</v>
      </c>
      <c r="G22" s="103" t="e">
        <f>(Revenue_Build!F33/Revenue_Build!F$36)</f>
        <v>#DIV/0!</v>
      </c>
      <c r="H22" s="103" t="e">
        <f>(Revenue_Build!G33/Revenue_Build!G$36)</f>
        <v>#DIV/0!</v>
      </c>
      <c r="I22" s="103" t="e">
        <f>(Revenue_Build!H33/Revenue_Build!H$36)</f>
        <v>#DIV/0!</v>
      </c>
      <c r="J22" s="103" t="e">
        <f>(Revenue_Build!I33/Revenue_Build!I$36)</f>
        <v>#DIV/0!</v>
      </c>
      <c r="K22" s="103" t="e">
        <f>(Revenue_Build!J33/Revenue_Build!J$36)</f>
        <v>#DIV/0!</v>
      </c>
      <c r="L22" s="103" t="e">
        <f>(Revenue_Build!K33/Revenue_Build!K$36)</f>
        <v>#DIV/0!</v>
      </c>
      <c r="M22" s="103" t="e">
        <f>(Revenue_Build!L33/Revenue_Build!L$36)</f>
        <v>#DIV/0!</v>
      </c>
      <c r="N22" s="103" t="e">
        <f>(Revenue_Build!M33/Revenue_Build!M$36)</f>
        <v>#DIV/0!</v>
      </c>
      <c r="O22" s="103" t="e">
        <f>(Revenue_Build!N33/Revenue_Build!N$36)</f>
        <v>#DIV/0!</v>
      </c>
      <c r="P22" s="103" t="e">
        <f>(Revenue_Build!O33/Revenue_Build!O$36)</f>
        <v>#DIV/0!</v>
      </c>
      <c r="Q22" s="103" t="e">
        <f>(Revenue_Build!P33/Revenue_Build!P$36)</f>
        <v>#DIV/0!</v>
      </c>
      <c r="R22" s="103" t="e">
        <f>(Revenue_Build!Q33/Revenue_Build!Q$36)</f>
        <v>#DIV/0!</v>
      </c>
    </row>
    <row r="23" spans="2:18" x14ac:dyDescent="0.25">
      <c r="K23" s="110"/>
    </row>
    <row r="24" spans="2:18" x14ac:dyDescent="0.25">
      <c r="B24" s="105" t="s">
        <v>88</v>
      </c>
      <c r="C24" s="109"/>
      <c r="D24" s="253">
        <f>Revenue_Build!C36</f>
        <v>0</v>
      </c>
      <c r="E24" s="253">
        <f>Revenue_Build!D36</f>
        <v>0</v>
      </c>
      <c r="F24" s="253">
        <f>Revenue_Build!E36</f>
        <v>0</v>
      </c>
      <c r="G24" s="253">
        <f>Revenue_Build!F36</f>
        <v>0</v>
      </c>
      <c r="H24" s="253">
        <f>Revenue_Build!G36</f>
        <v>0</v>
      </c>
      <c r="I24" s="253">
        <f>Revenue_Build!H36</f>
        <v>0</v>
      </c>
      <c r="J24" s="253">
        <f>Revenue_Build!I36</f>
        <v>0</v>
      </c>
      <c r="K24" s="253">
        <f>Revenue_Build!J36</f>
        <v>0</v>
      </c>
      <c r="L24" s="253">
        <f>Revenue_Build!K36</f>
        <v>0</v>
      </c>
      <c r="M24" s="253">
        <f>Revenue_Build!L36</f>
        <v>0</v>
      </c>
      <c r="N24" s="253">
        <f>Revenue_Build!M36</f>
        <v>0</v>
      </c>
      <c r="O24" s="253">
        <f>Revenue_Build!N36</f>
        <v>0</v>
      </c>
      <c r="P24" s="253">
        <f>Revenue_Build!O36</f>
        <v>0</v>
      </c>
      <c r="Q24" s="253">
        <f>Revenue_Build!P36</f>
        <v>0</v>
      </c>
      <c r="R24" s="253">
        <f>Revenue_Build!Q36</f>
        <v>0</v>
      </c>
    </row>
    <row r="27" spans="2:18" x14ac:dyDescent="0.25">
      <c r="B27" s="10" t="s">
        <v>138</v>
      </c>
    </row>
    <row r="29" spans="2:18" x14ac:dyDescent="0.25">
      <c r="B29" t="s">
        <v>139</v>
      </c>
      <c r="D29" s="103" t="e">
        <f>Operating_Model!D48/Operating_Model!D42</f>
        <v>#DIV/0!</v>
      </c>
      <c r="E29" s="103" t="e">
        <f>Operating_Model!E48/Operating_Model!E42</f>
        <v>#DIV/0!</v>
      </c>
      <c r="F29" s="103" t="e">
        <f>Operating_Model!F48/Operating_Model!F42</f>
        <v>#DIV/0!</v>
      </c>
      <c r="G29" s="103" t="e">
        <f>Operating_Model!G48/Operating_Model!G42</f>
        <v>#DIV/0!</v>
      </c>
      <c r="H29" s="103" t="e">
        <f>Operating_Model!H48/Operating_Model!H42</f>
        <v>#DIV/0!</v>
      </c>
      <c r="I29" s="103" t="e">
        <f ca="1">IF(RSQ($D29:$H29,$D$8:$H$8)&gt;0.5,((SLOPE($D29:$H29,$D$8:$H$8)+H29)*RSQ($D29:$H29,$D$8:$H$8)+(AVERAGE($D29:$H29)*(1-RSQ($D29:$H29,$D$8:$H$8)))),AVERAGE($D29:$H29))</f>
        <v>#DIV/0!</v>
      </c>
      <c r="J29" s="103" t="e">
        <f t="shared" ref="J29:R30" ca="1" si="4">IF(RSQ($D29:$H29,$D$8:$H$8)&gt;0.5,((SLOPE($D29:$H29,$D$8:$H$8)+I29)*RSQ($D29:$H29,$D$8:$H$8)+(AVERAGE($D29:$H29)*(1-RSQ($D29:$H29,$D$8:$H$8)))),AVERAGE($D29:$H29))</f>
        <v>#DIV/0!</v>
      </c>
      <c r="K29" s="103" t="e">
        <f t="shared" ca="1" si="4"/>
        <v>#DIV/0!</v>
      </c>
      <c r="L29" s="103" t="e">
        <f t="shared" ca="1" si="4"/>
        <v>#DIV/0!</v>
      </c>
      <c r="M29" s="103" t="e">
        <f t="shared" ca="1" si="4"/>
        <v>#DIV/0!</v>
      </c>
      <c r="N29" s="103" t="e">
        <f t="shared" ca="1" si="4"/>
        <v>#DIV/0!</v>
      </c>
      <c r="O29" s="103" t="e">
        <f t="shared" ca="1" si="4"/>
        <v>#DIV/0!</v>
      </c>
      <c r="P29" s="103" t="e">
        <f t="shared" ca="1" si="4"/>
        <v>#DIV/0!</v>
      </c>
      <c r="Q29" s="103" t="e">
        <f t="shared" ca="1" si="4"/>
        <v>#DIV/0!</v>
      </c>
      <c r="R29" s="103" t="e">
        <f t="shared" ca="1" si="4"/>
        <v>#DIV/0!</v>
      </c>
    </row>
    <row r="30" spans="2:18" x14ac:dyDescent="0.25">
      <c r="B30" t="s">
        <v>140</v>
      </c>
      <c r="D30" s="103" t="e">
        <f>Operating_Model!D51/Operating_Model!D42</f>
        <v>#DIV/0!</v>
      </c>
      <c r="E30" s="103" t="e">
        <f>Operating_Model!E51/Operating_Model!E42</f>
        <v>#DIV/0!</v>
      </c>
      <c r="F30" s="103" t="e">
        <f>Operating_Model!F51/Operating_Model!F42</f>
        <v>#DIV/0!</v>
      </c>
      <c r="G30" s="103" t="e">
        <f>Operating_Model!G51/Operating_Model!G42</f>
        <v>#DIV/0!</v>
      </c>
      <c r="H30" s="103" t="e">
        <f>Operating_Model!H51/Operating_Model!H42</f>
        <v>#DIV/0!</v>
      </c>
      <c r="I30" s="103" t="e">
        <f ca="1">IF(RSQ($D30:$H30,$D$8:$H$8)&gt;0.5,((SLOPE($D30:$H30,$D$8:$H$8)+H30)*RSQ($D30:$H30,$D$8:$H$8)+(AVERAGE($D30:$H30)*(1-RSQ($D30:$H30,$D$8:$H$8)))),AVERAGE($D30:$H30))</f>
        <v>#DIV/0!</v>
      </c>
      <c r="J30" s="103" t="e">
        <f t="shared" ca="1" si="4"/>
        <v>#DIV/0!</v>
      </c>
      <c r="K30" s="103" t="e">
        <f t="shared" ca="1" si="4"/>
        <v>#DIV/0!</v>
      </c>
      <c r="L30" s="103" t="e">
        <f t="shared" ca="1" si="4"/>
        <v>#DIV/0!</v>
      </c>
      <c r="M30" s="103" t="e">
        <f ca="1">IF(RSQ($D30:$H30,$D$8:$H$8)&gt;0.5,((SLOPE($D30:$H30,$D$8:$H$8)+L30)*RSQ($D30:$H30,$D$8:$H$8)+(AVERAGE($D30:$H30)*(1-RSQ($D30:$H30,$D$8:$H$8)))),AVERAGE($D30:$H30))</f>
        <v>#DIV/0!</v>
      </c>
      <c r="N30" s="103" t="e">
        <f t="shared" ca="1" si="4"/>
        <v>#DIV/0!</v>
      </c>
      <c r="O30" s="103" t="e">
        <f t="shared" ca="1" si="4"/>
        <v>#DIV/0!</v>
      </c>
      <c r="P30" s="103" t="e">
        <f t="shared" ca="1" si="4"/>
        <v>#DIV/0!</v>
      </c>
      <c r="Q30" s="103" t="e">
        <f t="shared" ca="1" si="4"/>
        <v>#DIV/0!</v>
      </c>
      <c r="R30" s="103" t="e">
        <f t="shared" ca="1" si="4"/>
        <v>#DIV/0!</v>
      </c>
    </row>
    <row r="31" spans="2:18" x14ac:dyDescent="0.25">
      <c r="K31" s="110"/>
    </row>
    <row r="32" spans="2:18" x14ac:dyDescent="0.25">
      <c r="B32" s="105" t="s">
        <v>138</v>
      </c>
      <c r="C32" s="109"/>
      <c r="D32" s="253" t="e">
        <f t="shared" ref="D32:R32" si="5">SUM(D29:D30)*D24</f>
        <v>#DIV/0!</v>
      </c>
      <c r="E32" s="253" t="e">
        <f t="shared" si="5"/>
        <v>#DIV/0!</v>
      </c>
      <c r="F32" s="253" t="e">
        <f t="shared" si="5"/>
        <v>#DIV/0!</v>
      </c>
      <c r="G32" s="253" t="e">
        <f t="shared" si="5"/>
        <v>#DIV/0!</v>
      </c>
      <c r="H32" s="253" t="e">
        <f t="shared" si="5"/>
        <v>#DIV/0!</v>
      </c>
      <c r="I32" s="253" t="e">
        <f t="shared" ca="1" si="5"/>
        <v>#DIV/0!</v>
      </c>
      <c r="J32" s="253" t="e">
        <f t="shared" ca="1" si="5"/>
        <v>#DIV/0!</v>
      </c>
      <c r="K32" s="253" t="e">
        <f t="shared" ca="1" si="5"/>
        <v>#DIV/0!</v>
      </c>
      <c r="L32" s="253" t="e">
        <f t="shared" ca="1" si="5"/>
        <v>#DIV/0!</v>
      </c>
      <c r="M32" s="253" t="e">
        <f t="shared" ca="1" si="5"/>
        <v>#DIV/0!</v>
      </c>
      <c r="N32" s="253" t="e">
        <f t="shared" ca="1" si="5"/>
        <v>#DIV/0!</v>
      </c>
      <c r="O32" s="253" t="e">
        <f t="shared" ca="1" si="5"/>
        <v>#DIV/0!</v>
      </c>
      <c r="P32" s="253" t="e">
        <f t="shared" ca="1" si="5"/>
        <v>#DIV/0!</v>
      </c>
      <c r="Q32" s="253" t="e">
        <f t="shared" ca="1" si="5"/>
        <v>#DIV/0!</v>
      </c>
      <c r="R32" s="253" t="e">
        <f t="shared" ca="1" si="5"/>
        <v>#DIV/0!</v>
      </c>
    </row>
    <row r="35" spans="2:18" x14ac:dyDescent="0.25">
      <c r="B35" s="10" t="s">
        <v>141</v>
      </c>
    </row>
    <row r="37" spans="2:18" x14ac:dyDescent="0.25">
      <c r="B37" t="s">
        <v>142</v>
      </c>
      <c r="D37" s="103" t="e">
        <f>Operating_Model!D59/Operating_Model!D$42</f>
        <v>#DIV/0!</v>
      </c>
      <c r="E37" s="103" t="e">
        <f>Operating_Model!E59/Operating_Model!E$42</f>
        <v>#DIV/0!</v>
      </c>
      <c r="F37" s="103" t="e">
        <f>Operating_Model!F59/Operating_Model!F$42</f>
        <v>#DIV/0!</v>
      </c>
      <c r="G37" s="103" t="e">
        <f>Operating_Model!G59/Operating_Model!G$42</f>
        <v>#DIV/0!</v>
      </c>
      <c r="H37" s="103" t="e">
        <f>Operating_Model!H59/Operating_Model!H$42</f>
        <v>#DIV/0!</v>
      </c>
      <c r="I37" s="103" t="e">
        <f ca="1">Operating_Model!I59/Operating_Model!I$42</f>
        <v>#DIV/0!</v>
      </c>
      <c r="J37" s="103" t="e">
        <f ca="1">Operating_Model!J59/Operating_Model!J$42</f>
        <v>#DIV/0!</v>
      </c>
      <c r="K37" s="103" t="e">
        <f ca="1">Operating_Model!K59/Operating_Model!K$42</f>
        <v>#DIV/0!</v>
      </c>
      <c r="L37" s="103" t="e">
        <f ca="1">Operating_Model!L59/Operating_Model!L$42</f>
        <v>#DIV/0!</v>
      </c>
      <c r="M37" s="103" t="e">
        <f ca="1">Operating_Model!M59/Operating_Model!M$42</f>
        <v>#DIV/0!</v>
      </c>
      <c r="N37" s="103" t="e">
        <f ca="1">Operating_Model!N59/Operating_Model!N$42</f>
        <v>#DIV/0!</v>
      </c>
      <c r="O37" s="103" t="e">
        <f ca="1">Operating_Model!O59/Operating_Model!O$42</f>
        <v>#DIV/0!</v>
      </c>
      <c r="P37" s="103" t="e">
        <f ca="1">Operating_Model!P59/Operating_Model!P$42</f>
        <v>#DIV/0!</v>
      </c>
      <c r="Q37" s="103" t="e">
        <f ca="1">Operating_Model!Q59/Operating_Model!Q$42</f>
        <v>#DIV/0!</v>
      </c>
      <c r="R37" s="103" t="e">
        <f ca="1">Operating_Model!R59/Operating_Model!R$42</f>
        <v>#DIV/0!</v>
      </c>
    </row>
    <row r="38" spans="2:18" x14ac:dyDescent="0.25">
      <c r="B38" s="89" t="s">
        <v>403</v>
      </c>
      <c r="D38" s="103" t="e">
        <f>Operating_Model!D62/Operating_Model!D$42</f>
        <v>#DIV/0!</v>
      </c>
      <c r="E38" s="103" t="e">
        <f>Operating_Model!E62/Operating_Model!E$42</f>
        <v>#DIV/0!</v>
      </c>
      <c r="F38" s="103" t="e">
        <f>Operating_Model!F62/Operating_Model!F$42</f>
        <v>#DIV/0!</v>
      </c>
      <c r="G38" s="103" t="e">
        <f>Operating_Model!G62/Operating_Model!G$42</f>
        <v>#DIV/0!</v>
      </c>
      <c r="H38" s="103" t="e">
        <f>Operating_Model!H62/Operating_Model!H$42</f>
        <v>#DIV/0!</v>
      </c>
      <c r="I38" s="103" t="e">
        <f ca="1">Operating_Model!I62/Operating_Model!I$42</f>
        <v>#DIV/0!</v>
      </c>
      <c r="J38" s="103" t="e">
        <f ca="1">Operating_Model!J62/Operating_Model!J$42</f>
        <v>#DIV/0!</v>
      </c>
      <c r="K38" s="103" t="e">
        <f ca="1">Operating_Model!K62/Operating_Model!K$42</f>
        <v>#DIV/0!</v>
      </c>
      <c r="L38" s="103" t="e">
        <f ca="1">Operating_Model!L62/Operating_Model!L$42</f>
        <v>#DIV/0!</v>
      </c>
      <c r="M38" s="103" t="e">
        <f ca="1">Operating_Model!M62/Operating_Model!M$42</f>
        <v>#DIV/0!</v>
      </c>
      <c r="N38" s="103" t="e">
        <f ca="1">Operating_Model!N62/Operating_Model!N$42</f>
        <v>#DIV/0!</v>
      </c>
      <c r="O38" s="103" t="e">
        <f ca="1">Operating_Model!O62/Operating_Model!O$42</f>
        <v>#DIV/0!</v>
      </c>
      <c r="P38" s="103" t="e">
        <f ca="1">Operating_Model!P62/Operating_Model!P$42</f>
        <v>#DIV/0!</v>
      </c>
      <c r="Q38" s="103" t="e">
        <f ca="1">Operating_Model!Q62/Operating_Model!Q$42</f>
        <v>#DIV/0!</v>
      </c>
      <c r="R38" s="103" t="e">
        <f ca="1">Operating_Model!R62/Operating_Model!R$42</f>
        <v>#DIV/0!</v>
      </c>
    </row>
    <row r="39" spans="2:18" x14ac:dyDescent="0.25">
      <c r="B39" t="s">
        <v>219</v>
      </c>
      <c r="D39" s="103" t="e">
        <f>Operating_Model!D65/Operating_Model!D$42</f>
        <v>#DIV/0!</v>
      </c>
      <c r="E39" s="103" t="e">
        <f>Operating_Model!E65/Operating_Model!E$42</f>
        <v>#DIV/0!</v>
      </c>
      <c r="F39" s="103" t="e">
        <f>Operating_Model!F65/Operating_Model!F$42</f>
        <v>#DIV/0!</v>
      </c>
      <c r="G39" s="103" t="e">
        <f>Operating_Model!G65/Operating_Model!G$42</f>
        <v>#DIV/0!</v>
      </c>
      <c r="H39" s="103" t="e">
        <f>Operating_Model!H65/Operating_Model!H$42</f>
        <v>#DIV/0!</v>
      </c>
      <c r="I39" s="103" t="e">
        <f>Operating_Model!I65/Operating_Model!I$42</f>
        <v>#DIV/0!</v>
      </c>
      <c r="J39" s="103" t="e">
        <f>Operating_Model!J65/Operating_Model!J$42</f>
        <v>#DIV/0!</v>
      </c>
      <c r="K39" s="103" t="e">
        <f>Operating_Model!K65/Operating_Model!K$42</f>
        <v>#DIV/0!</v>
      </c>
      <c r="L39" s="103" t="e">
        <f>Operating_Model!L65/Operating_Model!L$42</f>
        <v>#DIV/0!</v>
      </c>
      <c r="M39" s="103" t="e">
        <f>Operating_Model!M65/Operating_Model!M$42</f>
        <v>#DIV/0!</v>
      </c>
      <c r="N39" s="103" t="e">
        <f>Operating_Model!N65/Operating_Model!N$42</f>
        <v>#DIV/0!</v>
      </c>
      <c r="O39" s="103" t="e">
        <f>Operating_Model!O65/Operating_Model!O$42</f>
        <v>#DIV/0!</v>
      </c>
      <c r="P39" s="103" t="e">
        <f>Operating_Model!P65/Operating_Model!P$42</f>
        <v>#DIV/0!</v>
      </c>
      <c r="Q39" s="103" t="e">
        <f>Operating_Model!Q65/Operating_Model!Q$42</f>
        <v>#DIV/0!</v>
      </c>
      <c r="R39" s="103" t="e">
        <f>Operating_Model!R65/Operating_Model!R$42</f>
        <v>#DIV/0!</v>
      </c>
    </row>
    <row r="40" spans="2:18" x14ac:dyDescent="0.25">
      <c r="K40" s="110"/>
    </row>
    <row r="41" spans="2:18" x14ac:dyDescent="0.25">
      <c r="B41" s="105" t="s">
        <v>141</v>
      </c>
      <c r="C41" s="109"/>
      <c r="D41" s="253" t="e">
        <f t="shared" ref="D41:R41" si="6">SUM(D37:D39)*D24</f>
        <v>#DIV/0!</v>
      </c>
      <c r="E41" s="253" t="e">
        <f t="shared" si="6"/>
        <v>#DIV/0!</v>
      </c>
      <c r="F41" s="253" t="e">
        <f t="shared" si="6"/>
        <v>#DIV/0!</v>
      </c>
      <c r="G41" s="253" t="e">
        <f t="shared" si="6"/>
        <v>#DIV/0!</v>
      </c>
      <c r="H41" s="253" t="e">
        <f t="shared" si="6"/>
        <v>#DIV/0!</v>
      </c>
      <c r="I41" s="253" t="e">
        <f t="shared" ca="1" si="6"/>
        <v>#DIV/0!</v>
      </c>
      <c r="J41" s="253" t="e">
        <f t="shared" ca="1" si="6"/>
        <v>#DIV/0!</v>
      </c>
      <c r="K41" s="253" t="e">
        <f t="shared" ca="1" si="6"/>
        <v>#DIV/0!</v>
      </c>
      <c r="L41" s="253" t="e">
        <f t="shared" ca="1" si="6"/>
        <v>#DIV/0!</v>
      </c>
      <c r="M41" s="253" t="e">
        <f t="shared" ca="1" si="6"/>
        <v>#DIV/0!</v>
      </c>
      <c r="N41" s="253" t="e">
        <f t="shared" ca="1" si="6"/>
        <v>#DIV/0!</v>
      </c>
      <c r="O41" s="253" t="e">
        <f t="shared" ca="1" si="6"/>
        <v>#DIV/0!</v>
      </c>
      <c r="P41" s="253" t="e">
        <f t="shared" ca="1" si="6"/>
        <v>#DIV/0!</v>
      </c>
      <c r="Q41" s="253" t="e">
        <f t="shared" ca="1" si="6"/>
        <v>#DIV/0!</v>
      </c>
      <c r="R41" s="253" t="e">
        <f t="shared" ca="1" si="6"/>
        <v>#DIV/0!</v>
      </c>
    </row>
    <row r="59" spans="9:9" x14ac:dyDescent="0.25">
      <c r="I59" s="89"/>
    </row>
  </sheetData>
  <phoneticPr fontId="3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0773-1928-4BBF-A8ED-797C0EF57003}">
  <sheetPr codeName="Sheet13"/>
  <dimension ref="B2:AN43"/>
  <sheetViews>
    <sheetView topLeftCell="N19" zoomScaleNormal="100" workbookViewId="0">
      <selection activeCell="D10" sqref="D10:F10"/>
    </sheetView>
  </sheetViews>
  <sheetFormatPr defaultRowHeight="15" x14ac:dyDescent="0.25"/>
  <cols>
    <col min="2" max="2" width="11.140625" bestFit="1" customWidth="1"/>
    <col min="3" max="3" width="10" bestFit="1" customWidth="1"/>
    <col min="4" max="4" width="20.28515625" bestFit="1" customWidth="1"/>
    <col min="5" max="5" width="25.5703125" bestFit="1" customWidth="1"/>
    <col min="6" max="6" width="10.5703125" bestFit="1" customWidth="1"/>
    <col min="8" max="8" width="14.42578125" bestFit="1" customWidth="1"/>
    <col min="11" max="11" width="8.5703125" bestFit="1" customWidth="1"/>
    <col min="12" max="12" width="10" bestFit="1" customWidth="1"/>
    <col min="13" max="13" width="13.85546875" customWidth="1"/>
    <col min="14" max="14" width="25.85546875" bestFit="1" customWidth="1"/>
    <col min="15" max="15" width="12.7109375" bestFit="1" customWidth="1"/>
    <col min="17" max="17" width="14.42578125" bestFit="1" customWidth="1"/>
    <col min="19" max="19" width="22.7109375" customWidth="1"/>
    <col min="20" max="20" width="10.5703125" bestFit="1" customWidth="1"/>
    <col min="21" max="24" width="11.5703125" bestFit="1" customWidth="1"/>
    <col min="25" max="25" width="10.85546875" bestFit="1" customWidth="1"/>
    <col min="26" max="34" width="10.7109375" bestFit="1" customWidth="1"/>
    <col min="35" max="35" width="11.5703125" bestFit="1" customWidth="1"/>
    <col min="39" max="39" width="10.5703125" bestFit="1" customWidth="1"/>
  </cols>
  <sheetData>
    <row r="2" spans="2:40" x14ac:dyDescent="0.25">
      <c r="C2" t="s">
        <v>233</v>
      </c>
      <c r="D2" t="s">
        <v>234</v>
      </c>
      <c r="E2" t="s">
        <v>235</v>
      </c>
      <c r="F2" t="s">
        <v>236</v>
      </c>
      <c r="H2" t="s">
        <v>237</v>
      </c>
      <c r="L2" t="s">
        <v>233</v>
      </c>
      <c r="M2" t="s">
        <v>238</v>
      </c>
      <c r="N2" t="s">
        <v>239</v>
      </c>
      <c r="O2" t="s">
        <v>240</v>
      </c>
      <c r="Q2" t="s">
        <v>237</v>
      </c>
      <c r="T2" s="5"/>
      <c r="U2" s="5"/>
      <c r="V2" s="1"/>
      <c r="W2" s="2" t="s">
        <v>85</v>
      </c>
      <c r="X2" s="1"/>
      <c r="Y2" s="1"/>
      <c r="Z2" s="4"/>
      <c r="AA2" s="3"/>
      <c r="AB2" s="3" t="s">
        <v>86</v>
      </c>
      <c r="AC2" s="3"/>
      <c r="AD2" s="3"/>
      <c r="AE2" s="3"/>
      <c r="AF2" s="3"/>
      <c r="AG2" s="3"/>
      <c r="AH2" s="3"/>
      <c r="AI2" s="3"/>
      <c r="AL2" s="158" t="s">
        <v>276</v>
      </c>
      <c r="AM2" s="158" t="s">
        <v>277</v>
      </c>
      <c r="AN2" s="158" t="s">
        <v>278</v>
      </c>
    </row>
    <row r="3" spans="2:40" x14ac:dyDescent="0.25">
      <c r="T3" s="7">
        <f ca="1">YEAR(T4)</f>
        <v>2018</v>
      </c>
      <c r="U3" s="7">
        <f ca="1">YEAR(U4)</f>
        <v>2019</v>
      </c>
      <c r="V3" s="7">
        <f t="shared" ref="V3:X3" ca="1" si="0">YEAR(V4)</f>
        <v>2020</v>
      </c>
      <c r="W3" s="7">
        <f t="shared" ca="1" si="0"/>
        <v>2021</v>
      </c>
      <c r="X3" s="7">
        <f t="shared" ca="1" si="0"/>
        <v>2022</v>
      </c>
      <c r="Y3" s="7">
        <f ca="1">YEAR(Y4)</f>
        <v>2023</v>
      </c>
      <c r="Z3" s="8">
        <f ca="1">YEAR(Z4)</f>
        <v>2024</v>
      </c>
      <c r="AA3" s="8">
        <f t="shared" ref="AA3:AI3" ca="1" si="1">YEAR(AA4)</f>
        <v>2025</v>
      </c>
      <c r="AB3" s="8">
        <f t="shared" ca="1" si="1"/>
        <v>2026</v>
      </c>
      <c r="AC3" s="8">
        <f t="shared" ca="1" si="1"/>
        <v>2027</v>
      </c>
      <c r="AD3" s="8">
        <f t="shared" ca="1" si="1"/>
        <v>2028</v>
      </c>
      <c r="AE3" s="8">
        <f t="shared" ca="1" si="1"/>
        <v>2029</v>
      </c>
      <c r="AF3" s="8">
        <f t="shared" ca="1" si="1"/>
        <v>2030</v>
      </c>
      <c r="AG3" s="8">
        <f t="shared" ca="1" si="1"/>
        <v>2031</v>
      </c>
      <c r="AH3" s="8">
        <f t="shared" ca="1" si="1"/>
        <v>2032</v>
      </c>
      <c r="AI3" s="8">
        <f t="shared" ca="1" si="1"/>
        <v>2033</v>
      </c>
      <c r="AK3" s="10" t="s">
        <v>281</v>
      </c>
    </row>
    <row r="4" spans="2:40" x14ac:dyDescent="0.25">
      <c r="B4" t="s">
        <v>241</v>
      </c>
      <c r="C4" s="149"/>
      <c r="D4" s="274"/>
      <c r="E4" s="69"/>
      <c r="F4" s="318"/>
      <c r="H4" s="122">
        <f ca="1">-PV(DCF!$C$12, C4-YEAR(DCF!$C$10), F4*D4, F4, 0)</f>
        <v>0</v>
      </c>
      <c r="K4" t="s">
        <v>242</v>
      </c>
      <c r="L4" s="149"/>
      <c r="M4" s="274"/>
      <c r="N4" s="69"/>
      <c r="O4" s="318"/>
      <c r="Q4" s="122">
        <f ca="1">-PV(DCF!$C$12, L4-YEAR(DCF!$C$10), O4*M4, O4, 0)</f>
        <v>0</v>
      </c>
      <c r="T4" s="9">
        <f t="shared" ref="T4" ca="1" si="2">EOMONTH(U4,-12)</f>
        <v>43465</v>
      </c>
      <c r="U4" s="9">
        <f t="shared" ref="U4" ca="1" si="3">EOMONTH(V4,-12)</f>
        <v>43830</v>
      </c>
      <c r="V4" s="9">
        <f t="shared" ref="V4" ca="1" si="4">EOMONTH(W4,-12)</f>
        <v>44196</v>
      </c>
      <c r="W4" s="9">
        <f t="shared" ref="W4" ca="1" si="5">EOMONTH(X4,-12)</f>
        <v>44561</v>
      </c>
      <c r="X4" s="9">
        <f ca="1">EOMONTH(Y4,-12)</f>
        <v>44926</v>
      </c>
      <c r="Y4" s="9">
        <f ca="1">DCF!H16</f>
        <v>45291</v>
      </c>
      <c r="Z4" s="9">
        <f ca="1">EOMONTH(Y4,12)</f>
        <v>45657</v>
      </c>
      <c r="AA4" s="9">
        <f t="shared" ref="AA4" ca="1" si="6">EOMONTH(Z4,12)</f>
        <v>46022</v>
      </c>
      <c r="AB4" s="9">
        <f t="shared" ref="AB4" ca="1" si="7">EOMONTH(AA4,12)</f>
        <v>46387</v>
      </c>
      <c r="AC4" s="9">
        <f t="shared" ref="AC4" ca="1" si="8">EOMONTH(AB4,12)</f>
        <v>46752</v>
      </c>
      <c r="AD4" s="9">
        <f t="shared" ref="AD4" ca="1" si="9">EOMONTH(AC4,12)</f>
        <v>47118</v>
      </c>
      <c r="AE4" s="9">
        <f t="shared" ref="AE4" ca="1" si="10">EOMONTH(AD4,12)</f>
        <v>47483</v>
      </c>
      <c r="AF4" s="9">
        <f t="shared" ref="AF4" ca="1" si="11">EOMONTH(AE4,12)</f>
        <v>47848</v>
      </c>
      <c r="AG4" s="9">
        <f t="shared" ref="AG4" ca="1" si="12">EOMONTH(AF4,12)</f>
        <v>48213</v>
      </c>
      <c r="AH4" s="9">
        <f t="shared" ref="AH4" ca="1" si="13">EOMONTH(AG4,12)</f>
        <v>48579</v>
      </c>
      <c r="AI4" s="9">
        <f t="shared" ref="AI4" ca="1" si="14">EOMONTH(AH4,12)</f>
        <v>48944</v>
      </c>
    </row>
    <row r="5" spans="2:40" x14ac:dyDescent="0.25">
      <c r="B5" t="s">
        <v>243</v>
      </c>
      <c r="C5" s="149"/>
      <c r="D5" s="274"/>
      <c r="E5" s="69"/>
      <c r="F5" s="318"/>
      <c r="H5" s="122">
        <f ca="1">-PV(DCF!$C$12, C5-YEAR(DCF!$C$10), F5*D5, F5, 0)</f>
        <v>0</v>
      </c>
      <c r="K5" t="s">
        <v>244</v>
      </c>
      <c r="L5" s="149"/>
      <c r="M5" s="274"/>
      <c r="N5" s="69"/>
      <c r="O5" s="318"/>
      <c r="Q5" s="122">
        <f ca="1">-PV(DCF!$C$12, L5-YEAR(DCF!$C$10), O5*M5, O5, 0)</f>
        <v>0</v>
      </c>
      <c r="S5" s="10" t="s">
        <v>245</v>
      </c>
      <c r="AK5" s="160">
        <f ca="1">Z3</f>
        <v>2024</v>
      </c>
      <c r="AL5" s="17" t="str" cm="1">
        <f t="array" ref="AL5">IF(COUNTBLANK(M4:M23)=20, IF(COUNTBLANK(D4:D23)=20, "N/A", SUMPRODUCT(D4:D23*F4:F23)/SUM(F4:F23)), SUMPRODUCT(M4:M23*O4:O23)/SUM(O4:O23))</f>
        <v>N/A</v>
      </c>
      <c r="AM5" s="260" t="e">
        <f>Z11</f>
        <v>#DIV/0!</v>
      </c>
      <c r="AN5" s="25" t="e" cm="1">
        <f t="array" aca="1" ref="AN5" ca="1">IF(COUNTBLANK(L4:L23)=20, IF(COUNTBLANK(C4:C23)=20, "N/A", SUMPRODUCT(C4:C23*F4:F23)/SUM(F4:F23)), SUMPRODUCT(L4:L23*O4:O23)/SUM(O4:O23))-YEAR(Z4)</f>
        <v>#VALUE!</v>
      </c>
    </row>
    <row r="6" spans="2:40" x14ac:dyDescent="0.25">
      <c r="B6" t="s">
        <v>246</v>
      </c>
      <c r="C6" s="149"/>
      <c r="D6" s="274"/>
      <c r="E6" s="69"/>
      <c r="F6" s="318"/>
      <c r="H6" s="122">
        <f ca="1">-PV(DCF!$C$12, C6-YEAR(DCF!$C$10), F6*D6, F6, 0)</f>
        <v>0</v>
      </c>
      <c r="K6" t="s">
        <v>247</v>
      </c>
      <c r="L6" s="149"/>
      <c r="M6" s="274"/>
      <c r="N6" s="69"/>
      <c r="O6" s="318"/>
      <c r="Q6" s="122">
        <f ca="1">-PV(DCF!$C$12, L6-YEAR(DCF!$C$10), O6*M6, O6, 0)</f>
        <v>0</v>
      </c>
      <c r="AK6" s="160">
        <f ca="1">AA3</f>
        <v>2025</v>
      </c>
      <c r="AL6" s="17" t="str">
        <f>AL5</f>
        <v>N/A</v>
      </c>
      <c r="AM6" s="260" t="e">
        <f>AA11</f>
        <v>#DIV/0!</v>
      </c>
      <c r="AN6" s="25" t="e">
        <f ca="1">AN5</f>
        <v>#VALUE!</v>
      </c>
    </row>
    <row r="7" spans="2:40" x14ac:dyDescent="0.25">
      <c r="B7" t="s">
        <v>248</v>
      </c>
      <c r="C7" s="149"/>
      <c r="D7" s="274"/>
      <c r="E7" s="69"/>
      <c r="F7" s="318"/>
      <c r="H7" s="122">
        <f ca="1">-PV(DCF!$C$12, C7-YEAR(DCF!$C$10), F7*D7, F7, 0)</f>
        <v>0</v>
      </c>
      <c r="K7" t="s">
        <v>249</v>
      </c>
      <c r="L7" s="149"/>
      <c r="M7" s="274"/>
      <c r="N7" s="69"/>
      <c r="O7" s="318"/>
      <c r="Q7" s="122">
        <f ca="1">-PV(DCF!$C$12, L7-YEAR(DCF!$C$10), O7*M7, O7, 0)</f>
        <v>0</v>
      </c>
      <c r="S7" t="s">
        <v>250</v>
      </c>
      <c r="T7" s="114"/>
      <c r="U7" s="260">
        <f>Operating_Model!D91</f>
        <v>0</v>
      </c>
      <c r="V7" s="260">
        <f>Operating_Model!E91</f>
        <v>0</v>
      </c>
      <c r="W7" s="260">
        <f>Operating_Model!F91</f>
        <v>0</v>
      </c>
      <c r="X7" s="260">
        <f>Operating_Model!G91</f>
        <v>0</v>
      </c>
      <c r="Y7" s="260">
        <f>Operating_Model!H91</f>
        <v>0</v>
      </c>
      <c r="Z7" s="260" cm="1">
        <f t="array" aca="1" ref="Z7" ca="1">(SUMPRODUCT(($C4:$C23&gt;=Z3)*($D4:$D23*$F4:$F23)))+(SUM(IF($L4:$L23&gt;=Z3, -IPMT($M4:$M23, 1, $L4:$L23-$Y3, $O4:$O23), 0)))+(SUM(IF($AK5:$AK14&lt;Z3,IFERROR(-IPMT($AL5:$AL14,Z3-$AK5:$AK14,$AN5:$AN14,$AM5:$AM14), 0),0)))</f>
        <v>0</v>
      </c>
      <c r="AA7" s="260" cm="1">
        <f t="array" aca="1" ref="AA7" ca="1">(SUMPRODUCT(($C4:$C23&gt;=AA3)*($D4:$D23*$F4:$F23)))+(SUM(IF($L4:$L23&gt;=AA3, -IPMT($M4:$M23, 2, $L4:$L23-$Y3, $O4:$O23), 0)))+(SUM(IF($AK5:$AK14&lt;AA3,IFERROR(-IPMT($AL5:$AL14,AA3-$AK5:$AK14,$AN5:$AN14,$AM5:$AM14), 0),0)))</f>
        <v>0</v>
      </c>
      <c r="AB7" s="260" cm="1">
        <f t="array" aca="1" ref="AB7" ca="1">(SUMPRODUCT(($C4:$C23&gt;=AB3)*($D4:$D23*$F4:$F23)))+(SUM(IF($L4:$L23&gt;=AB3, -IPMT($M4:$M23, 3, $L4:$L23-$Y3, $O4:$O23), 0)))+(SUM(IF($AK5:$AK14&lt;AB3,IFERROR(-IPMT($AL5:$AL14,AB3-$AK5:$AK14,$AN5:$AN14,$AM5:$AM14), 0),0)))</f>
        <v>0</v>
      </c>
      <c r="AC7" s="260" cm="1">
        <f t="array" aca="1" ref="AC7" ca="1">(SUMPRODUCT(($C4:$C23&gt;=AC3)*($D4:$D23*$F4:$F23)))+(SUM(IF($L4:$L23&gt;=AC3, -IPMT($M4:$M23, 4, $L4:$L23-$Y3, $O4:$O23), 0)))+(SUM(IF($AK5:$AK14&lt;AC3,IFERROR(-IPMT($AL5:$AL14,AC3-$AK5:$AK14,$AN5:$AN14,$AM5:$AM14), 0),0)))</f>
        <v>0</v>
      </c>
      <c r="AD7" s="260" cm="1">
        <f t="array" aca="1" ref="AD7" ca="1">(SUMPRODUCT(($C4:$C23&gt;=AD3)*($D4:$D23*$F4:$F23)))+(SUM(IF($L4:$L23&gt;=AD3, -IPMT($M4:$M23, 5, $L4:$L23-$Y3, $O4:$O23), 0)))+(SUM(IF($AK5:$AK14&lt;AD3,IFERROR(-IPMT($AL5:$AL14,AD3-$AK5:$AK14,$AN5:$AN14,$AM5:$AM14), 0),0)))</f>
        <v>0</v>
      </c>
      <c r="AE7" s="260" cm="1">
        <f t="array" aca="1" ref="AE7" ca="1">(SUMPRODUCT(($C4:$C23&gt;=AE3)*($D4:$D23*$F4:$F23)))+(SUM(IF($L4:$L23&gt;=AE3, -IPMT($M4:$M23, 6, $L4:$L23-$Y3, $O4:$O23), 0)))+(SUM(IF($AK5:$AK14&lt;AE3,IFERROR(-IPMT($AL5:$AL14,AE3-$AK5:$AK14,$AN5:$AN14,$AM5:$AM14), 0),0)))</f>
        <v>0</v>
      </c>
      <c r="AF7" s="260" cm="1">
        <f t="array" aca="1" ref="AF7" ca="1">(SUMPRODUCT(($C4:$C23&gt;=AF3)*($D4:$D23*$F4:$F23)))+(SUM(IF($L4:$L23&gt;=AF3, -IPMT($M4:$M23, 7, $L4:$L23-$Y3, $O4:$O23), 0)))+(SUM(IF($AK5:$AK14&lt;AF3,IFERROR(-IPMT($AL5:$AL14,AF3-$AK5:$AK14,$AN5:$AN14,$AM5:$AM14), 0),0)))</f>
        <v>0</v>
      </c>
      <c r="AG7" s="260" cm="1">
        <f t="array" aca="1" ref="AG7" ca="1">(SUMPRODUCT(($C4:$C23&gt;=AG3)*($D4:$D23*$F4:$F23)))+(SUM(IF($L4:$L23&gt;=AG3, -IPMT($M4:$M23, 8, $L4:$L23-$Y3, $O4:$O23), 0)))+(SUM(IF($AK5:$AK14&lt;AG3,IFERROR(-IPMT($AL5:$AL14,AG3-$AK5:$AK14,$AN5:$AN14,$AM5:$AM14), 0),0)))</f>
        <v>0</v>
      </c>
      <c r="AH7" s="260" cm="1">
        <f t="array" aca="1" ref="AH7" ca="1">(SUMPRODUCT(($C4:$C23&gt;=AH3)*($D4:$D23*$F4:$F23)))+(SUM(IF($L4:$L23&gt;=AH3, -IPMT($M4:$M23, 9, $L4:$L23-$Y3, $O4:$O23), 0)))+(SUM(IF($AK5:$AK14&lt;AH3,IFERROR(-IPMT($AL5:$AL14,AH3-$AK5:$AK14,$AN5:$AN14,$AM5:$AM14), 0),0)))</f>
        <v>0</v>
      </c>
      <c r="AI7" s="260" cm="1">
        <f t="array" aca="1" ref="AI7" ca="1">(SUMPRODUCT(($C4:$C23&gt;=AI3)*($D4:$D23*$F4:$F23)))+(SUM(IF($L4:$L23&gt;=AI3, -IPMT($M4:$M23, 10, $L4:$L23-$Y3, $O4:$O23), 0)))+(SUM(IF($AK5:$AK14&lt;AI3,IFERROR(-IPMT($AL5:$AL14,AI3-$AK5:$AK14,$AN5:$AN14,$AM5:$AM14), 0),0)))</f>
        <v>0</v>
      </c>
      <c r="AK7" s="160">
        <f ca="1">AB3</f>
        <v>2026</v>
      </c>
      <c r="AL7" s="17" t="str">
        <f t="shared" ref="AL7:AL8" si="15">AL6</f>
        <v>N/A</v>
      </c>
      <c r="AM7" s="260" t="e">
        <f>AB11</f>
        <v>#DIV/0!</v>
      </c>
      <c r="AN7" s="25" t="e">
        <f t="shared" ref="AN7:AN8" ca="1" si="16">AN6</f>
        <v>#VALUE!</v>
      </c>
    </row>
    <row r="8" spans="2:40" x14ac:dyDescent="0.25">
      <c r="B8" t="s">
        <v>251</v>
      </c>
      <c r="C8" s="149"/>
      <c r="D8" s="274"/>
      <c r="E8" s="69"/>
      <c r="F8" s="318"/>
      <c r="H8" s="122">
        <f ca="1">-PV(DCF!$C$12, C8-YEAR(DCF!$C$10), F8*D8, F8, 0)</f>
        <v>0</v>
      </c>
      <c r="K8" t="s">
        <v>252</v>
      </c>
      <c r="L8" s="149"/>
      <c r="M8" s="274"/>
      <c r="N8" s="69"/>
      <c r="O8" s="318"/>
      <c r="Q8" s="122">
        <f ca="1">-PV(DCF!$C$12, L8-YEAR(DCF!$C$10), O8*M8, O8, 0)</f>
        <v>0</v>
      </c>
      <c r="AA8" t="s">
        <v>253</v>
      </c>
      <c r="AK8" s="160">
        <f ca="1">AB3</f>
        <v>2026</v>
      </c>
      <c r="AL8" s="17" t="str">
        <f t="shared" si="15"/>
        <v>N/A</v>
      </c>
      <c r="AM8" s="260" t="e">
        <f>AC11</f>
        <v>#DIV/0!</v>
      </c>
      <c r="AN8" s="25" t="e">
        <f t="shared" ca="1" si="16"/>
        <v>#VALUE!</v>
      </c>
    </row>
    <row r="9" spans="2:40" ht="15" customHeight="1" x14ac:dyDescent="0.25">
      <c r="B9" t="s">
        <v>254</v>
      </c>
      <c r="C9" s="149"/>
      <c r="D9" s="274"/>
      <c r="E9" s="69"/>
      <c r="F9" s="318"/>
      <c r="H9" s="122">
        <f ca="1">-PV(DCF!$C$12, C9-YEAR(DCF!$C$10), F9*D9, F9, 0)</f>
        <v>0</v>
      </c>
      <c r="K9" t="s">
        <v>255</v>
      </c>
      <c r="L9" s="149"/>
      <c r="M9" s="278"/>
      <c r="N9" s="69"/>
      <c r="O9" s="318"/>
      <c r="Q9" s="122">
        <f ca="1">-PV(DCF!$C$12, L9-YEAR(DCF!$C$10), O9*M9, O9, 0)</f>
        <v>0</v>
      </c>
      <c r="S9" t="s">
        <v>256</v>
      </c>
      <c r="T9" s="114"/>
      <c r="U9" s="261"/>
      <c r="V9" s="261"/>
      <c r="W9" s="261"/>
      <c r="X9" s="261"/>
      <c r="Y9" s="261"/>
      <c r="Z9" s="260" cm="1">
        <f t="array" aca="1" ref="Z9" ca="1">(SUMIFS($F4:$F23, $C4:$C23, Z3))+(SUM(IF($L4:$L23&gt;=Z3, -PPMT($M4:$M23, 1, $L4:$L23-$Y3, $O4:$O23), 0)))+(SUM(IF($AK5:$AK14&lt;Z3,IFERROR(-PPMT($AL5:$AL14,Z3-$AK5:$AK14,$AN5:$AN14,$AM5:$AM14), 0),0)))</f>
        <v>0</v>
      </c>
      <c r="AA9" s="260" cm="1">
        <f t="array" aca="1" ref="AA9" ca="1">(SUMIFS($F4:$F23, $C4:$C23, AA3))+(SUM(IF($L4:$L23&gt;=AA3, -PPMT($M4:$M23, 2, $L4:$L23-$Y3, $O4:$O23), 0)))+(SUM(IF($AK5:$AK14&lt;AA3,IFERROR(-PPMT($AL5:$AL14,AA3-$AK5:$AK14,$AN5:$AN14,$AM5:$AM14), 0),0)))</f>
        <v>0</v>
      </c>
      <c r="AB9" s="260" cm="1">
        <f t="array" aca="1" ref="AB9" ca="1">(SUMIFS($F4:$F23, $C4:$C23, AB3))+(SUM(IF($L4:$L23&gt;=AB3, -PPMT($M4:$M23, 3, $L4:$L23-$Y3, $O4:$O23), 0)))+(SUM(IF($AK5:$AK14&lt;AB3,IFERROR(-PPMT($AL5:$AL14,AB3-$AK5:$AK14,$AN5:$AN14,$AM5:$AM14), 0),0)))</f>
        <v>0</v>
      </c>
      <c r="AC9" s="260" cm="1">
        <f t="array" aca="1" ref="AC9" ca="1">(SUMIFS($F4:$F23, $C4:$C23, AC3))+(SUM(IF($L4:$L23&gt;=AC3, -PPMT($M4:$M23, 4, $L4:$L23-$Y3, $O4:$O23), 0)))+(SUM(IF($AK5:$AK14&lt;AC3,IFERROR(-PPMT($AL5:$AL14,AC3-$AK5:$AK14,$AN5:$AN14,$AM5:$AM14), 0),0)))</f>
        <v>0</v>
      </c>
      <c r="AD9" s="260" cm="1">
        <f t="array" aca="1" ref="AD9" ca="1">(SUMIFS($F4:$F23, $C4:$C23, AD3))+(SUM(IF($L4:$L23&gt;=AD3, -PPMT($M4:$M23, 5, $L4:$L23-$Y3, $O4:$O23), 0)))+(SUM(IF($AK5:$AK14&lt;AD3,IFERROR(-PPMT($AL5:$AL14,AD3-$AK5:$AK14,$AN5:$AN14,$AM5:$AM14), 0),0)))</f>
        <v>0</v>
      </c>
      <c r="AE9" s="260" cm="1">
        <f t="array" aca="1" ref="AE9" ca="1">(SUMIFS($F4:$F23, $C4:$C23, AE3))+(SUM(IF($L4:$L23&gt;=AE3, -PPMT($M4:$M23, 6, $L4:$L23-$Y3, $O4:$O23), 0)))+(SUM(IF($AK5:$AK14&lt;AE3,IFERROR(-PPMT($AL5:$AL14,AE3-$AK5:$AK14,$AN5:$AN14,$AM5:$AM14), 0),0)))</f>
        <v>0</v>
      </c>
      <c r="AF9" s="260" cm="1">
        <f t="array" aca="1" ref="AF9" ca="1">(SUMIFS($F4:$F23, $C4:$C23, AF3))+(SUM(IF($L4:$L23&gt;=AF3, -PPMT($M4:$M23, 7, $L4:$L23-$Y3, $O4:$O23), 0)))+(SUM(IF($AK5:$AK14&lt;AF3,IFERROR(-PPMT($AL5:$AL14,AF3-$AK5:$AK14,$AN5:$AN14,$AM5:$AM14), 0),0)))</f>
        <v>0</v>
      </c>
      <c r="AG9" s="260" cm="1">
        <f t="array" aca="1" ref="AG9" ca="1">(SUMIFS($F4:$F23, $C4:$C23, AG3))+(SUM(IF($L4:$L23&gt;=AG3, -PPMT($M4:$M23, 8, $L4:$L23-$Y3, $O4:$O23), 0)))+(SUM(IF($AK5:$AK14&lt;AG3,IFERROR(-PPMT($AL5:$AL14,AG3-$AK5:$AK14,$AN5:$AN14,$AM5:$AM14), 0),0)))</f>
        <v>0</v>
      </c>
      <c r="AH9" s="260" cm="1">
        <f t="array" aca="1" ref="AH9" ca="1">(SUMIFS($F4:$F23, $C4:$C23, AH3))+(SUM(IF($L4:$L23&gt;=AH3, -PPMT($M4:$M23, 9, $L4:$L23-$Y3, $O4:$O23), 0)))+(SUM(IF($AK5:$AK14&lt;AH3,IFERROR(-PPMT($AL5:$AL14,AH3-$AK5:$AK14,$AN5:$AN14,$AM5:$AM14), 0),0)))</f>
        <v>0</v>
      </c>
      <c r="AI9" s="260" cm="1">
        <f t="array" aca="1" ref="AI9" ca="1">(SUMIFS($F4:$F23, $C4:$C23, AI3))+(SUM(IF($L4:$L23&gt;=AI3, -PPMT($M4:$M23, 10, $L4:$L23-$Y3, $O4:$O23), 0)))+(SUM(IF($AK5:$AK14&lt;AI3,IFERROR(-PPMT($AL5:$AL14,AI3-$AK5:$AK14,$AN5:$AN14,$AM5:$AM14), 0),0)))</f>
        <v>0</v>
      </c>
      <c r="AK9" s="160">
        <f ca="1">AD3</f>
        <v>2028</v>
      </c>
      <c r="AL9" s="17" t="str">
        <f>AL8</f>
        <v>N/A</v>
      </c>
      <c r="AM9" s="260" t="e">
        <f>AD11</f>
        <v>#DIV/0!</v>
      </c>
      <c r="AN9" s="25" t="e">
        <f ca="1">AN8</f>
        <v>#VALUE!</v>
      </c>
    </row>
    <row r="10" spans="2:40" x14ac:dyDescent="0.25">
      <c r="B10" t="s">
        <v>257</v>
      </c>
      <c r="C10" s="149"/>
      <c r="D10" s="274"/>
      <c r="E10" s="69"/>
      <c r="F10" s="318"/>
      <c r="H10" s="122">
        <f ca="1">-PV(DCF!$C$12, C10-YEAR(DCF!$C$10), F10*D10, F10, 0)</f>
        <v>0</v>
      </c>
      <c r="K10" t="s">
        <v>258</v>
      </c>
      <c r="L10" s="149"/>
      <c r="M10" s="274"/>
      <c r="N10" s="69"/>
      <c r="O10" s="318"/>
      <c r="Q10" s="122">
        <f ca="1">-PV(DCF!$C$12, L10-YEAR(DCF!$C$10), O10*M10, O10, 0)</f>
        <v>0</v>
      </c>
      <c r="AK10" s="160">
        <f ca="1">AE3</f>
        <v>2029</v>
      </c>
      <c r="AL10" s="17" t="str">
        <f t="shared" ref="AL10:AL14" si="17">AL9</f>
        <v>N/A</v>
      </c>
      <c r="AM10" s="260" t="e">
        <f>AE11</f>
        <v>#DIV/0!</v>
      </c>
      <c r="AN10" s="25" t="e">
        <f t="shared" ref="AN10:AN14" ca="1" si="18">AN9</f>
        <v>#VALUE!</v>
      </c>
    </row>
    <row r="11" spans="2:40" x14ac:dyDescent="0.25">
      <c r="B11" t="s">
        <v>259</v>
      </c>
      <c r="C11" s="149"/>
      <c r="D11" s="274"/>
      <c r="E11" s="69"/>
      <c r="F11" s="318"/>
      <c r="H11" s="122">
        <f ca="1">-PV(DCF!$C$12, C11-YEAR(DCF!$C$10), F11*D11, F11, 0)</f>
        <v>0</v>
      </c>
      <c r="K11" t="s">
        <v>260</v>
      </c>
      <c r="L11" s="149"/>
      <c r="M11" s="274"/>
      <c r="N11" s="69"/>
      <c r="O11" s="318"/>
      <c r="Q11" s="122">
        <f ca="1">-PV(DCF!$C$12, L11-YEAR(DCF!$C$10), O11*M11, O11, 0)</f>
        <v>0</v>
      </c>
      <c r="S11" t="s">
        <v>261</v>
      </c>
      <c r="T11" s="114"/>
      <c r="U11" s="261"/>
      <c r="V11" s="261"/>
      <c r="W11" s="261"/>
      <c r="X11" s="261"/>
      <c r="Y11" s="261"/>
      <c r="Z11" s="260" t="e">
        <f>AVERAGE(U11:Y11)</f>
        <v>#DIV/0!</v>
      </c>
      <c r="AA11" s="260" t="e">
        <f>Z11</f>
        <v>#DIV/0!</v>
      </c>
      <c r="AB11" s="260" t="e">
        <f t="shared" ref="AB11:AD11" si="19">AA11</f>
        <v>#DIV/0!</v>
      </c>
      <c r="AC11" s="260" t="e">
        <f t="shared" si="19"/>
        <v>#DIV/0!</v>
      </c>
      <c r="AD11" s="260" t="e">
        <f t="shared" si="19"/>
        <v>#DIV/0!</v>
      </c>
      <c r="AE11" s="260" t="e">
        <f t="shared" ref="AE11" si="20">AD11</f>
        <v>#DIV/0!</v>
      </c>
      <c r="AF11" s="260" t="e">
        <f>AE11</f>
        <v>#DIV/0!</v>
      </c>
      <c r="AG11" s="260" t="e">
        <f t="shared" ref="AG11" si="21">AF11</f>
        <v>#DIV/0!</v>
      </c>
      <c r="AH11" s="260" t="e">
        <f t="shared" ref="AH11" si="22">AG11</f>
        <v>#DIV/0!</v>
      </c>
      <c r="AI11" s="260" t="e">
        <f t="shared" ref="AI11" si="23">AH11</f>
        <v>#DIV/0!</v>
      </c>
      <c r="AK11" s="160">
        <f ca="1">AF3</f>
        <v>2030</v>
      </c>
      <c r="AL11" s="17" t="str">
        <f t="shared" si="17"/>
        <v>N/A</v>
      </c>
      <c r="AM11" s="260" t="e">
        <f>AF11</f>
        <v>#DIV/0!</v>
      </c>
      <c r="AN11" s="25" t="e">
        <f t="shared" ca="1" si="18"/>
        <v>#VALUE!</v>
      </c>
    </row>
    <row r="12" spans="2:40" x14ac:dyDescent="0.25">
      <c r="B12" t="s">
        <v>263</v>
      </c>
      <c r="C12" s="149"/>
      <c r="D12" s="274"/>
      <c r="E12" s="69"/>
      <c r="F12" s="318"/>
      <c r="H12" s="122">
        <f ca="1">-PV(DCF!$C$12, C12-YEAR(DCF!$C$10), F12*D12, F12, 0)</f>
        <v>0</v>
      </c>
      <c r="K12" t="s">
        <v>264</v>
      </c>
      <c r="L12" s="149"/>
      <c r="M12" s="274"/>
      <c r="N12" s="69"/>
      <c r="O12" s="318"/>
      <c r="Q12" s="122">
        <f ca="1">-PV(DCF!$C$12, L12-YEAR(DCF!$C$10), O12*M12, O12, 0)</f>
        <v>0</v>
      </c>
      <c r="AK12" s="160">
        <f ca="1">AG3</f>
        <v>2031</v>
      </c>
      <c r="AL12" s="17" t="str">
        <f t="shared" si="17"/>
        <v>N/A</v>
      </c>
      <c r="AM12" s="260" t="e">
        <f>AG11</f>
        <v>#DIV/0!</v>
      </c>
      <c r="AN12" s="25" t="e">
        <f t="shared" ca="1" si="18"/>
        <v>#VALUE!</v>
      </c>
    </row>
    <row r="13" spans="2:40" x14ac:dyDescent="0.25">
      <c r="B13" t="s">
        <v>265</v>
      </c>
      <c r="C13" s="149"/>
      <c r="D13" s="274"/>
      <c r="E13" s="69"/>
      <c r="F13" s="318"/>
      <c r="H13" s="122">
        <f ca="1">-PV(DCF!$C$12, C13-YEAR(DCF!$C$10), F13*D13, F13, 0)</f>
        <v>0</v>
      </c>
      <c r="K13" t="s">
        <v>266</v>
      </c>
      <c r="L13" s="149"/>
      <c r="M13" s="274"/>
      <c r="N13" s="69"/>
      <c r="O13" s="318"/>
      <c r="Q13" s="122">
        <f ca="1">-PV(DCF!$C$12, L13-YEAR(DCF!$C$10), O13*M13, O13, 0)</f>
        <v>0</v>
      </c>
      <c r="S13" s="105" t="s">
        <v>267</v>
      </c>
      <c r="T13" s="269"/>
      <c r="U13" s="270">
        <f>T13-U9+U11</f>
        <v>0</v>
      </c>
      <c r="V13" s="270">
        <f t="shared" ref="V13:AD13" si="24">U13-V9+V11</f>
        <v>0</v>
      </c>
      <c r="W13" s="270">
        <f t="shared" si="24"/>
        <v>0</v>
      </c>
      <c r="X13" s="270">
        <f t="shared" si="24"/>
        <v>0</v>
      </c>
      <c r="Y13" s="271">
        <f>F25+O25</f>
        <v>0</v>
      </c>
      <c r="Z13" s="270" t="e">
        <f ca="1">Y13-Z9+Z11</f>
        <v>#DIV/0!</v>
      </c>
      <c r="AA13" s="270" t="e">
        <f ca="1">Z13-AA9+AA11</f>
        <v>#DIV/0!</v>
      </c>
      <c r="AB13" s="270" t="e">
        <f t="shared" ca="1" si="24"/>
        <v>#DIV/0!</v>
      </c>
      <c r="AC13" s="270" t="e">
        <f t="shared" ca="1" si="24"/>
        <v>#DIV/0!</v>
      </c>
      <c r="AD13" s="270" t="e">
        <f t="shared" ca="1" si="24"/>
        <v>#DIV/0!</v>
      </c>
      <c r="AE13" s="270" t="e">
        <f t="shared" ref="AE13" ca="1" si="25">AD13-AE9+AE11</f>
        <v>#DIV/0!</v>
      </c>
      <c r="AF13" s="270" t="e">
        <f t="shared" ref="AF13" ca="1" si="26">AE13-AF9+AF11</f>
        <v>#DIV/0!</v>
      </c>
      <c r="AG13" s="270" t="e">
        <f t="shared" ref="AG13" ca="1" si="27">AF13-AG9+AG11</f>
        <v>#DIV/0!</v>
      </c>
      <c r="AH13" s="270" t="e">
        <f t="shared" ref="AH13" ca="1" si="28">AG13-AH9+AH11</f>
        <v>#DIV/0!</v>
      </c>
      <c r="AI13" s="270" t="e">
        <f t="shared" ref="AI13" ca="1" si="29">AH13-AI9+AI11</f>
        <v>#DIV/0!</v>
      </c>
      <c r="AK13" s="160">
        <f ca="1">AH3</f>
        <v>2032</v>
      </c>
      <c r="AL13" s="17" t="str">
        <f t="shared" si="17"/>
        <v>N/A</v>
      </c>
      <c r="AM13" s="260" t="e">
        <f>AH11</f>
        <v>#DIV/0!</v>
      </c>
      <c r="AN13" s="25" t="e">
        <f t="shared" ca="1" si="18"/>
        <v>#VALUE!</v>
      </c>
    </row>
    <row r="14" spans="2:40" x14ac:dyDescent="0.25">
      <c r="B14" t="s">
        <v>268</v>
      </c>
      <c r="C14" s="149"/>
      <c r="D14" s="274"/>
      <c r="E14" s="69"/>
      <c r="F14" s="318"/>
      <c r="H14" s="122">
        <f ca="1">-PV(DCF!$C$12, C14-YEAR(DCF!$C$10), F14*D14, F14, 0)</f>
        <v>0</v>
      </c>
      <c r="K14" t="s">
        <v>269</v>
      </c>
      <c r="L14" s="149"/>
      <c r="M14" s="274"/>
      <c r="N14" s="69"/>
      <c r="O14" s="318"/>
      <c r="Q14" s="122">
        <f ca="1">-PV(DCF!$C$12, L14-YEAR(DCF!$C$10), O14*M14, O14, 0)</f>
        <v>0</v>
      </c>
      <c r="AK14" s="160">
        <f ca="1">AI3</f>
        <v>2033</v>
      </c>
      <c r="AL14" s="17" t="str">
        <f t="shared" si="17"/>
        <v>N/A</v>
      </c>
      <c r="AM14" s="260" t="e">
        <f>AI11</f>
        <v>#DIV/0!</v>
      </c>
      <c r="AN14" s="25" t="e">
        <f t="shared" ca="1" si="18"/>
        <v>#VALUE!</v>
      </c>
    </row>
    <row r="15" spans="2:40" x14ac:dyDescent="0.25">
      <c r="B15" t="s">
        <v>270</v>
      </c>
      <c r="C15" s="149"/>
      <c r="D15" s="274"/>
      <c r="E15" s="69"/>
      <c r="F15" s="318"/>
      <c r="H15" s="122">
        <f ca="1">-PV(DCF!$C$12, C15-YEAR(DCF!$C$10), F15*D15, F15, 0)</f>
        <v>0</v>
      </c>
      <c r="K15" t="s">
        <v>271</v>
      </c>
      <c r="L15" s="149"/>
      <c r="M15" s="274"/>
      <c r="N15" s="69"/>
      <c r="O15" s="318"/>
      <c r="Q15" s="122">
        <f ca="1">-PV(DCF!$C$12, L15-YEAR(DCF!$C$10), O15*M15, O15, 0)</f>
        <v>0</v>
      </c>
      <c r="Y15" s="146" t="str">
        <f>IF(Y13=X13-Y9+Y11, "Balanced", "Unbalanced")</f>
        <v>Balanced</v>
      </c>
      <c r="AA15" t="s">
        <v>262</v>
      </c>
    </row>
    <row r="16" spans="2:40" x14ac:dyDescent="0.25">
      <c r="B16" t="s">
        <v>272</v>
      </c>
      <c r="C16" s="149"/>
      <c r="D16" s="274"/>
      <c r="E16" s="69"/>
      <c r="F16" s="318"/>
      <c r="H16" s="122">
        <f ca="1">-PV(DCF!$C$12, C16-YEAR(DCF!$C$10), F16*D16, F16, 0)</f>
        <v>0</v>
      </c>
      <c r="K16" t="s">
        <v>273</v>
      </c>
      <c r="L16" s="149"/>
      <c r="M16" s="274"/>
      <c r="N16" s="69"/>
      <c r="O16" s="318"/>
      <c r="Q16" s="122">
        <f ca="1">-PV(DCF!$C$12, L16-YEAR(DCF!$C$10), O16*M16, O16, 0)</f>
        <v>0</v>
      </c>
    </row>
    <row r="17" spans="2:35" x14ac:dyDescent="0.25">
      <c r="B17" t="s">
        <v>274</v>
      </c>
      <c r="C17" s="149"/>
      <c r="D17" s="274"/>
      <c r="E17" s="69"/>
      <c r="F17" s="318"/>
      <c r="H17" s="122">
        <f ca="1">-PV(DCF!$C$12, C17-YEAR(DCF!$C$10), F17*D17, F17, 0)</f>
        <v>0</v>
      </c>
      <c r="K17" t="s">
        <v>275</v>
      </c>
      <c r="L17" s="149"/>
      <c r="M17" s="274"/>
      <c r="N17" s="69"/>
      <c r="O17" s="318"/>
      <c r="Q17" s="122">
        <f ca="1">-PV(DCF!$C$12, L17-YEAR(DCF!$C$10), O17*M17, O17, 0)</f>
        <v>0</v>
      </c>
    </row>
    <row r="18" spans="2:35" x14ac:dyDescent="0.25">
      <c r="B18" t="s">
        <v>279</v>
      </c>
      <c r="C18" s="149"/>
      <c r="D18" s="274"/>
      <c r="E18" s="69"/>
      <c r="F18" s="318"/>
      <c r="H18" s="122">
        <f ca="1">-PV(DCF!$C$12, C18-YEAR(DCF!$C$10), F18*D18, F18, 0)</f>
        <v>0</v>
      </c>
      <c r="K18" t="s">
        <v>280</v>
      </c>
      <c r="L18" s="149"/>
      <c r="M18" s="274"/>
      <c r="N18" s="69"/>
      <c r="O18" s="318"/>
      <c r="Q18" s="122">
        <f ca="1">-PV(DCF!$C$12, L18-YEAR(DCF!$C$10), O18*M18, O18, 0)</f>
        <v>0</v>
      </c>
    </row>
    <row r="19" spans="2:35" x14ac:dyDescent="0.25">
      <c r="B19" t="s">
        <v>282</v>
      </c>
      <c r="C19" s="149"/>
      <c r="D19" s="274"/>
      <c r="E19" s="69"/>
      <c r="F19" s="318"/>
      <c r="H19" s="122">
        <f ca="1">-PV(DCF!$C$12, C19-YEAR(DCF!$C$10), F19*D19, F19, 0)</f>
        <v>0</v>
      </c>
      <c r="K19" t="s">
        <v>283</v>
      </c>
      <c r="L19" s="149"/>
      <c r="M19" s="274"/>
      <c r="N19" s="69"/>
      <c r="O19" s="318"/>
      <c r="Q19" s="122">
        <f ca="1">-PV(DCF!$C$12, L19-YEAR(DCF!$C$10), O19*M19, O19, 0)</f>
        <v>0</v>
      </c>
      <c r="AC19" s="160"/>
    </row>
    <row r="20" spans="2:35" x14ac:dyDescent="0.25">
      <c r="B20" t="s">
        <v>284</v>
      </c>
      <c r="C20" s="149"/>
      <c r="D20" s="274"/>
      <c r="E20" s="69"/>
      <c r="F20" s="318"/>
      <c r="H20" s="122">
        <f ca="1">-PV(DCF!$C$12, C20-YEAR(DCF!$C$10), F20*D20, F20, 0)</f>
        <v>0</v>
      </c>
      <c r="K20" t="s">
        <v>285</v>
      </c>
      <c r="L20" s="149"/>
      <c r="M20" s="274"/>
      <c r="N20" s="69"/>
      <c r="O20" s="318"/>
      <c r="Q20" s="122">
        <f ca="1">-PV(DCF!$C$12, L20-YEAR(DCF!$C$10), O20*M20, O20, 0)</f>
        <v>0</v>
      </c>
    </row>
    <row r="21" spans="2:35" x14ac:dyDescent="0.25">
      <c r="B21" t="s">
        <v>286</v>
      </c>
      <c r="C21" s="149"/>
      <c r="D21" s="274"/>
      <c r="E21" s="69"/>
      <c r="F21" s="318"/>
      <c r="H21" s="122">
        <f ca="1">-PV(DCF!$C$12, C21-YEAR(DCF!$C$10), F21*D21, F21, 0)</f>
        <v>0</v>
      </c>
      <c r="K21" t="s">
        <v>287</v>
      </c>
      <c r="L21" s="149"/>
      <c r="M21" s="274"/>
      <c r="N21" s="69"/>
      <c r="O21" s="318"/>
      <c r="Q21" s="122">
        <f ca="1">-PV(DCF!$C$12, L21-YEAR(DCF!$C$10), O21*M21, O21, 0)</f>
        <v>0</v>
      </c>
    </row>
    <row r="22" spans="2:35" x14ac:dyDescent="0.25">
      <c r="B22" t="s">
        <v>288</v>
      </c>
      <c r="C22" s="149"/>
      <c r="D22" s="274"/>
      <c r="E22" s="69"/>
      <c r="F22" s="318"/>
      <c r="H22" s="122">
        <f ca="1">-PV(DCF!$C$12, C22-YEAR(DCF!$C$10), F22*D22, F22, 0)</f>
        <v>0</v>
      </c>
      <c r="K22" t="s">
        <v>289</v>
      </c>
      <c r="L22" s="149"/>
      <c r="M22" s="274"/>
      <c r="N22" s="69"/>
      <c r="O22" s="318"/>
      <c r="Q22" s="122">
        <f ca="1">-PV(DCF!$C$12, L22-YEAR(DCF!$C$10), O22*M22, O22, 0)</f>
        <v>0</v>
      </c>
    </row>
    <row r="23" spans="2:35" x14ac:dyDescent="0.25">
      <c r="B23" t="s">
        <v>290</v>
      </c>
      <c r="C23" s="149"/>
      <c r="D23" s="274"/>
      <c r="E23" s="69"/>
      <c r="F23" s="318"/>
      <c r="H23" s="122">
        <f ca="1">-PV(DCF!$C$12, C23-YEAR(DCF!$C$10), F23*D23, F23, 0)</f>
        <v>0</v>
      </c>
      <c r="K23" t="s">
        <v>291</v>
      </c>
      <c r="L23" s="149"/>
      <c r="M23" s="274"/>
      <c r="N23" s="69"/>
      <c r="O23" s="318"/>
      <c r="Q23" s="122">
        <f ca="1">-PV(DCF!$C$12, L23-YEAR(DCF!$C$10), O23*M23, O23, 0)</f>
        <v>0</v>
      </c>
    </row>
    <row r="24" spans="2:35" x14ac:dyDescent="0.25">
      <c r="D24" s="275"/>
      <c r="F24" s="260"/>
      <c r="M24" s="277"/>
      <c r="O24" s="260"/>
    </row>
    <row r="25" spans="2:35" x14ac:dyDescent="0.25">
      <c r="B25" s="109" t="s">
        <v>267</v>
      </c>
      <c r="C25" s="109"/>
      <c r="D25" s="276" t="e">
        <f>SUMPRODUCT(D4:D23,F4:F23)/SUM(F4:F23)</f>
        <v>#DIV/0!</v>
      </c>
      <c r="E25" s="109"/>
      <c r="F25" s="253">
        <f>SUM(F4:F23)</f>
        <v>0</v>
      </c>
      <c r="G25" s="109"/>
      <c r="H25" s="123">
        <f ca="1">SUM(H4:H23)</f>
        <v>0</v>
      </c>
      <c r="K25" s="126" t="s">
        <v>292</v>
      </c>
      <c r="L25" s="126"/>
      <c r="M25" s="322"/>
      <c r="N25" s="126"/>
      <c r="O25" s="319">
        <f>SUM(O4:O23)</f>
        <v>0</v>
      </c>
      <c r="P25" s="126"/>
      <c r="Q25" s="127">
        <f ca="1">SUM(Q4:Q23)</f>
        <v>0</v>
      </c>
    </row>
    <row r="27" spans="2:35" ht="15.75" thickBot="1" x14ac:dyDescent="0.3">
      <c r="B27" s="19"/>
      <c r="C27" s="19"/>
      <c r="D27" s="152" t="str">
        <f>IF(Hub!D87="Yes","Bond Market Value Calculator Disabled",IF(AND(Hub!H28="Yes",Hub!D30="Yes"),"Bond Market Value Calculator Enabled","Bond Market Value Calculator Disabled"))</f>
        <v>Bond Market Value Calculator Disabled</v>
      </c>
      <c r="E27" s="152"/>
      <c r="F27" s="19"/>
      <c r="G27" s="19"/>
      <c r="H27" s="19"/>
      <c r="I27" s="19"/>
      <c r="J27" s="19"/>
      <c r="K27" s="19"/>
      <c r="L27" s="19"/>
      <c r="M27" s="19"/>
      <c r="N27" s="152" t="str">
        <f>IF(Hub!D87="Yes", "Bank Loan Calculator Disabled", IF(AND(Hub!H28="Yes", Hub!H30="Yes"), "Bank Loan Calculator Enabled", "Bank Loan Calculator Disabled"))</f>
        <v>Bank Loan Calculator Disabled</v>
      </c>
      <c r="O27" s="19"/>
      <c r="P27" s="19"/>
      <c r="Q27" s="19"/>
      <c r="R27" s="19"/>
      <c r="S27" s="19"/>
      <c r="T27" s="19"/>
      <c r="U27" s="19"/>
      <c r="V27" s="19"/>
      <c r="W27" s="19"/>
      <c r="X27" s="19"/>
      <c r="Y27" s="19"/>
      <c r="Z27" s="19"/>
      <c r="AA27" s="19"/>
      <c r="AB27" s="19"/>
      <c r="AC27" s="19"/>
      <c r="AD27" s="19"/>
      <c r="AE27" s="19"/>
      <c r="AF27" s="19"/>
      <c r="AG27" s="19"/>
      <c r="AH27" s="19"/>
      <c r="AI27" s="19"/>
    </row>
    <row r="28" spans="2:35" ht="15.75" thickTop="1" x14ac:dyDescent="0.25">
      <c r="X28" s="121" t="str">
        <f>IF(AND(D27="Bond Market Value Calculator Disabled", N27="Bank Loan Calculator Disabled"), "Backup Schedule Enabled", "Backup Schedule Disabled")</f>
        <v>Backup Schedule Enabled</v>
      </c>
    </row>
    <row r="30" spans="2:35" x14ac:dyDescent="0.25">
      <c r="T30" s="5"/>
      <c r="U30" s="5"/>
      <c r="V30" s="1"/>
      <c r="W30" s="2" t="s">
        <v>85</v>
      </c>
      <c r="X30" s="1"/>
      <c r="Y30" s="1"/>
      <c r="Z30" s="4"/>
      <c r="AA30" s="3"/>
      <c r="AB30" s="3" t="s">
        <v>86</v>
      </c>
      <c r="AC30" s="3"/>
      <c r="AD30" s="3"/>
      <c r="AE30" s="3"/>
      <c r="AF30" s="3"/>
      <c r="AG30" s="3"/>
      <c r="AH30" s="3"/>
      <c r="AI30" s="3"/>
    </row>
    <row r="31" spans="2:35" x14ac:dyDescent="0.25">
      <c r="T31" s="7">
        <f ca="1">YEAR(T32)</f>
        <v>2018</v>
      </c>
      <c r="U31" s="7">
        <f ca="1">YEAR(U32)</f>
        <v>2019</v>
      </c>
      <c r="V31" s="7">
        <f t="shared" ref="V31:Y31" ca="1" si="30">YEAR(V32)</f>
        <v>2020</v>
      </c>
      <c r="W31" s="7">
        <f t="shared" ca="1" si="30"/>
        <v>2021</v>
      </c>
      <c r="X31" s="7">
        <f t="shared" ca="1" si="30"/>
        <v>2022</v>
      </c>
      <c r="Y31" s="7">
        <f t="shared" ca="1" si="30"/>
        <v>2023</v>
      </c>
      <c r="Z31" s="8">
        <f ca="1">YEAR(Z32)</f>
        <v>2024</v>
      </c>
      <c r="AA31" s="8">
        <f t="shared" ref="AA31:AI31" ca="1" si="31">YEAR(AA32)</f>
        <v>2025</v>
      </c>
      <c r="AB31" s="8">
        <f t="shared" ca="1" si="31"/>
        <v>2026</v>
      </c>
      <c r="AC31" s="8">
        <f t="shared" ca="1" si="31"/>
        <v>2027</v>
      </c>
      <c r="AD31" s="8">
        <f t="shared" ca="1" si="31"/>
        <v>2028</v>
      </c>
      <c r="AE31" s="8">
        <f t="shared" ca="1" si="31"/>
        <v>2029</v>
      </c>
      <c r="AF31" s="8">
        <f t="shared" ca="1" si="31"/>
        <v>2030</v>
      </c>
      <c r="AG31" s="8">
        <f t="shared" ca="1" si="31"/>
        <v>2031</v>
      </c>
      <c r="AH31" s="8">
        <f t="shared" ca="1" si="31"/>
        <v>2032</v>
      </c>
      <c r="AI31" s="8">
        <f t="shared" ca="1" si="31"/>
        <v>2033</v>
      </c>
    </row>
    <row r="32" spans="2:35" x14ac:dyDescent="0.25">
      <c r="T32" s="9">
        <f t="shared" ref="T32:W32" ca="1" si="32">EOMONTH(U32,-12)</f>
        <v>43465</v>
      </c>
      <c r="U32" s="9">
        <f t="shared" ca="1" si="32"/>
        <v>43830</v>
      </c>
      <c r="V32" s="9">
        <f t="shared" ca="1" si="32"/>
        <v>44196</v>
      </c>
      <c r="W32" s="9">
        <f t="shared" ca="1" si="32"/>
        <v>44561</v>
      </c>
      <c r="X32" s="9">
        <f ca="1">EOMONTH(Y32,-12)</f>
        <v>44926</v>
      </c>
      <c r="Y32" s="9">
        <f ca="1">DCF!H16</f>
        <v>45291</v>
      </c>
      <c r="Z32" s="9">
        <f ca="1">EOMONTH(Y32,12)</f>
        <v>45657</v>
      </c>
      <c r="AA32" s="9">
        <f t="shared" ref="AA32:AD32" ca="1" si="33">EOMONTH(Z32,12)</f>
        <v>46022</v>
      </c>
      <c r="AB32" s="9">
        <f t="shared" ca="1" si="33"/>
        <v>46387</v>
      </c>
      <c r="AC32" s="9">
        <f t="shared" ca="1" si="33"/>
        <v>46752</v>
      </c>
      <c r="AD32" s="9">
        <f t="shared" ca="1" si="33"/>
        <v>47118</v>
      </c>
      <c r="AE32" s="9">
        <f t="shared" ref="AE32" ca="1" si="34">EOMONTH(AD32,12)</f>
        <v>47483</v>
      </c>
      <c r="AF32" s="9">
        <f t="shared" ref="AF32" ca="1" si="35">EOMONTH(AE32,12)</f>
        <v>47848</v>
      </c>
      <c r="AG32" s="9">
        <f t="shared" ref="AG32" ca="1" si="36">EOMONTH(AF32,12)</f>
        <v>48213</v>
      </c>
      <c r="AH32" s="9">
        <f t="shared" ref="AH32" ca="1" si="37">EOMONTH(AG32,12)</f>
        <v>48579</v>
      </c>
      <c r="AI32" s="9">
        <f t="shared" ref="AI32" ca="1" si="38">EOMONTH(AH32,12)</f>
        <v>48944</v>
      </c>
    </row>
    <row r="33" spans="19:35" x14ac:dyDescent="0.25">
      <c r="S33" s="10" t="s">
        <v>293</v>
      </c>
      <c r="T33" s="10"/>
    </row>
    <row r="34" spans="19:35" x14ac:dyDescent="0.25">
      <c r="U34" s="75"/>
      <c r="V34" s="75"/>
      <c r="W34" s="75"/>
      <c r="X34" s="75"/>
      <c r="Y34" s="75"/>
    </row>
    <row r="35" spans="19:35" x14ac:dyDescent="0.25">
      <c r="S35" t="s">
        <v>250</v>
      </c>
      <c r="T35" s="114"/>
      <c r="U35" s="260">
        <f>Operating_Model!D91</f>
        <v>0</v>
      </c>
      <c r="V35" s="260">
        <f>Operating_Model!E91</f>
        <v>0</v>
      </c>
      <c r="W35" s="260">
        <f>Operating_Model!F91</f>
        <v>0</v>
      </c>
      <c r="X35" s="260">
        <f>Operating_Model!G91</f>
        <v>0</v>
      </c>
      <c r="Y35" s="260">
        <f>Operating_Model!H91</f>
        <v>0</v>
      </c>
      <c r="Z35" s="260" t="e">
        <f>Y41*Z43</f>
        <v>#DIV/0!</v>
      </c>
      <c r="AA35" s="260" t="e">
        <f t="shared" ref="AA35:AD35" si="39">Z41*AA43</f>
        <v>#DIV/0!</v>
      </c>
      <c r="AB35" s="260" t="e">
        <f t="shared" si="39"/>
        <v>#DIV/0!</v>
      </c>
      <c r="AC35" s="260" t="e">
        <f t="shared" si="39"/>
        <v>#DIV/0!</v>
      </c>
      <c r="AD35" s="260" t="e">
        <f t="shared" si="39"/>
        <v>#DIV/0!</v>
      </c>
      <c r="AE35" s="260" t="e">
        <f t="shared" ref="AE35" si="40">AD41*AE43</f>
        <v>#DIV/0!</v>
      </c>
      <c r="AF35" s="260" t="e">
        <f t="shared" ref="AF35" si="41">AE41*AF43</f>
        <v>#DIV/0!</v>
      </c>
      <c r="AG35" s="260" t="e">
        <f t="shared" ref="AG35" si="42">AF41*AG43</f>
        <v>#DIV/0!</v>
      </c>
      <c r="AH35" s="260" t="e">
        <f t="shared" ref="AH35" si="43">AG41*AH43</f>
        <v>#DIV/0!</v>
      </c>
      <c r="AI35" s="260" t="e">
        <f t="shared" ref="AI35" si="44">AH41*AI43</f>
        <v>#DIV/0!</v>
      </c>
    </row>
    <row r="37" spans="19:35" x14ac:dyDescent="0.25">
      <c r="S37" t="s">
        <v>256</v>
      </c>
      <c r="T37" s="114"/>
      <c r="U37" s="264">
        <f>U9</f>
        <v>0</v>
      </c>
      <c r="V37" s="264">
        <f t="shared" ref="V37:Y37" si="45">V9</f>
        <v>0</v>
      </c>
      <c r="W37" s="264">
        <f t="shared" si="45"/>
        <v>0</v>
      </c>
      <c r="X37" s="264">
        <f t="shared" si="45"/>
        <v>0</v>
      </c>
      <c r="Y37" s="264">
        <f t="shared" si="45"/>
        <v>0</v>
      </c>
      <c r="Z37" s="260">
        <f>AVERAGE(U37:Y37)</f>
        <v>0</v>
      </c>
      <c r="AA37" s="260">
        <f>Z37</f>
        <v>0</v>
      </c>
      <c r="AB37" s="260">
        <f t="shared" ref="AB37:AD37" si="46">AA37</f>
        <v>0</v>
      </c>
      <c r="AC37" s="260">
        <f t="shared" si="46"/>
        <v>0</v>
      </c>
      <c r="AD37" s="260">
        <f t="shared" si="46"/>
        <v>0</v>
      </c>
      <c r="AE37" s="260">
        <f t="shared" ref="AE37" si="47">AD37</f>
        <v>0</v>
      </c>
      <c r="AF37" s="260">
        <f t="shared" ref="AF37" si="48">AE37</f>
        <v>0</v>
      </c>
      <c r="AG37" s="260">
        <f t="shared" ref="AG37" si="49">AF37</f>
        <v>0</v>
      </c>
      <c r="AH37" s="260">
        <f t="shared" ref="AH37" si="50">AG37</f>
        <v>0</v>
      </c>
      <c r="AI37" s="260">
        <f t="shared" ref="AI37" si="51">AH37</f>
        <v>0</v>
      </c>
    </row>
    <row r="39" spans="19:35" x14ac:dyDescent="0.25">
      <c r="S39" t="s">
        <v>261</v>
      </c>
      <c r="T39" s="114"/>
      <c r="U39" s="264">
        <f>U11</f>
        <v>0</v>
      </c>
      <c r="V39" s="264">
        <f t="shared" ref="V39:Y39" si="52">V11</f>
        <v>0</v>
      </c>
      <c r="W39" s="264">
        <f t="shared" si="52"/>
        <v>0</v>
      </c>
      <c r="X39" s="264">
        <f t="shared" si="52"/>
        <v>0</v>
      </c>
      <c r="Y39" s="264">
        <f t="shared" si="52"/>
        <v>0</v>
      </c>
      <c r="Z39" s="260">
        <f>AVERAGE(U39:Y39)</f>
        <v>0</v>
      </c>
      <c r="AA39" s="260">
        <f>Z39</f>
        <v>0</v>
      </c>
      <c r="AB39" s="260">
        <f t="shared" ref="AB39:AD39" si="53">AA39</f>
        <v>0</v>
      </c>
      <c r="AC39" s="260">
        <f t="shared" si="53"/>
        <v>0</v>
      </c>
      <c r="AD39" s="260">
        <f t="shared" si="53"/>
        <v>0</v>
      </c>
      <c r="AE39" s="260">
        <f t="shared" ref="AE39" si="54">AD39</f>
        <v>0</v>
      </c>
      <c r="AF39" s="260">
        <f t="shared" ref="AF39" si="55">AE39</f>
        <v>0</v>
      </c>
      <c r="AG39" s="260">
        <f t="shared" ref="AG39" si="56">AF39</f>
        <v>0</v>
      </c>
      <c r="AH39" s="260">
        <f t="shared" ref="AH39" si="57">AG39</f>
        <v>0</v>
      </c>
      <c r="AI39" s="260">
        <f t="shared" ref="AI39" si="58">AH39</f>
        <v>0</v>
      </c>
    </row>
    <row r="41" spans="19:35" x14ac:dyDescent="0.25">
      <c r="S41" s="105" t="s">
        <v>267</v>
      </c>
      <c r="T41" s="272">
        <f>T13</f>
        <v>0</v>
      </c>
      <c r="U41" s="270">
        <f>T41-U37+U39</f>
        <v>0</v>
      </c>
      <c r="V41" s="270">
        <f t="shared" ref="V41:AD41" si="59">U41-V37+V39</f>
        <v>0</v>
      </c>
      <c r="W41" s="270">
        <f t="shared" si="59"/>
        <v>0</v>
      </c>
      <c r="X41" s="270">
        <f t="shared" si="59"/>
        <v>0</v>
      </c>
      <c r="Y41" s="270">
        <f>X41-Y37+Y39</f>
        <v>0</v>
      </c>
      <c r="Z41" s="270">
        <f t="shared" si="59"/>
        <v>0</v>
      </c>
      <c r="AA41" s="270">
        <f t="shared" si="59"/>
        <v>0</v>
      </c>
      <c r="AB41" s="270">
        <f t="shared" si="59"/>
        <v>0</v>
      </c>
      <c r="AC41" s="270">
        <f t="shared" si="59"/>
        <v>0</v>
      </c>
      <c r="AD41" s="270">
        <f t="shared" si="59"/>
        <v>0</v>
      </c>
      <c r="AE41" s="270">
        <f t="shared" ref="AE41" si="60">AD41-AE37+AE39</f>
        <v>0</v>
      </c>
      <c r="AF41" s="270">
        <f t="shared" ref="AF41" si="61">AE41-AF37+AF39</f>
        <v>0</v>
      </c>
      <c r="AG41" s="270">
        <f t="shared" ref="AG41" si="62">AF41-AG37+AG39</f>
        <v>0</v>
      </c>
      <c r="AH41" s="270">
        <f t="shared" ref="AH41" si="63">AG41-AH37+AH39</f>
        <v>0</v>
      </c>
      <c r="AI41" s="270">
        <f t="shared" ref="AI41" si="64">AH41-AI37+AI39</f>
        <v>0</v>
      </c>
    </row>
    <row r="43" spans="19:35" x14ac:dyDescent="0.25">
      <c r="S43" s="105" t="s">
        <v>238</v>
      </c>
      <c r="T43" s="106" t="s">
        <v>90</v>
      </c>
      <c r="U43" s="273" t="e">
        <f>U35/T41</f>
        <v>#DIV/0!</v>
      </c>
      <c r="V43" s="273" t="e">
        <f t="shared" ref="V43:Y43" si="65">V35/U41</f>
        <v>#DIV/0!</v>
      </c>
      <c r="W43" s="273" t="e">
        <f t="shared" si="65"/>
        <v>#DIV/0!</v>
      </c>
      <c r="X43" s="273" t="e">
        <f t="shared" si="65"/>
        <v>#DIV/0!</v>
      </c>
      <c r="Y43" s="273" t="e">
        <f t="shared" si="65"/>
        <v>#DIV/0!</v>
      </c>
      <c r="Z43" s="159" t="e">
        <f>AVERAGE(U43:Y43)</f>
        <v>#DIV/0!</v>
      </c>
      <c r="AA43" s="159" t="e">
        <f>Z43</f>
        <v>#DIV/0!</v>
      </c>
      <c r="AB43" s="159" t="e">
        <f t="shared" ref="AB43:AD43" si="66">AA43</f>
        <v>#DIV/0!</v>
      </c>
      <c r="AC43" s="159" t="e">
        <f t="shared" si="66"/>
        <v>#DIV/0!</v>
      </c>
      <c r="AD43" s="159" t="e">
        <f t="shared" si="66"/>
        <v>#DIV/0!</v>
      </c>
      <c r="AE43" s="159" t="e">
        <f t="shared" ref="AE43" si="67">AD43</f>
        <v>#DIV/0!</v>
      </c>
      <c r="AF43" s="159" t="e">
        <f t="shared" ref="AF43" si="68">AE43</f>
        <v>#DIV/0!</v>
      </c>
      <c r="AG43" s="159" t="e">
        <f t="shared" ref="AG43" si="69">AF43</f>
        <v>#DIV/0!</v>
      </c>
      <c r="AH43" s="159" t="e">
        <f t="shared" ref="AH43" si="70">AG43</f>
        <v>#DIV/0!</v>
      </c>
      <c r="AI43" s="159" t="e">
        <f t="shared" ref="AI43" si="71">AH43</f>
        <v>#DIV/0!</v>
      </c>
    </row>
  </sheetData>
  <phoneticPr fontId="30" type="noConversion"/>
  <conditionalFormatting sqref="Y15">
    <cfRule type="expression" dxfId="1" priority="1">
      <formula>ISNUMBER(SEARCH("Unbalanced", Y15))</formula>
    </cfRule>
    <cfRule type="expression" dxfId="0" priority="2">
      <formula>ISNUMBER(SEARCH("Balanced", Y15))</formula>
    </cfRule>
  </conditionalFormatting>
  <dataValidations count="1">
    <dataValidation type="list" allowBlank="1" showInputMessage="1" showErrorMessage="1" errorTitle="Invalid Input" error="Please only answer &quot;Yes&quot; or &quot;No&quot; to this question" sqref="E4:E23 N4:N23" xr:uid="{32F98EB2-1796-407D-BA75-67E9FA382B64}">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Title_Sheet</vt:lpstr>
      <vt:lpstr>Hub</vt:lpstr>
      <vt:lpstr>Dashboard</vt:lpstr>
      <vt:lpstr>3_Main_Models ---&gt;</vt:lpstr>
      <vt:lpstr>DCF</vt:lpstr>
      <vt:lpstr>LBO</vt:lpstr>
      <vt:lpstr>Merger</vt:lpstr>
      <vt:lpstr>LBO_Extras ---&gt;</vt:lpstr>
      <vt:lpstr>DCF Synergies</vt:lpstr>
      <vt:lpstr>Main_Components ---&gt;</vt:lpstr>
      <vt:lpstr>Operating_Model</vt:lpstr>
      <vt:lpstr>WACC_Calculator</vt:lpstr>
      <vt:lpstr>D&amp;A+CAPEX</vt:lpstr>
      <vt:lpstr>Net_Working_Capital</vt:lpstr>
      <vt:lpstr>Scenario_Analysis---&gt;</vt:lpstr>
      <vt:lpstr>SC_Manager</vt:lpstr>
      <vt:lpstr>Time_Series</vt:lpstr>
      <vt:lpstr>Buildups---&gt;</vt:lpstr>
      <vt:lpstr>Revenue_Build</vt:lpstr>
      <vt:lpstr>Historicals</vt:lpstr>
      <vt:lpstr>Debt_Schedule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Valentino M</dc:creator>
  <cp:keywords/>
  <dc:description/>
  <cp:lastModifiedBy>Valentino Magniette-Bosseboeuf</cp:lastModifiedBy>
  <cp:revision/>
  <cp:lastPrinted>2024-04-30T17:06:00Z</cp:lastPrinted>
  <dcterms:created xsi:type="dcterms:W3CDTF">2015-06-05T18:17:20Z</dcterms:created>
  <dcterms:modified xsi:type="dcterms:W3CDTF">2024-05-19T21:39:02Z</dcterms:modified>
  <cp:category/>
  <cp:contentStatus/>
</cp:coreProperties>
</file>