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cernbox_shared\SmRunList\"/>
    </mc:Choice>
  </mc:AlternateContent>
  <bookViews>
    <workbookView xWindow="0" yWindow="0" windowWidth="16380" windowHeight="8190" tabRatio="500" activeTab="2"/>
  </bookViews>
  <sheets>
    <sheet name="Sm" sheetId="1" r:id="rId1"/>
    <sheet name="Sm samples at CIEMAT" sheetId="2" r:id="rId2"/>
    <sheet name="Vanessa Samples at n_TOF" sheetId="4" r:id="rId3"/>
  </sheets>
  <calcPr calcId="162913"/>
</workbook>
</file>

<file path=xl/calcChain.xml><?xml version="1.0" encoding="utf-8"?>
<calcChain xmlns="http://schemas.openxmlformats.org/spreadsheetml/2006/main">
  <c r="Q12" i="4" l="1"/>
  <c r="M12" i="4"/>
  <c r="J4" i="4" l="1"/>
  <c r="M6" i="4" s="1"/>
  <c r="Q6" i="4"/>
  <c r="Q7" i="4"/>
  <c r="Q8" i="4"/>
  <c r="M9" i="4"/>
  <c r="Q9" i="4"/>
  <c r="Q10" i="4"/>
  <c r="Q11" i="4"/>
  <c r="M8" i="4" l="1"/>
  <c r="M11" i="4"/>
  <c r="M7" i="4"/>
  <c r="M10" i="4"/>
  <c r="I22" i="1"/>
  <c r="L22" i="1" s="1"/>
  <c r="E22" i="1"/>
  <c r="F22" i="1" s="1"/>
  <c r="G22" i="1" s="1"/>
  <c r="J22" i="1" s="1"/>
  <c r="E23" i="1"/>
  <c r="F23" i="1" s="1"/>
  <c r="G23" i="1" s="1"/>
  <c r="L23" i="1"/>
  <c r="E24" i="1"/>
  <c r="F24" i="1" s="1"/>
  <c r="G24" i="1" s="1"/>
  <c r="L24" i="1"/>
  <c r="E25" i="1"/>
  <c r="F25" i="1"/>
  <c r="G25" i="1" s="1"/>
  <c r="J25" i="1" s="1"/>
  <c r="L25" i="1"/>
  <c r="E26" i="1"/>
  <c r="F26" i="1" s="1"/>
  <c r="G26" i="1" s="1"/>
  <c r="J26" i="1" s="1"/>
  <c r="L26" i="1"/>
  <c r="E27" i="1"/>
  <c r="F27" i="1"/>
  <c r="G27" i="1" s="1"/>
  <c r="L27" i="1"/>
  <c r="E28" i="1"/>
  <c r="F28" i="1" s="1"/>
  <c r="G28" i="1" s="1"/>
  <c r="L28" i="1"/>
  <c r="J28" i="1" l="1"/>
  <c r="H28" i="1"/>
  <c r="H24" i="1"/>
  <c r="J24" i="1"/>
  <c r="H23" i="1"/>
  <c r="J23" i="1"/>
  <c r="H27" i="1"/>
  <c r="J27" i="1"/>
  <c r="H25" i="1"/>
  <c r="H26" i="1"/>
  <c r="H22" i="1"/>
  <c r="B31" i="2"/>
  <c r="G33" i="2" l="1"/>
  <c r="H28" i="2"/>
  <c r="H29" i="2"/>
  <c r="H31" i="2"/>
  <c r="E33" i="2"/>
  <c r="B54" i="2" s="1"/>
  <c r="E31" i="2"/>
  <c r="B52" i="2" s="1"/>
  <c r="H33" i="2"/>
  <c r="H32" i="2"/>
  <c r="B33" i="2"/>
  <c r="B32" i="2"/>
  <c r="F32" i="2"/>
  <c r="E32" i="2" s="1"/>
  <c r="B53" i="2" s="1"/>
  <c r="C14" i="2" l="1"/>
  <c r="D14" i="2" s="1"/>
  <c r="C15" i="2"/>
  <c r="D15" i="2" s="1"/>
  <c r="C16" i="2"/>
  <c r="D16" i="2" s="1"/>
  <c r="C13" i="2"/>
  <c r="D13" i="2" s="1"/>
  <c r="E19" i="1" l="1"/>
  <c r="F19" i="1" s="1"/>
  <c r="G19" i="1" s="1"/>
  <c r="E20" i="1"/>
  <c r="E21" i="1"/>
  <c r="E17" i="1"/>
  <c r="E18" i="1"/>
  <c r="T18" i="1"/>
  <c r="T17" i="1" l="1"/>
  <c r="L17" i="1" l="1"/>
  <c r="F20" i="1"/>
  <c r="G20" i="1" s="1"/>
  <c r="H20" i="1" s="1"/>
  <c r="F21" i="1"/>
  <c r="G21" i="1" s="1"/>
  <c r="H21" i="1" s="1"/>
  <c r="F18" i="1"/>
  <c r="G18" i="1" s="1"/>
  <c r="H18" i="1" s="1"/>
  <c r="L20" i="1"/>
  <c r="L21" i="1"/>
  <c r="L18" i="1"/>
  <c r="L19" i="1"/>
  <c r="F17" i="1"/>
  <c r="G17" i="1" s="1"/>
  <c r="F7" i="2"/>
  <c r="F6" i="2"/>
  <c r="F5" i="2"/>
  <c r="F4" i="2"/>
  <c r="J21" i="1" l="1"/>
  <c r="J20" i="1"/>
  <c r="H19" i="1"/>
  <c r="J19" i="1"/>
  <c r="H17" i="1"/>
  <c r="J17" i="1"/>
  <c r="J18" i="1"/>
</calcChain>
</file>

<file path=xl/sharedStrings.xml><?xml version="1.0" encoding="utf-8"?>
<sst xmlns="http://schemas.openxmlformats.org/spreadsheetml/2006/main" count="120" uniqueCount="80">
  <si>
    <t>Material</t>
  </si>
  <si>
    <t>Container mass (g)</t>
  </si>
  <si>
    <t>Material mass (g)</t>
  </si>
  <si>
    <t>Total meas. (g)</t>
  </si>
  <si>
    <t>Total calculated (g)</t>
  </si>
  <si>
    <t>Sm-nat</t>
  </si>
  <si>
    <t>Sm-147</t>
  </si>
  <si>
    <t>Sm-149</t>
  </si>
  <si>
    <t>Sm-152</t>
  </si>
  <si>
    <t>Scale precision = 0.0001 g</t>
  </si>
  <si>
    <t>e</t>
  </si>
  <si>
    <t>Density Er (g/cm3)</t>
  </si>
  <si>
    <t>Density Au(g/cm3)</t>
  </si>
  <si>
    <t>Incertidumbre de 0.1 mg</t>
  </si>
  <si>
    <t>Incertidumbre 1 mg</t>
  </si>
  <si>
    <t>Daimeter (cm)</t>
  </si>
  <si>
    <t>Thickness (um)</t>
  </si>
  <si>
    <t>Thicknes (cm)</t>
  </si>
  <si>
    <t>Vol (cm3)</t>
  </si>
  <si>
    <t>Weight (g)</t>
  </si>
  <si>
    <t>Weight (mg)</t>
  </si>
  <si>
    <t>Measured Grams</t>
  </si>
  <si>
    <t>Different Percen</t>
  </si>
  <si>
    <t>Atoms per Barn</t>
  </si>
  <si>
    <t>Sm metallic</t>
  </si>
  <si>
    <t>Density Sm (g/cm3)</t>
  </si>
  <si>
    <t>Au</t>
  </si>
  <si>
    <t>Si la muestra fuera circular y 2.5 cm  de radio pesaría  0.785398163 veces menos</t>
  </si>
  <si>
    <t>Density Pb (g/cm3)</t>
  </si>
  <si>
    <t>Pb-Nat</t>
  </si>
  <si>
    <t>Pb208</t>
  </si>
  <si>
    <t>Pb206</t>
  </si>
  <si>
    <t>Material In the bottles</t>
  </si>
  <si>
    <t>Total material</t>
  </si>
  <si>
    <t>Material of Vanessa</t>
  </si>
  <si>
    <t>Sent to Vanessa from CIEMAT</t>
  </si>
  <si>
    <t>Material that was sent to CERN</t>
  </si>
  <si>
    <t>Material at CERN (After sent to Vanessa)</t>
  </si>
  <si>
    <t>Material in the thick samples</t>
  </si>
  <si>
    <t>Material lost in the sample production</t>
  </si>
  <si>
    <t>Sent to Vanessa from CERN</t>
  </si>
  <si>
    <t xml:space="preserve">For the </t>
  </si>
  <si>
    <t>The material in the thick sample there is an issue with the glue</t>
  </si>
  <si>
    <t>Sm-nat ~300 mg</t>
  </si>
  <si>
    <t>Sm-nat ~900 mg</t>
  </si>
  <si>
    <t>Mientras se hacian las muestras hubo un problema con la muestra de Sm152. Se puso pegamento en la muestra y no se peso correctamente antes de ponerlo. Asi que el valor de 0.9026 g que se midio hay que quitarle aproximademente 5 mg que es lo que creemos que pesa el pegamento. Por eso el valor en el excel es 0.8976. Debido a esto al incertidumebre en la masa de la muestra son 10 mg. Que corresponde con 1.11 %. Asi que tampoco es que sea muy grande</t>
  </si>
  <si>
    <t>Sent to Vanessa</t>
  </si>
  <si>
    <t>Mass (mg)</t>
  </si>
  <si>
    <t>Samples</t>
  </si>
  <si>
    <t>Comment about the 13mm x 5um sample</t>
  </si>
  <si>
    <t>The sample was made cutting the 25x25 um. The weighted mass was 7.6 mg. However there was glue in the sample so it is better to used 3.97 mg that is the one obteined with the thickness of the Sm 25x25um</t>
  </si>
  <si>
    <t>Al foil 125 um (**)</t>
  </si>
  <si>
    <t>Al foil 125 um (*)</t>
  </si>
  <si>
    <t>L4 (mm)</t>
  </si>
  <si>
    <t>L3 (mm)</t>
  </si>
  <si>
    <t>L2 (mm)</t>
  </si>
  <si>
    <t>L1 (mm)</t>
  </si>
  <si>
    <t>Measured empty Al foils dimensions</t>
  </si>
  <si>
    <t>g</t>
  </si>
  <si>
    <t xml:space="preserve">Scale precision = </t>
  </si>
  <si>
    <t>Sm + Al foil masses</t>
  </si>
  <si>
    <t>mg</t>
  </si>
  <si>
    <t xml:space="preserve">mg </t>
  </si>
  <si>
    <t>Sm-147 (#2)</t>
  </si>
  <si>
    <t>Sm-147 (#1)</t>
  </si>
  <si>
    <t>Sm-147 (no label)</t>
  </si>
  <si>
    <t>✅</t>
  </si>
  <si>
    <t>Sm-152 (#2)</t>
  </si>
  <si>
    <t>Sm-152 (#1)</t>
  </si>
  <si>
    <t>Estimated Al foil masses (subtracting reported Sm mass)</t>
  </si>
  <si>
    <t>Estimated Sm masses (subtract avg Al mass)</t>
  </si>
  <si>
    <t>Average Al foil mass</t>
  </si>
  <si>
    <t>Mass measured at Old CR at n_TOF (g)</t>
  </si>
  <si>
    <t>Vanessa sent the following material:  (masses reported by her)</t>
  </si>
  <si>
    <t>Selected for measurement</t>
  </si>
  <si>
    <t>Selected Sm-152</t>
  </si>
  <si>
    <t>Selected Sm-149</t>
  </si>
  <si>
    <t>Selected Sm-147</t>
  </si>
  <si>
    <t>natSm</t>
  </si>
  <si>
    <t>Selected natSm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</si>
</sst>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00_);_(* \(#,##0.00\);_(* &quot;-&quot;??_);_(@_)"/>
    <numFmt numFmtId="165" formatCode="0.0000"/>
    <numFmt numFmtId="166" formatCode="0.000"/>
    <numFmt numFmtId="167" formatCode="0.00000000"/>
    <numFmt numFmtId="168" formatCode="0.0"/>
    <numFmt numFmtId="169" formatCode="_(* #,##0.0000_);_(* \(#,##0.0000\);_(* &quot;-&quot;??_);_(@_)"/>
    <numFmt numFmtId="170" formatCode="_(* #,##0.00000_);_(* \(#,##0.00000\);_(* &quot;-&quot;??_);_(@_)"/>
  </numFmts>
  <fonts count="14"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ont>
    <font>
      <b/>
      <sz val="14"/>
      <color theme="1"/>
      <name val="Calibri"/>
      <family val="2"/>
      <charset val="1"/>
    </font>
    <font>
      <b/>
      <sz val="12"/>
      <color theme="1"/>
      <name val="Calibri"/>
      <family val="2"/>
      <charset val="1"/>
    </font>
    <font>
      <sz val="12"/>
      <color theme="1"/>
      <name val="Calibri"/>
      <family val="2"/>
      <charset val="1"/>
    </font>
    <font>
      <sz val="14"/>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sz val="14"/>
      <color theme="9" tint="-0.249977111117893"/>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
      <patternFill patternType="solid">
        <fgColor theme="5" tint="0.59999389629810485"/>
        <bgColor indexed="64"/>
      </patternFill>
    </fill>
  </fills>
  <borders count="15">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s>
  <cellStyleXfs count="4">
    <xf numFmtId="0" fontId="0" fillId="0" borderId="0"/>
    <xf numFmtId="164" fontId="5" fillId="0" borderId="0" applyBorder="0" applyAlignment="0" applyProtection="0"/>
    <xf numFmtId="0" fontId="4" fillId="0" borderId="0"/>
    <xf numFmtId="0" fontId="1" fillId="0" borderId="0"/>
  </cellStyleXfs>
  <cellXfs count="84">
    <xf numFmtId="0" fontId="0" fillId="0" borderId="0" xfId="0"/>
    <xf numFmtId="0" fontId="6" fillId="0" borderId="0" xfId="0" applyFont="1" applyAlignment="1">
      <alignment horizontal="center" vertical="center"/>
    </xf>
    <xf numFmtId="0" fontId="7" fillId="0" borderId="0" xfId="0" applyFont="1" applyAlignment="1">
      <alignment horizontal="center" vertical="center"/>
    </xf>
    <xf numFmtId="165" fontId="8" fillId="0" borderId="0" xfId="0" applyNumberFormat="1" applyFont="1" applyAlignment="1">
      <alignment horizontal="center" vertical="center"/>
    </xf>
    <xf numFmtId="165" fontId="8" fillId="0" borderId="0" xfId="0" applyNumberFormat="1" applyFont="1"/>
    <xf numFmtId="0" fontId="0" fillId="0" borderId="0" xfId="0" applyFont="1" applyAlignment="1"/>
    <xf numFmtId="0" fontId="4" fillId="0" borderId="0" xfId="2"/>
    <xf numFmtId="166" fontId="4" fillId="0" borderId="0" xfId="2" applyNumberFormat="1"/>
    <xf numFmtId="165" fontId="4" fillId="0" borderId="0" xfId="2" applyNumberFormat="1"/>
    <xf numFmtId="2" fontId="4" fillId="0" borderId="0" xfId="2" applyNumberFormat="1"/>
    <xf numFmtId="0" fontId="4" fillId="2" borderId="0" xfId="2" applyFill="1"/>
    <xf numFmtId="2" fontId="4" fillId="2" borderId="0" xfId="2" applyNumberFormat="1" applyFill="1"/>
    <xf numFmtId="0" fontId="4" fillId="3" borderId="0" xfId="2" applyFill="1"/>
    <xf numFmtId="0" fontId="4" fillId="4" borderId="0" xfId="2" applyFill="1"/>
    <xf numFmtId="2" fontId="4" fillId="4" borderId="0" xfId="2" applyNumberFormat="1" applyFill="1"/>
    <xf numFmtId="0" fontId="4" fillId="3" borderId="0" xfId="2" applyNumberFormat="1" applyFill="1"/>
    <xf numFmtId="2" fontId="4" fillId="0" borderId="0" xfId="2" applyNumberFormat="1" applyAlignment="1">
      <alignment wrapText="1"/>
    </xf>
    <xf numFmtId="168" fontId="4" fillId="0" borderId="0" xfId="2" applyNumberFormat="1"/>
    <xf numFmtId="167" fontId="4" fillId="0" borderId="0" xfId="2" applyNumberFormat="1"/>
    <xf numFmtId="169" fontId="5" fillId="0" borderId="0" xfId="1" applyNumberFormat="1"/>
    <xf numFmtId="170" fontId="0" fillId="0" borderId="0" xfId="0" applyNumberFormat="1"/>
    <xf numFmtId="0" fontId="3" fillId="0" borderId="0" xfId="2" applyFont="1"/>
    <xf numFmtId="0" fontId="3" fillId="2" borderId="0" xfId="2" applyFont="1" applyFill="1"/>
    <xf numFmtId="165" fontId="0" fillId="0" borderId="0" xfId="0" applyNumberFormat="1"/>
    <xf numFmtId="0" fontId="0" fillId="0" borderId="0" xfId="0" applyAlignment="1">
      <alignment horizontal="center" vertical="center" wrapText="1"/>
    </xf>
    <xf numFmtId="0" fontId="2" fillId="2" borderId="0" xfId="2" applyFont="1" applyFill="1"/>
    <xf numFmtId="170" fontId="4" fillId="3" borderId="0" xfId="2" applyNumberFormat="1" applyFill="1"/>
    <xf numFmtId="0" fontId="1" fillId="0" borderId="0" xfId="3"/>
    <xf numFmtId="0" fontId="1" fillId="0" borderId="1" xfId="3" applyBorder="1"/>
    <xf numFmtId="0" fontId="1" fillId="0" borderId="2" xfId="3" applyBorder="1"/>
    <xf numFmtId="0" fontId="1" fillId="0" borderId="3" xfId="3" applyBorder="1"/>
    <xf numFmtId="0" fontId="1" fillId="0" borderId="4" xfId="3" applyBorder="1"/>
    <xf numFmtId="0" fontId="1" fillId="0" borderId="0" xfId="3" applyBorder="1"/>
    <xf numFmtId="0" fontId="1" fillId="0" borderId="5" xfId="3" applyBorder="1"/>
    <xf numFmtId="0" fontId="9" fillId="0" borderId="4" xfId="3" applyFont="1" applyBorder="1"/>
    <xf numFmtId="0" fontId="9" fillId="0" borderId="0" xfId="3" applyFont="1" applyBorder="1"/>
    <xf numFmtId="0" fontId="9" fillId="0" borderId="5" xfId="3" applyFont="1" applyBorder="1"/>
    <xf numFmtId="0" fontId="10" fillId="0" borderId="5" xfId="3" applyFont="1" applyBorder="1"/>
    <xf numFmtId="0" fontId="11" fillId="0" borderId="6" xfId="3" applyFont="1" applyBorder="1" applyAlignment="1">
      <alignment horizontal="center" vertical="center"/>
    </xf>
    <xf numFmtId="0" fontId="11" fillId="0" borderId="7" xfId="3" applyFont="1" applyBorder="1" applyAlignment="1">
      <alignment horizontal="center" vertical="center"/>
    </xf>
    <xf numFmtId="0" fontId="9" fillId="0" borderId="0" xfId="3" applyFont="1"/>
    <xf numFmtId="49" fontId="9" fillId="0" borderId="0" xfId="3" applyNumberFormat="1" applyFont="1" applyAlignment="1"/>
    <xf numFmtId="168" fontId="9" fillId="0" borderId="1" xfId="3" applyNumberFormat="1" applyFont="1" applyBorder="1"/>
    <xf numFmtId="168" fontId="9" fillId="0" borderId="2" xfId="3" applyNumberFormat="1" applyFont="1" applyBorder="1"/>
    <xf numFmtId="165" fontId="9" fillId="0" borderId="2" xfId="3" applyNumberFormat="1" applyFont="1" applyBorder="1"/>
    <xf numFmtId="168" fontId="9" fillId="0" borderId="3" xfId="3" applyNumberFormat="1" applyFont="1" applyBorder="1"/>
    <xf numFmtId="168" fontId="9" fillId="0" borderId="0" xfId="3" applyNumberFormat="1" applyFont="1"/>
    <xf numFmtId="0" fontId="9" fillId="0" borderId="2" xfId="3" applyFont="1" applyBorder="1"/>
    <xf numFmtId="0" fontId="9" fillId="0" borderId="1" xfId="3" applyFont="1" applyBorder="1"/>
    <xf numFmtId="0" fontId="9" fillId="0" borderId="3" xfId="3" applyFont="1" applyBorder="1"/>
    <xf numFmtId="0" fontId="9" fillId="0" borderId="0" xfId="3" applyFont="1" applyAlignment="1">
      <alignment horizontal="center" vertical="center"/>
    </xf>
    <xf numFmtId="168" fontId="9" fillId="0" borderId="4" xfId="3" applyNumberFormat="1" applyFont="1" applyBorder="1"/>
    <xf numFmtId="168" fontId="9" fillId="0" borderId="0" xfId="3" applyNumberFormat="1" applyFont="1" applyBorder="1"/>
    <xf numFmtId="165" fontId="9" fillId="0" borderId="0" xfId="3" applyNumberFormat="1" applyFont="1" applyBorder="1"/>
    <xf numFmtId="168" fontId="9" fillId="0" borderId="5" xfId="3" applyNumberFormat="1" applyFont="1" applyBorder="1"/>
    <xf numFmtId="0" fontId="13" fillId="0" borderId="0" xfId="3" applyFont="1" applyAlignment="1">
      <alignment horizontal="center" vertical="center"/>
    </xf>
    <xf numFmtId="0" fontId="9" fillId="0" borderId="0" xfId="3" applyFont="1" applyAlignment="1">
      <alignment horizontal="center" vertical="center"/>
    </xf>
    <xf numFmtId="0" fontId="1" fillId="0" borderId="9" xfId="3" applyBorder="1"/>
    <xf numFmtId="0" fontId="9" fillId="0" borderId="10" xfId="3" applyFont="1" applyBorder="1"/>
    <xf numFmtId="0" fontId="1" fillId="0" borderId="11" xfId="3" applyBorder="1"/>
    <xf numFmtId="0" fontId="9" fillId="0" borderId="9" xfId="3" applyFont="1" applyBorder="1"/>
    <xf numFmtId="0" fontId="9" fillId="0" borderId="11" xfId="3" applyFont="1" applyBorder="1"/>
    <xf numFmtId="49" fontId="10" fillId="0" borderId="4" xfId="3" applyNumberFormat="1" applyFont="1" applyBorder="1" applyAlignment="1">
      <alignment horizontal="center" vertical="center" wrapText="1"/>
    </xf>
    <xf numFmtId="49" fontId="10" fillId="0" borderId="0" xfId="3" applyNumberFormat="1" applyFont="1" applyBorder="1" applyAlignment="1">
      <alignment horizontal="center" vertical="center" wrapText="1"/>
    </xf>
    <xf numFmtId="49" fontId="12" fillId="0" borderId="0" xfId="3" applyNumberFormat="1" applyFont="1" applyAlignment="1">
      <alignment vertical="center" wrapText="1"/>
    </xf>
    <xf numFmtId="0" fontId="12" fillId="0" borderId="0" xfId="3" applyFont="1" applyAlignment="1">
      <alignment horizontal="center" vertical="center" wrapText="1"/>
    </xf>
    <xf numFmtId="0" fontId="1" fillId="0" borderId="8" xfId="3" applyBorder="1"/>
    <xf numFmtId="0" fontId="1" fillId="0" borderId="7" xfId="3" applyBorder="1"/>
    <xf numFmtId="0" fontId="1" fillId="0" borderId="6" xfId="3" applyBorder="1"/>
    <xf numFmtId="0" fontId="12" fillId="0" borderId="14" xfId="3" applyFont="1" applyBorder="1" applyAlignment="1">
      <alignment horizontal="center" vertical="center"/>
    </xf>
    <xf numFmtId="0" fontId="12" fillId="0" borderId="13" xfId="3" applyFont="1" applyBorder="1" applyAlignment="1">
      <alignment horizontal="center" vertical="center"/>
    </xf>
    <xf numFmtId="0" fontId="12" fillId="0" borderId="12" xfId="3" applyFont="1" applyBorder="1" applyAlignment="1">
      <alignment horizontal="center" vertical="center"/>
    </xf>
    <xf numFmtId="49" fontId="12" fillId="0" borderId="14" xfId="3" applyNumberFormat="1" applyFont="1" applyBorder="1" applyAlignment="1">
      <alignment horizontal="center" vertical="center" wrapText="1"/>
    </xf>
    <xf numFmtId="49" fontId="12" fillId="0" borderId="12" xfId="3" applyNumberFormat="1" applyFont="1" applyBorder="1" applyAlignment="1">
      <alignment horizontal="center" vertical="center" wrapText="1"/>
    </xf>
    <xf numFmtId="49" fontId="12" fillId="0" borderId="8" xfId="3" applyNumberFormat="1" applyFont="1" applyBorder="1" applyAlignment="1">
      <alignment horizontal="center" vertical="center" wrapText="1"/>
    </xf>
    <xf numFmtId="49" fontId="12" fillId="0" borderId="7" xfId="3" applyNumberFormat="1" applyFont="1" applyBorder="1" applyAlignment="1">
      <alignment horizontal="center" vertical="center" wrapText="1"/>
    </xf>
    <xf numFmtId="49" fontId="12" fillId="0" borderId="6" xfId="3" applyNumberFormat="1" applyFont="1" applyBorder="1" applyAlignment="1">
      <alignment horizontal="center" vertical="center" wrapText="1"/>
    </xf>
    <xf numFmtId="49" fontId="12" fillId="0" borderId="11" xfId="3" applyNumberFormat="1" applyFont="1" applyBorder="1" applyAlignment="1">
      <alignment horizontal="center" vertical="center" wrapText="1"/>
    </xf>
    <xf numFmtId="49" fontId="12" fillId="0" borderId="10" xfId="3" applyNumberFormat="1" applyFont="1" applyBorder="1" applyAlignment="1">
      <alignment horizontal="center" vertical="center" wrapText="1"/>
    </xf>
    <xf numFmtId="49" fontId="12" fillId="0" borderId="9" xfId="3" applyNumberFormat="1" applyFont="1" applyBorder="1" applyAlignment="1">
      <alignment horizontal="center" vertical="center" wrapText="1"/>
    </xf>
    <xf numFmtId="49" fontId="12" fillId="0" borderId="13" xfId="3" applyNumberFormat="1" applyFont="1" applyBorder="1" applyAlignment="1">
      <alignment horizontal="center" vertical="center" wrapText="1"/>
    </xf>
    <xf numFmtId="0" fontId="9" fillId="0" borderId="0" xfId="3" applyFont="1" applyAlignment="1">
      <alignment horizontal="center" wrapText="1"/>
    </xf>
    <xf numFmtId="0" fontId="9" fillId="0" borderId="0" xfId="3" applyFont="1" applyAlignment="1">
      <alignment horizontal="center" vertical="center"/>
    </xf>
    <xf numFmtId="168" fontId="9" fillId="0" borderId="0" xfId="3" applyNumberFormat="1" applyFont="1" applyAlignment="1">
      <alignment horizontal="left" vertical="center"/>
    </xf>
  </cellXfs>
  <cellStyles count="4">
    <cellStyle name="Millares" xfId="1" builtinId="3"/>
    <cellStyle name="Normal" xfId="0" builtinId="0"/>
    <cellStyle name="Normal 2" xfId="2"/>
    <cellStyle name="Normal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1</xdr:col>
      <xdr:colOff>1362076</xdr:colOff>
      <xdr:row>19</xdr:row>
      <xdr:rowOff>28575</xdr:rowOff>
    </xdr:from>
    <xdr:ext cx="3267074" cy="3174787"/>
    <xdr:pic>
      <xdr:nvPicPr>
        <xdr:cNvPr id="2" name="Imagen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357" t="26420" r="15860" b="24717"/>
        <a:stretch/>
      </xdr:blipFill>
      <xdr:spPr>
        <a:xfrm>
          <a:off x="1524001" y="3457575"/>
          <a:ext cx="3267074" cy="3174787"/>
        </a:xfrm>
        <a:prstGeom prst="rect">
          <a:avLst/>
        </a:prstGeom>
      </xdr:spPr>
    </xdr:pic>
    <xdr:clientData/>
  </xdr:oneCellAnchor>
  <xdr:twoCellAnchor editAs="oneCell">
    <xdr:from>
      <xdr:col>12</xdr:col>
      <xdr:colOff>66675</xdr:colOff>
      <xdr:row>17</xdr:row>
      <xdr:rowOff>92552</xdr:rowOff>
    </xdr:from>
    <xdr:to>
      <xdr:col>15</xdr:col>
      <xdr:colOff>695325</xdr:colOff>
      <xdr:row>35</xdr:row>
      <xdr:rowOff>123825</xdr:rowOff>
    </xdr:to>
    <xdr:pic>
      <xdr:nvPicPr>
        <xdr:cNvPr id="3" name="Imagen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314" t="12343" r="28" b="8058"/>
        <a:stretch/>
      </xdr:blipFill>
      <xdr:spPr>
        <a:xfrm>
          <a:off x="10744200" y="4274027"/>
          <a:ext cx="2914650" cy="3555523"/>
        </a:xfrm>
        <a:prstGeom prst="rect">
          <a:avLst/>
        </a:prstGeom>
      </xdr:spPr>
    </xdr:pic>
    <xdr:clientData/>
  </xdr:twoCellAnchor>
  <xdr:twoCellAnchor editAs="oneCell">
    <xdr:from>
      <xdr:col>17</xdr:col>
      <xdr:colOff>333375</xdr:colOff>
      <xdr:row>17</xdr:row>
      <xdr:rowOff>108553</xdr:rowOff>
    </xdr:from>
    <xdr:to>
      <xdr:col>20</xdr:col>
      <xdr:colOff>523875</xdr:colOff>
      <xdr:row>35</xdr:row>
      <xdr:rowOff>142875</xdr:rowOff>
    </xdr:to>
    <xdr:pic>
      <xdr:nvPicPr>
        <xdr:cNvPr id="4" name="Imagen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8675" t="16098" r="15483" b="23485"/>
        <a:stretch/>
      </xdr:blipFill>
      <xdr:spPr>
        <a:xfrm>
          <a:off x="14820900" y="4290028"/>
          <a:ext cx="2476500" cy="3558572"/>
        </a:xfrm>
        <a:prstGeom prst="rect">
          <a:avLst/>
        </a:prstGeom>
      </xdr:spPr>
    </xdr:pic>
    <xdr:clientData/>
  </xdr:twoCellAnchor>
  <xdr:twoCellAnchor editAs="oneCell">
    <xdr:from>
      <xdr:col>8</xdr:col>
      <xdr:colOff>114300</xdr:colOff>
      <xdr:row>17</xdr:row>
      <xdr:rowOff>85725</xdr:rowOff>
    </xdr:from>
    <xdr:to>
      <xdr:col>10</xdr:col>
      <xdr:colOff>656371</xdr:colOff>
      <xdr:row>35</xdr:row>
      <xdr:rowOff>152400</xdr:rowOff>
    </xdr:to>
    <xdr:pic>
      <xdr:nvPicPr>
        <xdr:cNvPr id="5" name="Imagen 4"/>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5908" r="15232" b="26041"/>
        <a:stretch/>
      </xdr:blipFill>
      <xdr:spPr>
        <a:xfrm>
          <a:off x="7658100" y="4267200"/>
          <a:ext cx="2151796" cy="3590925"/>
        </a:xfrm>
        <a:prstGeom prst="rect">
          <a:avLst/>
        </a:prstGeom>
      </xdr:spPr>
    </xdr:pic>
    <xdr:clientData/>
  </xdr:twoCellAnchor>
</xdr:wsDr>
</file>

<file path=xl/tables/table1.xml><?xml version="1.0" encoding="utf-8"?>
<table xmlns="http://schemas.openxmlformats.org/spreadsheetml/2006/main" id="1" name="Tabla1" displayName="Tabla1" ref="B3:F7" totalsRowShown="0">
  <autoFilter ref="B3:F7"/>
  <tableColumns count="5">
    <tableColumn id="1" name="Material"/>
    <tableColumn id="2" name="Container mass (g)"/>
    <tableColumn id="3" name="Material mass (g)"/>
    <tableColumn id="4" name="Total meas. (g)"/>
    <tableColumn id="5" name="Total calculated (g)"/>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
  <sheetViews>
    <sheetView topLeftCell="A7" zoomScaleNormal="100" workbookViewId="0">
      <selection activeCell="A35" sqref="A35"/>
    </sheetView>
  </sheetViews>
  <sheetFormatPr baseColWidth="10" defaultRowHeight="15" x14ac:dyDescent="0.25"/>
  <cols>
    <col min="18" max="18" width="11.5703125" bestFit="1" customWidth="1"/>
  </cols>
  <sheetData>
    <row r="1" spans="1:18" x14ac:dyDescent="0.25">
      <c r="A1" t="s">
        <v>10</v>
      </c>
    </row>
    <row r="10" spans="1:18" x14ac:dyDescent="0.25">
      <c r="B10" s="21" t="s">
        <v>28</v>
      </c>
      <c r="C10" s="6">
        <v>11.34</v>
      </c>
      <c r="D10" s="16">
        <v>11.34</v>
      </c>
    </row>
    <row r="11" spans="1:18" x14ac:dyDescent="0.25">
      <c r="A11" s="6"/>
      <c r="B11" s="6" t="s">
        <v>25</v>
      </c>
      <c r="C11" s="6">
        <v>7.3529999999999998</v>
      </c>
      <c r="D11" s="16">
        <v>150.35</v>
      </c>
      <c r="E11" s="6"/>
      <c r="F11" s="6"/>
      <c r="G11" s="6"/>
      <c r="H11" s="6"/>
      <c r="I11" s="6"/>
      <c r="J11" s="6"/>
      <c r="K11" s="6"/>
      <c r="L11" s="6"/>
      <c r="M11" s="6"/>
      <c r="N11" s="6"/>
      <c r="O11" s="6"/>
      <c r="P11" s="6"/>
      <c r="Q11" s="6"/>
      <c r="R11" s="6"/>
    </row>
    <row r="12" spans="1:18" x14ac:dyDescent="0.25">
      <c r="A12" s="6"/>
      <c r="B12" s="6" t="s">
        <v>11</v>
      </c>
      <c r="C12" s="6">
        <v>9.0660000000000007</v>
      </c>
      <c r="D12" s="9">
        <v>167.25899999999999</v>
      </c>
      <c r="E12" s="6"/>
      <c r="F12" s="6"/>
      <c r="G12" s="6"/>
      <c r="H12" s="6"/>
      <c r="I12" s="6"/>
      <c r="J12" s="6"/>
      <c r="K12" s="6"/>
      <c r="L12" s="6"/>
      <c r="M12" s="6"/>
      <c r="N12" s="6"/>
      <c r="O12" s="6"/>
      <c r="P12" s="6"/>
      <c r="Q12" s="6"/>
      <c r="R12" s="6"/>
    </row>
    <row r="13" spans="1:18" x14ac:dyDescent="0.25">
      <c r="A13" s="6"/>
      <c r="B13" s="6" t="s">
        <v>12</v>
      </c>
      <c r="C13" s="6">
        <v>19.3</v>
      </c>
      <c r="D13" s="9">
        <v>196.96600000000001</v>
      </c>
      <c r="E13" s="6"/>
      <c r="F13" s="6"/>
      <c r="G13" s="6"/>
      <c r="H13" s="6"/>
      <c r="I13" s="6" t="s">
        <v>13</v>
      </c>
      <c r="J13" s="6" t="s">
        <v>14</v>
      </c>
      <c r="K13" s="6"/>
      <c r="L13" s="6"/>
      <c r="M13" s="6"/>
      <c r="N13" s="6"/>
      <c r="O13" s="6"/>
      <c r="P13" s="6"/>
      <c r="Q13" s="6"/>
      <c r="R13" s="6"/>
    </row>
    <row r="15" spans="1:18" x14ac:dyDescent="0.25">
      <c r="A15" s="6"/>
      <c r="B15" s="6"/>
      <c r="C15" s="6"/>
      <c r="D15" s="6"/>
      <c r="E15" s="6"/>
      <c r="F15" s="6"/>
      <c r="G15" s="6"/>
      <c r="H15" s="6"/>
      <c r="I15" s="6"/>
      <c r="J15" s="6"/>
      <c r="K15" s="6"/>
      <c r="L15" s="6"/>
      <c r="M15" s="6"/>
      <c r="N15" s="6"/>
      <c r="O15" s="6"/>
      <c r="P15" s="6"/>
      <c r="Q15" s="6"/>
      <c r="R15" s="6"/>
    </row>
    <row r="16" spans="1:18" x14ac:dyDescent="0.25">
      <c r="A16" s="6"/>
      <c r="B16" s="6" t="s">
        <v>0</v>
      </c>
      <c r="C16" s="6" t="s">
        <v>15</v>
      </c>
      <c r="D16" s="6" t="s">
        <v>16</v>
      </c>
      <c r="E16" s="6" t="s">
        <v>17</v>
      </c>
      <c r="F16" s="6" t="s">
        <v>18</v>
      </c>
      <c r="G16" s="6" t="s">
        <v>19</v>
      </c>
      <c r="H16" s="6" t="s">
        <v>20</v>
      </c>
      <c r="I16" s="6" t="s">
        <v>21</v>
      </c>
      <c r="J16" s="6" t="s">
        <v>22</v>
      </c>
      <c r="L16" s="6" t="s">
        <v>23</v>
      </c>
      <c r="M16" s="6"/>
      <c r="N16" s="6"/>
      <c r="O16" s="6"/>
      <c r="P16" s="6"/>
      <c r="Q16" s="6"/>
    </row>
    <row r="17" spans="1:20" x14ac:dyDescent="0.25">
      <c r="A17" s="6">
        <v>1</v>
      </c>
      <c r="B17" s="6" t="s">
        <v>24</v>
      </c>
      <c r="C17" s="7">
        <v>2.5</v>
      </c>
      <c r="D17" s="7">
        <v>5</v>
      </c>
      <c r="E17" s="7">
        <f>D17/10000</f>
        <v>5.0000000000000001E-4</v>
      </c>
      <c r="F17" s="7">
        <f>C17*C17*E17</f>
        <v>3.1250000000000002E-3</v>
      </c>
      <c r="G17" s="7">
        <f>C11*F17</f>
        <v>2.2978125000000002E-2</v>
      </c>
      <c r="H17" s="7">
        <f>G17*1000</f>
        <v>22.978125000000002</v>
      </c>
      <c r="I17" s="19">
        <v>1.8700000000000001E-2</v>
      </c>
      <c r="J17" s="17">
        <f t="shared" ref="J17:J21" si="0">(G17-I17)/G17*100</f>
        <v>18.618251053991568</v>
      </c>
      <c r="K17" s="7"/>
      <c r="L17" s="18">
        <f>6.022E+23*I17/$D$11/(C17*C17)/1E+24</f>
        <v>1.1983920186232128E-5</v>
      </c>
      <c r="M17" s="9"/>
      <c r="N17" s="21" t="s">
        <v>27</v>
      </c>
      <c r="O17" s="6"/>
      <c r="P17" s="6"/>
      <c r="Q17" s="6"/>
      <c r="T17" s="20">
        <f>0.785398163*I17*1000</f>
        <v>14.6869456481</v>
      </c>
    </row>
    <row r="18" spans="1:20" x14ac:dyDescent="0.25">
      <c r="A18" s="10">
        <v>2</v>
      </c>
      <c r="B18" s="10" t="s">
        <v>26</v>
      </c>
      <c r="C18" s="10">
        <v>2.5</v>
      </c>
      <c r="D18" s="10">
        <v>100</v>
      </c>
      <c r="E18" s="10">
        <f>D18/10000</f>
        <v>0.01</v>
      </c>
      <c r="F18" s="10">
        <f>C18*C18*E18</f>
        <v>6.25E-2</v>
      </c>
      <c r="G18" s="10">
        <f>C13*F18</f>
        <v>1.20625</v>
      </c>
      <c r="H18" s="10">
        <f>G18*1000</f>
        <v>1206.25</v>
      </c>
      <c r="I18" s="10">
        <v>1.2495000000000001</v>
      </c>
      <c r="J18" s="10">
        <f t="shared" si="0"/>
        <v>-3.5854922279792758</v>
      </c>
      <c r="K18" s="10"/>
      <c r="L18" s="10">
        <f>6.022E+23*I18/$D$13/(C18*C18)/1E+24</f>
        <v>6.1123150188357382E-4</v>
      </c>
      <c r="M18" s="11"/>
      <c r="N18" s="21" t="s">
        <v>27</v>
      </c>
      <c r="O18" s="10"/>
      <c r="P18" s="10"/>
      <c r="Q18" s="10"/>
      <c r="T18" s="20">
        <f>0.785398163*I18*1000</f>
        <v>981.35500466849999</v>
      </c>
    </row>
    <row r="19" spans="1:20" x14ac:dyDescent="0.25">
      <c r="A19" s="6">
        <v>3</v>
      </c>
      <c r="B19" s="21" t="s">
        <v>29</v>
      </c>
      <c r="C19" s="6">
        <v>8.0719999999999992</v>
      </c>
      <c r="D19" s="6">
        <v>2290</v>
      </c>
      <c r="E19" s="7">
        <f t="shared" ref="E19:E21" si="1">D19/10000</f>
        <v>0.22900000000000001</v>
      </c>
      <c r="F19" s="6">
        <f>C19*C19*PI()/4*E19</f>
        <v>11.718922175876658</v>
      </c>
      <c r="G19" s="8">
        <f>C10*F19</f>
        <v>132.89257747444131</v>
      </c>
      <c r="H19" s="7">
        <f>G19*1000</f>
        <v>132892.57747444132</v>
      </c>
      <c r="I19" s="13">
        <v>118.64870000000001</v>
      </c>
      <c r="J19" s="14">
        <f t="shared" si="0"/>
        <v>10.71833938745057</v>
      </c>
      <c r="L19" s="15">
        <f>6.022E+23*I19/$D$11/(PI()*C19*C19/4)/1E+24</f>
        <v>9.2864155801779431E-3</v>
      </c>
      <c r="M19" s="9"/>
      <c r="N19" s="6"/>
      <c r="O19" s="6"/>
      <c r="P19" s="6"/>
      <c r="Q19" s="6"/>
    </row>
    <row r="20" spans="1:20" x14ac:dyDescent="0.25">
      <c r="A20" s="10">
        <v>4</v>
      </c>
      <c r="B20" s="22" t="s">
        <v>30</v>
      </c>
      <c r="C20" s="10">
        <v>6.99</v>
      </c>
      <c r="D20" s="10">
        <v>1000</v>
      </c>
      <c r="E20" s="10">
        <f t="shared" si="1"/>
        <v>0.1</v>
      </c>
      <c r="F20" s="6">
        <f t="shared" ref="F20:F21" si="2">C20*C20*PI()/4*E20</f>
        <v>3.8374632803415665</v>
      </c>
      <c r="G20" s="8">
        <f>C10*F20</f>
        <v>43.516833599073365</v>
      </c>
      <c r="H20" s="7">
        <f t="shared" ref="H20:H21" si="3">G20*1000</f>
        <v>43516.833599073369</v>
      </c>
      <c r="I20" s="12">
        <v>42.00508</v>
      </c>
      <c r="J20" s="14">
        <f t="shared" si="0"/>
        <v>3.4739512828561052</v>
      </c>
      <c r="L20" s="15">
        <f>6.022E+23*I20/$D$11/(PI()*C20*C20/4)/1E+24</f>
        <v>4.3842458751901722E-3</v>
      </c>
      <c r="M20" s="11"/>
      <c r="N20" s="10"/>
      <c r="O20" s="10"/>
      <c r="P20" s="10"/>
      <c r="Q20" s="10"/>
    </row>
    <row r="21" spans="1:20" x14ac:dyDescent="0.25">
      <c r="A21" s="6">
        <v>5</v>
      </c>
      <c r="B21" s="21" t="s">
        <v>31</v>
      </c>
      <c r="C21" s="6">
        <v>6.98</v>
      </c>
      <c r="D21" s="6">
        <v>5000</v>
      </c>
      <c r="E21" s="7">
        <f t="shared" si="1"/>
        <v>0.5</v>
      </c>
      <c r="F21" s="6">
        <f t="shared" si="2"/>
        <v>19.132456339994523</v>
      </c>
      <c r="G21" s="8">
        <f>C10*F21</f>
        <v>216.96205489553788</v>
      </c>
      <c r="H21" s="7">
        <f t="shared" si="3"/>
        <v>216962.05489553788</v>
      </c>
      <c r="I21" s="13">
        <v>215.48</v>
      </c>
      <c r="J21" s="14">
        <f t="shared" si="0"/>
        <v>0.68309405358990538</v>
      </c>
      <c r="L21" s="15">
        <f>6.022E+23*I21/$D$11/(PI()*C21*C21/4)/1E+24</f>
        <v>2.2555037786129876E-2</v>
      </c>
      <c r="M21" s="9"/>
      <c r="N21" s="6"/>
      <c r="O21" s="6"/>
      <c r="P21" s="6"/>
      <c r="Q21" s="6"/>
    </row>
    <row r="22" spans="1:20" x14ac:dyDescent="0.25">
      <c r="A22" s="10">
        <v>6</v>
      </c>
      <c r="B22" s="25" t="s">
        <v>24</v>
      </c>
      <c r="C22" s="10">
        <v>1.3</v>
      </c>
      <c r="D22" s="10">
        <v>5</v>
      </c>
      <c r="E22" s="10">
        <f t="shared" ref="E22:E28" si="4">D22/10000</f>
        <v>5.0000000000000001E-4</v>
      </c>
      <c r="F22" s="6">
        <f>C22*C22*PI()/4*E22</f>
        <v>6.6366144807084384E-4</v>
      </c>
      <c r="G22" s="8">
        <f>C11*F22</f>
        <v>4.879902627664915E-3</v>
      </c>
      <c r="H22" s="7">
        <f t="shared" ref="H22:H28" si="5">G22*1000</f>
        <v>4.8799026276649151</v>
      </c>
      <c r="I22" s="26">
        <f>I17*0.65*0.65*PI()/2.5/2.5</f>
        <v>3.9713501052559301E-3</v>
      </c>
      <c r="J22" s="14">
        <f t="shared" ref="J22:J28" si="6">(G22-I22)/G22*100</f>
        <v>18.61825105399156</v>
      </c>
      <c r="L22" s="15">
        <f t="shared" ref="L22:L28" si="7">6.022E+23*I22/$D$11/(PI()*C22*C22/4)/1E+24</f>
        <v>1.1983920186232128E-5</v>
      </c>
      <c r="M22" s="11"/>
      <c r="N22" s="10"/>
      <c r="O22" s="10"/>
      <c r="P22" s="10"/>
      <c r="Q22" s="10"/>
    </row>
    <row r="23" spans="1:20" x14ac:dyDescent="0.25">
      <c r="A23" s="6">
        <v>7</v>
      </c>
      <c r="B23" s="21"/>
      <c r="C23" s="6">
        <v>6.96</v>
      </c>
      <c r="D23" s="6">
        <v>13000</v>
      </c>
      <c r="E23" s="7">
        <f t="shared" si="4"/>
        <v>1.3</v>
      </c>
      <c r="F23" s="6">
        <f t="shared" ref="F23:F28" si="8">C23*C23*PI()/4*E23</f>
        <v>49.459726773643979</v>
      </c>
      <c r="G23" s="8">
        <f t="shared" ref="G23" si="9">C12*F23</f>
        <v>448.40188292985636</v>
      </c>
      <c r="H23" s="7">
        <f t="shared" si="5"/>
        <v>448401.88292985637</v>
      </c>
      <c r="I23" s="13">
        <v>562.42984000000001</v>
      </c>
      <c r="J23" s="14">
        <f t="shared" si="6"/>
        <v>-25.42985687862981</v>
      </c>
      <c r="L23" s="15">
        <f t="shared" si="7"/>
        <v>5.9210306948848268E-2</v>
      </c>
    </row>
    <row r="24" spans="1:20" x14ac:dyDescent="0.25">
      <c r="A24" s="10">
        <v>8</v>
      </c>
      <c r="B24" s="22"/>
      <c r="C24" s="10">
        <v>6.95</v>
      </c>
      <c r="D24" s="10">
        <v>17000</v>
      </c>
      <c r="E24" s="10">
        <f t="shared" si="4"/>
        <v>1.7</v>
      </c>
      <c r="F24" s="6">
        <f t="shared" si="8"/>
        <v>64.492381138758915</v>
      </c>
      <c r="G24" s="8">
        <f t="shared" ref="G24" si="10">C14*F24</f>
        <v>0</v>
      </c>
      <c r="H24" s="7">
        <f t="shared" si="5"/>
        <v>0</v>
      </c>
      <c r="I24" s="12">
        <v>735.90476000000001</v>
      </c>
      <c r="J24" s="14" t="e">
        <f t="shared" si="6"/>
        <v>#DIV/0!</v>
      </c>
      <c r="L24" s="15">
        <f t="shared" si="7"/>
        <v>7.7696139457839875E-2</v>
      </c>
    </row>
    <row r="25" spans="1:20" x14ac:dyDescent="0.25">
      <c r="A25" s="6">
        <v>9</v>
      </c>
      <c r="B25" s="21"/>
      <c r="C25" s="6">
        <v>6.94</v>
      </c>
      <c r="D25" s="6">
        <v>21000</v>
      </c>
      <c r="E25" s="7">
        <f t="shared" si="4"/>
        <v>2.1</v>
      </c>
      <c r="F25" s="6">
        <f t="shared" si="8"/>
        <v>79.437966263479623</v>
      </c>
      <c r="G25" s="8">
        <f t="shared" ref="G25" si="11">C14*F25</f>
        <v>0</v>
      </c>
      <c r="H25" s="7">
        <f t="shared" si="5"/>
        <v>0</v>
      </c>
      <c r="I25" s="13">
        <v>909.37968000000001</v>
      </c>
      <c r="J25" s="14" t="e">
        <f t="shared" si="6"/>
        <v>#DIV/0!</v>
      </c>
      <c r="L25" s="15">
        <f t="shared" si="7"/>
        <v>9.6288349442967172E-2</v>
      </c>
    </row>
    <row r="26" spans="1:20" x14ac:dyDescent="0.25">
      <c r="A26" s="10">
        <v>10</v>
      </c>
      <c r="B26" s="22"/>
      <c r="C26" s="10">
        <v>6.93</v>
      </c>
      <c r="D26" s="10">
        <v>25000</v>
      </c>
      <c r="E26" s="10">
        <f t="shared" si="4"/>
        <v>2.5</v>
      </c>
      <c r="F26" s="6">
        <f t="shared" si="8"/>
        <v>94.296670643365275</v>
      </c>
      <c r="G26" s="8" t="e">
        <f t="shared" ref="G26" si="12">C16*F26</f>
        <v>#VALUE!</v>
      </c>
      <c r="H26" s="7" t="e">
        <f t="shared" si="5"/>
        <v>#VALUE!</v>
      </c>
      <c r="I26" s="12">
        <v>1082.8545999999999</v>
      </c>
      <c r="J26" s="14" t="e">
        <f t="shared" si="6"/>
        <v>#VALUE!</v>
      </c>
      <c r="L26" s="15">
        <f t="shared" si="7"/>
        <v>0.11498762763275459</v>
      </c>
    </row>
    <row r="27" spans="1:20" x14ac:dyDescent="0.25">
      <c r="A27" s="6">
        <v>11</v>
      </c>
      <c r="B27" s="21"/>
      <c r="C27" s="6">
        <v>6.92</v>
      </c>
      <c r="D27" s="6">
        <v>29000</v>
      </c>
      <c r="E27" s="7">
        <f t="shared" si="4"/>
        <v>2.9</v>
      </c>
      <c r="F27" s="6">
        <f t="shared" si="8"/>
        <v>109.06868277397515</v>
      </c>
      <c r="G27" s="8" t="e">
        <f t="shared" ref="G27" si="13">C16*F27</f>
        <v>#VALUE!</v>
      </c>
      <c r="H27" s="7" t="e">
        <f t="shared" si="5"/>
        <v>#VALUE!</v>
      </c>
      <c r="I27" s="13">
        <v>1256.32952</v>
      </c>
      <c r="J27" s="14" t="e">
        <f t="shared" si="6"/>
        <v>#VALUE!</v>
      </c>
      <c r="L27" s="15">
        <f t="shared" si="7"/>
        <v>0.13379467008105139</v>
      </c>
    </row>
    <row r="28" spans="1:20" x14ac:dyDescent="0.25">
      <c r="A28" s="10">
        <v>12</v>
      </c>
      <c r="B28" s="22"/>
      <c r="C28" s="10">
        <v>6.91</v>
      </c>
      <c r="D28" s="10">
        <v>33000</v>
      </c>
      <c r="E28" s="10">
        <f t="shared" si="4"/>
        <v>3.3</v>
      </c>
      <c r="F28" s="6">
        <f t="shared" si="8"/>
        <v>123.75419115086841</v>
      </c>
      <c r="G28" s="8">
        <f t="shared" ref="G28" si="14">C18*F28</f>
        <v>309.38547787717101</v>
      </c>
      <c r="H28" s="7">
        <f t="shared" si="5"/>
        <v>309385.47787717101</v>
      </c>
      <c r="I28" s="12">
        <v>1429.8044400000001</v>
      </c>
      <c r="J28" s="14">
        <f t="shared" si="6"/>
        <v>-362.14335909057957</v>
      </c>
      <c r="L28" s="15">
        <f t="shared" si="7"/>
        <v>0.15271017821522201</v>
      </c>
    </row>
    <row r="33" spans="1:1" x14ac:dyDescent="0.25">
      <c r="A33" t="s">
        <v>49</v>
      </c>
    </row>
    <row r="34" spans="1:1" x14ac:dyDescent="0.25">
      <c r="A34" t="s">
        <v>50</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54"/>
  <sheetViews>
    <sheetView zoomScale="85" zoomScaleNormal="85" workbookViewId="0">
      <selection activeCell="G29" sqref="G29"/>
    </sheetView>
  </sheetViews>
  <sheetFormatPr baseColWidth="10" defaultColWidth="9.140625" defaultRowHeight="15" x14ac:dyDescent="0.25"/>
  <cols>
    <col min="1" max="1" width="16.5703125" customWidth="1"/>
    <col min="2" max="2" width="16.140625" customWidth="1"/>
    <col min="3" max="3" width="28.7109375" customWidth="1"/>
    <col min="4" max="5" width="25.28515625" customWidth="1"/>
    <col min="6" max="6" width="27.5703125" customWidth="1"/>
    <col min="7" max="7" width="19.140625" customWidth="1"/>
    <col min="8" max="8" width="20.140625" customWidth="1"/>
  </cols>
  <sheetData>
    <row r="3" spans="1:7" ht="18.75" x14ac:dyDescent="0.25">
      <c r="B3" s="1" t="s">
        <v>0</v>
      </c>
      <c r="C3" s="1" t="s">
        <v>1</v>
      </c>
      <c r="D3" s="1" t="s">
        <v>2</v>
      </c>
      <c r="E3" s="1" t="s">
        <v>3</v>
      </c>
      <c r="F3" s="1" t="s">
        <v>4</v>
      </c>
    </row>
    <row r="4" spans="1:7" ht="15.75" x14ac:dyDescent="0.25">
      <c r="B4" s="2" t="s">
        <v>5</v>
      </c>
      <c r="C4" s="3">
        <v>12.010199999999999</v>
      </c>
      <c r="D4" s="3">
        <v>1.0227999999999999</v>
      </c>
      <c r="E4" s="3">
        <v>13.032999999999999</v>
      </c>
      <c r="F4" s="4">
        <f>C4+D4</f>
        <v>13.032999999999999</v>
      </c>
    </row>
    <row r="5" spans="1:7" ht="15.75" x14ac:dyDescent="0.25">
      <c r="B5" s="2" t="s">
        <v>6</v>
      </c>
      <c r="C5" s="3">
        <v>12.012499999999999</v>
      </c>
      <c r="D5" s="3">
        <v>4.0300000000000002E-2</v>
      </c>
      <c r="E5" s="3">
        <v>12.0527</v>
      </c>
      <c r="F5" s="4">
        <f>C5+D5</f>
        <v>12.0528</v>
      </c>
    </row>
    <row r="6" spans="1:7" ht="15.75" x14ac:dyDescent="0.25">
      <c r="B6" s="2" t="s">
        <v>7</v>
      </c>
      <c r="C6" s="3">
        <v>11.9056</v>
      </c>
      <c r="D6" s="3">
        <v>4.8300000000000003E-2</v>
      </c>
      <c r="E6" s="3">
        <v>11.954000000000001</v>
      </c>
      <c r="F6" s="4">
        <f>C6+D6</f>
        <v>11.953899999999999</v>
      </c>
    </row>
    <row r="7" spans="1:7" ht="15.75" x14ac:dyDescent="0.25">
      <c r="B7" s="2" t="s">
        <v>8</v>
      </c>
      <c r="C7" s="3">
        <v>11.738200000000001</v>
      </c>
      <c r="D7" s="3">
        <v>3.9899999999999998E-2</v>
      </c>
      <c r="E7" s="3">
        <v>11.778499999999999</v>
      </c>
      <c r="F7" s="4">
        <f>C7+D7</f>
        <v>11.7781</v>
      </c>
    </row>
    <row r="8" spans="1:7" x14ac:dyDescent="0.25">
      <c r="E8" s="5" t="s">
        <v>9</v>
      </c>
      <c r="F8" s="5"/>
      <c r="G8" s="5"/>
    </row>
    <row r="12" spans="1:7" x14ac:dyDescent="0.25">
      <c r="B12" t="s">
        <v>33</v>
      </c>
      <c r="C12" t="s">
        <v>34</v>
      </c>
      <c r="D12" t="s">
        <v>32</v>
      </c>
    </row>
    <row r="13" spans="1:7" ht="15.75" x14ac:dyDescent="0.25">
      <c r="A13" s="2" t="s">
        <v>5</v>
      </c>
      <c r="B13">
        <v>10</v>
      </c>
      <c r="C13" s="23">
        <f>D4</f>
        <v>1.0227999999999999</v>
      </c>
      <c r="D13" s="23">
        <f>B13-C13</f>
        <v>8.9771999999999998</v>
      </c>
    </row>
    <row r="14" spans="1:7" ht="15.75" x14ac:dyDescent="0.25">
      <c r="A14" s="2" t="s">
        <v>6</v>
      </c>
      <c r="B14">
        <v>0.4</v>
      </c>
      <c r="C14" s="23">
        <f t="shared" ref="C14:C16" si="0">D5</f>
        <v>4.0300000000000002E-2</v>
      </c>
      <c r="D14" s="23">
        <f t="shared" ref="D14:D16" si="1">B14-C14</f>
        <v>0.35970000000000002</v>
      </c>
    </row>
    <row r="15" spans="1:7" ht="15.75" x14ac:dyDescent="0.25">
      <c r="A15" s="2" t="s">
        <v>7</v>
      </c>
      <c r="B15">
        <v>0.4</v>
      </c>
      <c r="C15" s="23">
        <f t="shared" si="0"/>
        <v>4.8300000000000003E-2</v>
      </c>
      <c r="D15" s="23">
        <f t="shared" si="1"/>
        <v>0.35170000000000001</v>
      </c>
    </row>
    <row r="16" spans="1:7" ht="15.75" x14ac:dyDescent="0.25">
      <c r="A16" s="2" t="s">
        <v>8</v>
      </c>
      <c r="B16">
        <v>1</v>
      </c>
      <c r="C16" s="23">
        <f t="shared" si="0"/>
        <v>3.9899999999999998E-2</v>
      </c>
      <c r="D16" s="23">
        <f t="shared" si="1"/>
        <v>0.96009999999999995</v>
      </c>
    </row>
    <row r="27" spans="1:8" ht="39.75" customHeight="1" x14ac:dyDescent="0.25">
      <c r="B27" s="24" t="s">
        <v>33</v>
      </c>
      <c r="C27" s="24" t="s">
        <v>35</v>
      </c>
      <c r="D27" s="24" t="s">
        <v>36</v>
      </c>
      <c r="E27" s="24" t="s">
        <v>40</v>
      </c>
      <c r="F27" s="24" t="s">
        <v>37</v>
      </c>
      <c r="G27" s="24" t="s">
        <v>38</v>
      </c>
      <c r="H27" s="24" t="s">
        <v>39</v>
      </c>
    </row>
    <row r="28" spans="1:8" ht="15.75" x14ac:dyDescent="0.25">
      <c r="A28" s="2" t="s">
        <v>43</v>
      </c>
      <c r="B28" s="23">
        <v>10</v>
      </c>
      <c r="C28" s="23">
        <v>1.0227999999999999</v>
      </c>
      <c r="D28" s="23"/>
      <c r="E28" s="23"/>
      <c r="F28">
        <v>0.33639999999999998</v>
      </c>
      <c r="G28" s="23">
        <v>0.315</v>
      </c>
      <c r="H28" s="23">
        <f t="shared" ref="H28:H29" si="2">F28-G28</f>
        <v>2.1399999999999975E-2</v>
      </c>
    </row>
    <row r="29" spans="1:8" ht="15.75" x14ac:dyDescent="0.25">
      <c r="A29" s="2" t="s">
        <v>44</v>
      </c>
      <c r="B29" s="23">
        <v>10</v>
      </c>
      <c r="F29">
        <v>0.90790000000000004</v>
      </c>
      <c r="G29">
        <v>0.8841</v>
      </c>
      <c r="H29" s="23">
        <f t="shared" si="2"/>
        <v>2.3800000000000043E-2</v>
      </c>
    </row>
    <row r="30" spans="1:8" x14ac:dyDescent="0.25">
      <c r="H30" s="23"/>
    </row>
    <row r="31" spans="1:8" ht="15.75" x14ac:dyDescent="0.25">
      <c r="A31" s="2" t="s">
        <v>6</v>
      </c>
      <c r="B31" s="23">
        <f>C31+D31</f>
        <v>0.46550000000000002</v>
      </c>
      <c r="C31" s="23">
        <v>4.0300000000000002E-2</v>
      </c>
      <c r="D31" s="23">
        <v>0.42520000000000002</v>
      </c>
      <c r="E31" s="23">
        <f>D31-F31</f>
        <v>7.6300000000000034E-2</v>
      </c>
      <c r="F31">
        <v>0.34889999999999999</v>
      </c>
      <c r="G31" s="23">
        <v>0.33889999999999998</v>
      </c>
      <c r="H31" s="23">
        <f>F31-G31</f>
        <v>1.0000000000000009E-2</v>
      </c>
    </row>
    <row r="32" spans="1:8" ht="15.75" x14ac:dyDescent="0.25">
      <c r="A32" s="2" t="s">
        <v>7</v>
      </c>
      <c r="B32" s="23">
        <f>C32+D32</f>
        <v>0.46660000000000001</v>
      </c>
      <c r="C32" s="23">
        <v>4.8300000000000003E-2</v>
      </c>
      <c r="D32" s="23">
        <v>0.41830000000000001</v>
      </c>
      <c r="E32" s="23">
        <f>D32-F32</f>
        <v>6.6000000000000003E-2</v>
      </c>
      <c r="F32">
        <f>0.3523</f>
        <v>0.3523</v>
      </c>
      <c r="G32">
        <v>0.33860000000000001</v>
      </c>
      <c r="H32">
        <f>F32-G32</f>
        <v>1.369999999999999E-2</v>
      </c>
    </row>
    <row r="33" spans="1:9" ht="15.75" x14ac:dyDescent="0.25">
      <c r="A33" s="2" t="s">
        <v>8</v>
      </c>
      <c r="B33" s="23">
        <f>C33+D33</f>
        <v>1.1580000000000001</v>
      </c>
      <c r="C33" s="23">
        <v>3.9899999999999998E-2</v>
      </c>
      <c r="D33" s="23">
        <v>1.1181000000000001</v>
      </c>
      <c r="E33" s="23">
        <f>D33-F33</f>
        <v>0.20590000000000008</v>
      </c>
      <c r="F33">
        <v>0.91220000000000001</v>
      </c>
      <c r="G33" s="23">
        <f>0.9026-0.005</f>
        <v>0.89759999999999995</v>
      </c>
      <c r="H33">
        <f>F33-G33</f>
        <v>1.4600000000000057E-2</v>
      </c>
      <c r="I33" t="s">
        <v>41</v>
      </c>
    </row>
    <row r="34" spans="1:9" x14ac:dyDescent="0.25">
      <c r="G34" t="s">
        <v>42</v>
      </c>
    </row>
    <row r="35" spans="1:9" ht="15.75" x14ac:dyDescent="0.25">
      <c r="A35" s="2" t="s">
        <v>45</v>
      </c>
    </row>
    <row r="48" spans="1:9" x14ac:dyDescent="0.25">
      <c r="B48" t="s">
        <v>46</v>
      </c>
    </row>
    <row r="51" spans="1:4" x14ac:dyDescent="0.25">
      <c r="B51" t="s">
        <v>47</v>
      </c>
      <c r="C51" t="s">
        <v>48</v>
      </c>
    </row>
    <row r="52" spans="1:4" ht="15.75" x14ac:dyDescent="0.25">
      <c r="A52" s="2" t="s">
        <v>6</v>
      </c>
      <c r="B52" s="23">
        <f>E31*1000</f>
        <v>76.30000000000004</v>
      </c>
      <c r="C52">
        <v>30</v>
      </c>
    </row>
    <row r="53" spans="1:4" ht="15.75" x14ac:dyDescent="0.25">
      <c r="A53" s="2" t="s">
        <v>7</v>
      </c>
      <c r="B53" s="23">
        <f t="shared" ref="B53:B54" si="3">E32*1000</f>
        <v>66</v>
      </c>
      <c r="C53">
        <v>30</v>
      </c>
    </row>
    <row r="54" spans="1:4" ht="15.75" x14ac:dyDescent="0.25">
      <c r="A54" s="2" t="s">
        <v>8</v>
      </c>
      <c r="B54" s="23">
        <f t="shared" si="3"/>
        <v>205.90000000000009</v>
      </c>
      <c r="C54">
        <v>30</v>
      </c>
      <c r="D54">
        <v>100</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Z36"/>
  <sheetViews>
    <sheetView tabSelected="1" workbookViewId="0">
      <selection activeCell="Q12" sqref="Q12"/>
    </sheetView>
  </sheetViews>
  <sheetFormatPr baseColWidth="10" defaultRowHeight="15" x14ac:dyDescent="0.25"/>
  <cols>
    <col min="1" max="1" width="19.42578125" style="27" customWidth="1"/>
    <col min="2" max="2" width="25.140625" style="27" customWidth="1"/>
    <col min="3" max="8" width="11.42578125" style="27"/>
    <col min="9" max="9" width="12.7109375" style="27" customWidth="1"/>
    <col min="10" max="16384" width="11.42578125" style="27"/>
  </cols>
  <sheetData>
    <row r="2" spans="1:19" ht="15.75" thickBot="1" x14ac:dyDescent="0.3"/>
    <row r="3" spans="1:19" ht="42" customHeight="1" thickBot="1" x14ac:dyDescent="0.3">
      <c r="A3" s="65" t="s">
        <v>74</v>
      </c>
      <c r="B3" s="72" t="s">
        <v>73</v>
      </c>
      <c r="C3" s="80"/>
      <c r="D3" s="73"/>
      <c r="F3" s="72" t="s">
        <v>72</v>
      </c>
      <c r="G3" s="80"/>
      <c r="H3" s="73"/>
      <c r="O3" s="64"/>
    </row>
    <row r="4" spans="1:19" ht="18.75" customHeight="1" x14ac:dyDescent="0.3">
      <c r="A4" s="55" t="s">
        <v>66</v>
      </c>
      <c r="B4" s="37" t="s">
        <v>52</v>
      </c>
      <c r="C4" s="63"/>
      <c r="D4" s="62"/>
      <c r="F4" s="33"/>
      <c r="G4" s="35">
        <v>0.1598</v>
      </c>
      <c r="H4" s="31"/>
      <c r="I4" s="81" t="s">
        <v>71</v>
      </c>
      <c r="J4" s="82">
        <f>AVERAGE(G4:G5)</f>
        <v>0.1656</v>
      </c>
      <c r="K4" s="83" t="s">
        <v>58</v>
      </c>
      <c r="L4" s="74" t="s">
        <v>70</v>
      </c>
      <c r="M4" s="75"/>
      <c r="N4" s="76"/>
      <c r="P4" s="74" t="s">
        <v>69</v>
      </c>
      <c r="Q4" s="75"/>
      <c r="R4" s="75"/>
      <c r="S4" s="76"/>
    </row>
    <row r="5" spans="1:19" ht="18.75" x14ac:dyDescent="0.3">
      <c r="A5" s="40"/>
      <c r="B5" s="61" t="s">
        <v>51</v>
      </c>
      <c r="C5" s="58"/>
      <c r="D5" s="60"/>
      <c r="F5" s="59"/>
      <c r="G5" s="58">
        <v>0.1714</v>
      </c>
      <c r="H5" s="57"/>
      <c r="I5" s="81"/>
      <c r="J5" s="82"/>
      <c r="K5" s="83"/>
      <c r="L5" s="77"/>
      <c r="M5" s="78"/>
      <c r="N5" s="79"/>
      <c r="P5" s="77"/>
      <c r="Q5" s="78"/>
      <c r="R5" s="78"/>
      <c r="S5" s="79"/>
    </row>
    <row r="6" spans="1:19" ht="18.75" x14ac:dyDescent="0.3">
      <c r="A6" s="40"/>
      <c r="B6" s="36" t="s">
        <v>68</v>
      </c>
      <c r="C6" s="52">
        <v>4</v>
      </c>
      <c r="D6" s="34" t="s">
        <v>62</v>
      </c>
      <c r="F6" s="33"/>
      <c r="G6" s="53">
        <v>0.17100000000000001</v>
      </c>
      <c r="H6" s="31"/>
      <c r="K6" s="46"/>
      <c r="L6" s="54"/>
      <c r="M6" s="52">
        <f t="shared" ref="M6:M12" si="0">(G6-$J$4)*1000</f>
        <v>5.4000000000000163</v>
      </c>
      <c r="N6" s="51" t="s">
        <v>61</v>
      </c>
      <c r="P6" s="54"/>
      <c r="Q6" s="53">
        <f t="shared" ref="Q6:Q12" si="1">G6-C6/1000</f>
        <v>0.16700000000000001</v>
      </c>
      <c r="R6" s="52" t="s">
        <v>58</v>
      </c>
      <c r="S6" s="51"/>
    </row>
    <row r="7" spans="1:19" ht="18.75" x14ac:dyDescent="0.3">
      <c r="A7" s="55" t="s">
        <v>66</v>
      </c>
      <c r="B7" s="37" t="s">
        <v>67</v>
      </c>
      <c r="C7" s="35">
        <v>3.8</v>
      </c>
      <c r="D7" s="34" t="s">
        <v>62</v>
      </c>
      <c r="F7" s="33"/>
      <c r="G7" s="35">
        <v>0.1749</v>
      </c>
      <c r="H7" s="31"/>
      <c r="L7" s="33"/>
      <c r="M7" s="52">
        <f t="shared" si="0"/>
        <v>9.3000000000000025</v>
      </c>
      <c r="N7" s="51" t="s">
        <v>61</v>
      </c>
      <c r="P7" s="54"/>
      <c r="Q7" s="53">
        <f t="shared" si="1"/>
        <v>0.1711</v>
      </c>
      <c r="R7" s="52" t="s">
        <v>58</v>
      </c>
      <c r="S7" s="51"/>
    </row>
    <row r="8" spans="1:19" ht="18.75" x14ac:dyDescent="0.3">
      <c r="A8" s="55" t="s">
        <v>66</v>
      </c>
      <c r="B8" s="37" t="s">
        <v>7</v>
      </c>
      <c r="C8" s="35">
        <v>4.5</v>
      </c>
      <c r="D8" s="34" t="s">
        <v>62</v>
      </c>
      <c r="F8" s="33"/>
      <c r="G8" s="35">
        <v>0.1762</v>
      </c>
      <c r="H8" s="31"/>
      <c r="L8" s="33"/>
      <c r="M8" s="52">
        <f t="shared" si="0"/>
        <v>10.599999999999998</v>
      </c>
      <c r="N8" s="51" t="s">
        <v>61</v>
      </c>
      <c r="P8" s="54"/>
      <c r="Q8" s="53">
        <f t="shared" si="1"/>
        <v>0.17169999999999999</v>
      </c>
      <c r="R8" s="52" t="s">
        <v>58</v>
      </c>
      <c r="S8" s="51"/>
    </row>
    <row r="9" spans="1:19" ht="18.75" x14ac:dyDescent="0.3">
      <c r="A9" s="55" t="s">
        <v>66</v>
      </c>
      <c r="B9" s="37" t="s">
        <v>65</v>
      </c>
      <c r="C9" s="35">
        <v>4</v>
      </c>
      <c r="D9" s="34" t="s">
        <v>62</v>
      </c>
      <c r="F9" s="33"/>
      <c r="G9" s="35">
        <v>0.17530000000000001</v>
      </c>
      <c r="H9" s="31"/>
      <c r="L9" s="33"/>
      <c r="M9" s="52">
        <f t="shared" si="0"/>
        <v>9.7000000000000135</v>
      </c>
      <c r="N9" s="51" t="s">
        <v>61</v>
      </c>
      <c r="P9" s="54"/>
      <c r="Q9" s="53">
        <f t="shared" si="1"/>
        <v>0.17130000000000001</v>
      </c>
      <c r="R9" s="52" t="s">
        <v>58</v>
      </c>
      <c r="S9" s="51"/>
    </row>
    <row r="10" spans="1:19" ht="18.75" x14ac:dyDescent="0.3">
      <c r="A10" s="50"/>
      <c r="B10" s="36" t="s">
        <v>64</v>
      </c>
      <c r="C10" s="35">
        <v>4.5</v>
      </c>
      <c r="D10" s="34" t="s">
        <v>62</v>
      </c>
      <c r="F10" s="33"/>
      <c r="G10" s="35">
        <v>0.17810000000000001</v>
      </c>
      <c r="H10" s="31"/>
      <c r="K10" s="46"/>
      <c r="L10" s="54"/>
      <c r="M10" s="52">
        <f t="shared" si="0"/>
        <v>12.500000000000011</v>
      </c>
      <c r="N10" s="51" t="s">
        <v>61</v>
      </c>
      <c r="P10" s="54"/>
      <c r="Q10" s="53">
        <f t="shared" si="1"/>
        <v>0.1736</v>
      </c>
      <c r="R10" s="52" t="s">
        <v>58</v>
      </c>
      <c r="S10" s="51"/>
    </row>
    <row r="11" spans="1:19" ht="18.75" x14ac:dyDescent="0.3">
      <c r="A11" s="50"/>
      <c r="B11" s="36" t="s">
        <v>63</v>
      </c>
      <c r="C11" s="35">
        <v>4.2</v>
      </c>
      <c r="D11" s="34" t="s">
        <v>62</v>
      </c>
      <c r="F11" s="33"/>
      <c r="G11" s="35">
        <v>0.1694</v>
      </c>
      <c r="H11" s="31"/>
      <c r="K11" s="46"/>
      <c r="L11" s="54"/>
      <c r="M11" s="52">
        <f t="shared" si="0"/>
        <v>3.799999999999998</v>
      </c>
      <c r="N11" s="51" t="s">
        <v>61</v>
      </c>
      <c r="P11" s="54"/>
      <c r="Q11" s="53">
        <f t="shared" si="1"/>
        <v>0.16519999999999999</v>
      </c>
      <c r="R11" s="52" t="s">
        <v>58</v>
      </c>
      <c r="S11" s="51"/>
    </row>
    <row r="12" spans="1:19" ht="19.5" thickBot="1" x14ac:dyDescent="0.35">
      <c r="A12" s="56"/>
      <c r="B12" s="49" t="s">
        <v>78</v>
      </c>
      <c r="C12" s="43">
        <v>4</v>
      </c>
      <c r="D12" s="48" t="s">
        <v>62</v>
      </c>
      <c r="F12" s="30"/>
      <c r="G12" s="47"/>
      <c r="H12" s="28"/>
      <c r="K12" s="46"/>
      <c r="L12" s="45"/>
      <c r="M12" s="43">
        <f t="shared" si="0"/>
        <v>-165.6</v>
      </c>
      <c r="N12" s="42" t="s">
        <v>61</v>
      </c>
      <c r="P12" s="45"/>
      <c r="Q12" s="44">
        <f t="shared" si="1"/>
        <v>-4.0000000000000001E-3</v>
      </c>
      <c r="R12" s="43" t="s">
        <v>58</v>
      </c>
      <c r="S12" s="42"/>
    </row>
    <row r="13" spans="1:19" ht="18.75" x14ac:dyDescent="0.3">
      <c r="G13" s="41" t="s">
        <v>60</v>
      </c>
    </row>
    <row r="14" spans="1:19" ht="18.75" x14ac:dyDescent="0.3">
      <c r="G14" s="41" t="s">
        <v>59</v>
      </c>
      <c r="H14" s="40"/>
      <c r="I14" s="40">
        <v>1E-4</v>
      </c>
      <c r="J14" s="40" t="s">
        <v>58</v>
      </c>
    </row>
    <row r="16" spans="1:19" ht="15.75" thickBot="1" x14ac:dyDescent="0.3">
      <c r="B16" s="32"/>
      <c r="C16" s="32"/>
      <c r="D16" s="32"/>
      <c r="E16" s="32"/>
      <c r="F16" s="32"/>
      <c r="G16" s="32"/>
      <c r="H16" s="32"/>
      <c r="I16" s="32"/>
    </row>
    <row r="17" spans="2:26" ht="37.5" customHeight="1" thickBot="1" x14ac:dyDescent="0.3">
      <c r="B17" s="72" t="s">
        <v>57</v>
      </c>
      <c r="C17" s="73"/>
      <c r="D17" s="39" t="s">
        <v>56</v>
      </c>
      <c r="E17" s="39" t="s">
        <v>55</v>
      </c>
      <c r="F17" s="39" t="s">
        <v>54</v>
      </c>
      <c r="G17" s="38" t="s">
        <v>53</v>
      </c>
      <c r="H17" s="32"/>
      <c r="I17" s="72" t="s">
        <v>75</v>
      </c>
      <c r="J17" s="80"/>
      <c r="K17" s="73"/>
      <c r="M17" s="69" t="s">
        <v>76</v>
      </c>
      <c r="N17" s="70"/>
      <c r="O17" s="70"/>
      <c r="P17" s="71"/>
      <c r="R17" s="69" t="s">
        <v>77</v>
      </c>
      <c r="S17" s="70"/>
      <c r="T17" s="70"/>
      <c r="U17" s="71"/>
      <c r="W17" s="69" t="s">
        <v>79</v>
      </c>
      <c r="X17" s="70"/>
      <c r="Y17" s="70"/>
      <c r="Z17" s="71"/>
    </row>
    <row r="18" spans="2:26" ht="18.75" customHeight="1" x14ac:dyDescent="0.3">
      <c r="B18" s="37" t="s">
        <v>52</v>
      </c>
      <c r="C18" s="32"/>
      <c r="D18" s="35">
        <v>24.28</v>
      </c>
      <c r="E18" s="35">
        <v>24.76</v>
      </c>
      <c r="F18" s="35">
        <v>24.12</v>
      </c>
      <c r="G18" s="34">
        <v>24.96</v>
      </c>
      <c r="H18" s="32"/>
      <c r="I18" s="66"/>
      <c r="J18" s="67"/>
      <c r="K18" s="68"/>
      <c r="M18" s="66"/>
      <c r="N18" s="67"/>
      <c r="O18" s="67"/>
      <c r="P18" s="68"/>
      <c r="R18" s="66"/>
      <c r="S18" s="67"/>
      <c r="T18" s="67"/>
      <c r="U18" s="68"/>
      <c r="W18" s="66"/>
      <c r="X18" s="67"/>
      <c r="Y18" s="67"/>
      <c r="Z18" s="68"/>
    </row>
    <row r="19" spans="2:26" ht="18.75" x14ac:dyDescent="0.3">
      <c r="B19" s="36" t="s">
        <v>51</v>
      </c>
      <c r="C19" s="32"/>
      <c r="D19" s="35">
        <v>24.95</v>
      </c>
      <c r="E19" s="35">
        <v>25.59</v>
      </c>
      <c r="F19" s="35">
        <v>25.1</v>
      </c>
      <c r="G19" s="34">
        <v>25.62</v>
      </c>
      <c r="H19" s="32"/>
      <c r="I19" s="33"/>
      <c r="J19" s="32"/>
      <c r="K19" s="31"/>
      <c r="M19" s="33"/>
      <c r="N19" s="32"/>
      <c r="O19" s="32"/>
      <c r="P19" s="31"/>
      <c r="R19" s="33"/>
      <c r="S19" s="32"/>
      <c r="T19" s="32"/>
      <c r="U19" s="31"/>
      <c r="W19" s="33"/>
      <c r="X19" s="32"/>
      <c r="Y19" s="32"/>
      <c r="Z19" s="31"/>
    </row>
    <row r="20" spans="2:26" x14ac:dyDescent="0.25">
      <c r="B20" s="33"/>
      <c r="C20" s="32"/>
      <c r="D20" s="32"/>
      <c r="E20" s="32"/>
      <c r="F20" s="32"/>
      <c r="G20" s="31"/>
      <c r="H20" s="32"/>
      <c r="I20" s="33"/>
      <c r="J20" s="32"/>
      <c r="K20" s="31"/>
      <c r="M20" s="33"/>
      <c r="N20" s="32"/>
      <c r="O20" s="32"/>
      <c r="P20" s="31"/>
      <c r="R20" s="33"/>
      <c r="S20" s="32"/>
      <c r="T20" s="32"/>
      <c r="U20" s="31"/>
      <c r="W20" s="33"/>
      <c r="X20" s="32"/>
      <c r="Y20" s="32"/>
      <c r="Z20" s="31"/>
    </row>
    <row r="21" spans="2:26" x14ac:dyDescent="0.25">
      <c r="B21" s="33"/>
      <c r="C21" s="32"/>
      <c r="D21" s="32"/>
      <c r="E21" s="32"/>
      <c r="F21" s="32"/>
      <c r="G21" s="31"/>
      <c r="I21" s="33"/>
      <c r="J21" s="32"/>
      <c r="K21" s="31"/>
      <c r="M21" s="33"/>
      <c r="N21" s="32"/>
      <c r="O21" s="32"/>
      <c r="P21" s="31"/>
      <c r="R21" s="33"/>
      <c r="S21" s="32"/>
      <c r="T21" s="32"/>
      <c r="U21" s="31"/>
      <c r="W21" s="33"/>
      <c r="X21" s="32"/>
      <c r="Y21" s="32"/>
      <c r="Z21" s="31"/>
    </row>
    <row r="22" spans="2:26" x14ac:dyDescent="0.25">
      <c r="B22" s="33"/>
      <c r="C22" s="32"/>
      <c r="D22" s="32"/>
      <c r="E22" s="32"/>
      <c r="F22" s="32"/>
      <c r="G22" s="31"/>
      <c r="I22" s="33"/>
      <c r="J22" s="32"/>
      <c r="K22" s="31"/>
      <c r="M22" s="33"/>
      <c r="N22" s="32"/>
      <c r="O22" s="32"/>
      <c r="P22" s="31"/>
      <c r="R22" s="33"/>
      <c r="S22" s="32"/>
      <c r="T22" s="32"/>
      <c r="U22" s="31"/>
      <c r="W22" s="33"/>
      <c r="X22" s="32"/>
      <c r="Y22" s="32"/>
      <c r="Z22" s="31"/>
    </row>
    <row r="23" spans="2:26" x14ac:dyDescent="0.25">
      <c r="B23" s="33"/>
      <c r="C23" s="32"/>
      <c r="D23" s="32"/>
      <c r="E23" s="32"/>
      <c r="F23" s="32"/>
      <c r="G23" s="31"/>
      <c r="I23" s="33"/>
      <c r="J23" s="32"/>
      <c r="K23" s="31"/>
      <c r="M23" s="33"/>
      <c r="N23" s="32"/>
      <c r="O23" s="32"/>
      <c r="P23" s="31"/>
      <c r="R23" s="33"/>
      <c r="S23" s="32"/>
      <c r="T23" s="32"/>
      <c r="U23" s="31"/>
      <c r="W23" s="33"/>
      <c r="X23" s="32"/>
      <c r="Y23" s="32"/>
      <c r="Z23" s="31"/>
    </row>
    <row r="24" spans="2:26" x14ac:dyDescent="0.25">
      <c r="B24" s="33"/>
      <c r="C24" s="32"/>
      <c r="D24" s="32"/>
      <c r="E24" s="32"/>
      <c r="F24" s="32"/>
      <c r="G24" s="31"/>
      <c r="I24" s="33"/>
      <c r="J24" s="32"/>
      <c r="K24" s="31"/>
      <c r="M24" s="33"/>
      <c r="N24" s="32"/>
      <c r="O24" s="32"/>
      <c r="P24" s="31"/>
      <c r="R24" s="33"/>
      <c r="S24" s="32"/>
      <c r="T24" s="32"/>
      <c r="U24" s="31"/>
      <c r="W24" s="33"/>
      <c r="X24" s="32"/>
      <c r="Y24" s="32"/>
      <c r="Z24" s="31"/>
    </row>
    <row r="25" spans="2:26" x14ac:dyDescent="0.25">
      <c r="B25" s="33"/>
      <c r="C25" s="32"/>
      <c r="D25" s="32"/>
      <c r="E25" s="32"/>
      <c r="F25" s="32"/>
      <c r="G25" s="31"/>
      <c r="I25" s="33"/>
      <c r="J25" s="32"/>
      <c r="K25" s="31"/>
      <c r="M25" s="33"/>
      <c r="N25" s="32"/>
      <c r="O25" s="32"/>
      <c r="P25" s="31"/>
      <c r="R25" s="33"/>
      <c r="S25" s="32"/>
      <c r="T25" s="32"/>
      <c r="U25" s="31"/>
      <c r="W25" s="33"/>
      <c r="X25" s="32"/>
      <c r="Y25" s="32"/>
      <c r="Z25" s="31"/>
    </row>
    <row r="26" spans="2:26" x14ac:dyDescent="0.25">
      <c r="B26" s="33"/>
      <c r="C26" s="32"/>
      <c r="D26" s="32"/>
      <c r="E26" s="32"/>
      <c r="F26" s="32"/>
      <c r="G26" s="31"/>
      <c r="I26" s="33"/>
      <c r="J26" s="32"/>
      <c r="K26" s="31"/>
      <c r="M26" s="33"/>
      <c r="N26" s="32"/>
      <c r="O26" s="32"/>
      <c r="P26" s="31"/>
      <c r="R26" s="33"/>
      <c r="S26" s="32"/>
      <c r="T26" s="32"/>
      <c r="U26" s="31"/>
      <c r="W26" s="33"/>
      <c r="X26" s="32"/>
      <c r="Y26" s="32"/>
      <c r="Z26" s="31"/>
    </row>
    <row r="27" spans="2:26" x14ac:dyDescent="0.25">
      <c r="B27" s="33"/>
      <c r="C27" s="32"/>
      <c r="D27" s="32"/>
      <c r="E27" s="32"/>
      <c r="F27" s="32"/>
      <c r="G27" s="31"/>
      <c r="I27" s="33"/>
      <c r="J27" s="32"/>
      <c r="K27" s="31"/>
      <c r="M27" s="33"/>
      <c r="N27" s="32"/>
      <c r="O27" s="32"/>
      <c r="P27" s="31"/>
      <c r="R27" s="33"/>
      <c r="S27" s="32"/>
      <c r="T27" s="32"/>
      <c r="U27" s="31"/>
      <c r="W27" s="33"/>
      <c r="X27" s="32"/>
      <c r="Y27" s="32"/>
      <c r="Z27" s="31"/>
    </row>
    <row r="28" spans="2:26" x14ac:dyDescent="0.25">
      <c r="B28" s="33"/>
      <c r="C28" s="32"/>
      <c r="D28" s="32"/>
      <c r="E28" s="32"/>
      <c r="F28" s="32"/>
      <c r="G28" s="31"/>
      <c r="I28" s="33"/>
      <c r="J28" s="32"/>
      <c r="K28" s="31"/>
      <c r="M28" s="33"/>
      <c r="N28" s="32"/>
      <c r="O28" s="32"/>
      <c r="P28" s="31"/>
      <c r="R28" s="33"/>
      <c r="S28" s="32"/>
      <c r="T28" s="32"/>
      <c r="U28" s="31"/>
      <c r="W28" s="33"/>
      <c r="X28" s="32"/>
      <c r="Y28" s="32"/>
      <c r="Z28" s="31"/>
    </row>
    <row r="29" spans="2:26" x14ac:dyDescent="0.25">
      <c r="B29" s="33"/>
      <c r="C29" s="32"/>
      <c r="D29" s="32"/>
      <c r="E29" s="32"/>
      <c r="F29" s="32"/>
      <c r="G29" s="31"/>
      <c r="I29" s="33"/>
      <c r="J29" s="32"/>
      <c r="K29" s="31"/>
      <c r="M29" s="33"/>
      <c r="N29" s="32"/>
      <c r="O29" s="32"/>
      <c r="P29" s="31"/>
      <c r="R29" s="33"/>
      <c r="S29" s="32"/>
      <c r="T29" s="32"/>
      <c r="U29" s="31"/>
      <c r="W29" s="33"/>
      <c r="X29" s="32"/>
      <c r="Y29" s="32"/>
      <c r="Z29" s="31"/>
    </row>
    <row r="30" spans="2:26" x14ac:dyDescent="0.25">
      <c r="B30" s="33"/>
      <c r="C30" s="32"/>
      <c r="D30" s="32"/>
      <c r="E30" s="32"/>
      <c r="F30" s="32"/>
      <c r="G30" s="31"/>
      <c r="I30" s="33"/>
      <c r="J30" s="32"/>
      <c r="K30" s="31"/>
      <c r="M30" s="33"/>
      <c r="N30" s="32"/>
      <c r="O30" s="32"/>
      <c r="P30" s="31"/>
      <c r="R30" s="33"/>
      <c r="S30" s="32"/>
      <c r="T30" s="32"/>
      <c r="U30" s="31"/>
      <c r="W30" s="33"/>
      <c r="X30" s="32"/>
      <c r="Y30" s="32"/>
      <c r="Z30" s="31"/>
    </row>
    <row r="31" spans="2:26" x14ac:dyDescent="0.25">
      <c r="B31" s="33"/>
      <c r="C31" s="32"/>
      <c r="D31" s="32"/>
      <c r="E31" s="32"/>
      <c r="F31" s="32"/>
      <c r="G31" s="31"/>
      <c r="I31" s="33"/>
      <c r="J31" s="32"/>
      <c r="K31" s="31"/>
      <c r="M31" s="33"/>
      <c r="N31" s="32"/>
      <c r="O31" s="32"/>
      <c r="P31" s="31"/>
      <c r="R31" s="33"/>
      <c r="S31" s="32"/>
      <c r="T31" s="32"/>
      <c r="U31" s="31"/>
      <c r="W31" s="33"/>
      <c r="X31" s="32"/>
      <c r="Y31" s="32"/>
      <c r="Z31" s="31"/>
    </row>
    <row r="32" spans="2:26" x14ac:dyDescent="0.25">
      <c r="B32" s="33"/>
      <c r="C32" s="32"/>
      <c r="D32" s="32"/>
      <c r="E32" s="32"/>
      <c r="F32" s="32"/>
      <c r="G32" s="31"/>
      <c r="I32" s="33"/>
      <c r="J32" s="32"/>
      <c r="K32" s="31"/>
      <c r="M32" s="33"/>
      <c r="N32" s="32"/>
      <c r="O32" s="32"/>
      <c r="P32" s="31"/>
      <c r="R32" s="33"/>
      <c r="S32" s="32"/>
      <c r="T32" s="32"/>
      <c r="U32" s="31"/>
      <c r="W32" s="33"/>
      <c r="X32" s="32"/>
      <c r="Y32" s="32"/>
      <c r="Z32" s="31"/>
    </row>
    <row r="33" spans="2:26" x14ac:dyDescent="0.25">
      <c r="B33" s="33"/>
      <c r="C33" s="32"/>
      <c r="D33" s="32"/>
      <c r="E33" s="32"/>
      <c r="F33" s="32"/>
      <c r="G33" s="31"/>
      <c r="I33" s="33"/>
      <c r="J33" s="32"/>
      <c r="K33" s="31"/>
      <c r="M33" s="33"/>
      <c r="N33" s="32"/>
      <c r="O33" s="32"/>
      <c r="P33" s="31"/>
      <c r="R33" s="33"/>
      <c r="S33" s="32"/>
      <c r="T33" s="32"/>
      <c r="U33" s="31"/>
      <c r="W33" s="33"/>
      <c r="X33" s="32"/>
      <c r="Y33" s="32"/>
      <c r="Z33" s="31"/>
    </row>
    <row r="34" spans="2:26" x14ac:dyDescent="0.25">
      <c r="B34" s="33"/>
      <c r="C34" s="32"/>
      <c r="D34" s="32"/>
      <c r="E34" s="32"/>
      <c r="F34" s="32"/>
      <c r="G34" s="31"/>
      <c r="I34" s="33"/>
      <c r="J34" s="32"/>
      <c r="K34" s="31"/>
      <c r="M34" s="33"/>
      <c r="N34" s="32"/>
      <c r="O34" s="32"/>
      <c r="P34" s="31"/>
      <c r="R34" s="33"/>
      <c r="S34" s="32"/>
      <c r="T34" s="32"/>
      <c r="U34" s="31"/>
      <c r="W34" s="33"/>
      <c r="X34" s="32"/>
      <c r="Y34" s="32"/>
      <c r="Z34" s="31"/>
    </row>
    <row r="35" spans="2:26" x14ac:dyDescent="0.25">
      <c r="B35" s="33"/>
      <c r="C35" s="32"/>
      <c r="D35" s="32"/>
      <c r="E35" s="32"/>
      <c r="F35" s="32"/>
      <c r="G35" s="31"/>
      <c r="I35" s="33"/>
      <c r="J35" s="32"/>
      <c r="K35" s="31"/>
      <c r="M35" s="33"/>
      <c r="N35" s="32"/>
      <c r="O35" s="32"/>
      <c r="P35" s="31"/>
      <c r="R35" s="33"/>
      <c r="S35" s="32"/>
      <c r="T35" s="32"/>
      <c r="U35" s="31"/>
      <c r="W35" s="33"/>
      <c r="X35" s="32"/>
      <c r="Y35" s="32"/>
      <c r="Z35" s="31"/>
    </row>
    <row r="36" spans="2:26" ht="15.75" thickBot="1" x14ac:dyDescent="0.3">
      <c r="B36" s="30"/>
      <c r="C36" s="29"/>
      <c r="D36" s="29"/>
      <c r="E36" s="29"/>
      <c r="F36" s="29"/>
      <c r="G36" s="28"/>
      <c r="I36" s="30"/>
      <c r="J36" s="29"/>
      <c r="K36" s="28"/>
      <c r="M36" s="30"/>
      <c r="N36" s="29"/>
      <c r="O36" s="29"/>
      <c r="P36" s="28"/>
      <c r="R36" s="30"/>
      <c r="S36" s="29"/>
      <c r="T36" s="29"/>
      <c r="U36" s="28"/>
      <c r="W36" s="30"/>
      <c r="X36" s="29"/>
      <c r="Y36" s="29"/>
      <c r="Z36" s="28"/>
    </row>
  </sheetData>
  <mergeCells count="12">
    <mergeCell ref="W17:Z17"/>
    <mergeCell ref="B3:D3"/>
    <mergeCell ref="F3:H3"/>
    <mergeCell ref="I4:I5"/>
    <mergeCell ref="J4:J5"/>
    <mergeCell ref="K4:K5"/>
    <mergeCell ref="M17:P17"/>
    <mergeCell ref="R17:U17"/>
    <mergeCell ref="B17:C17"/>
    <mergeCell ref="L4:N5"/>
    <mergeCell ref="P4:S5"/>
    <mergeCell ref="I17:K1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Sm</vt:lpstr>
      <vt:lpstr>Sm samples at CIEMAT</vt:lpstr>
      <vt:lpstr>Vanessa Samples at n_TOF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FISION17</dc:creator>
  <dc:description/>
  <cp:lastModifiedBy>admin</cp:lastModifiedBy>
  <cp:revision>1</cp:revision>
  <dcterms:created xsi:type="dcterms:W3CDTF">2015-06-05T18:19:34Z</dcterms:created>
  <dcterms:modified xsi:type="dcterms:W3CDTF">2026-05-12T15:04:14Z</dcterms:modified>
  <dc:language>en-US</dc:language>
</cp:coreProperties>
</file>