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filterPrivacy="1" defaultThemeVersion="124226"/>
  <xr:revisionPtr revIDLastSave="0" documentId="13_ncr:1_{1F4FB90D-F94A-9C4B-8E82-A43137A995BC}" xr6:coauthVersionLast="47" xr6:coauthVersionMax="47" xr10:uidLastSave="{00000000-0000-0000-0000-000000000000}"/>
  <bookViews>
    <workbookView xWindow="-38400" yWindow="-3120" windowWidth="38400" windowHeight="21120" tabRatio="808" xr2:uid="{00000000-000D-0000-FFFF-FFFF00000000}"/>
  </bookViews>
  <sheets>
    <sheet name="Сводная смета" sheetId="10" r:id="rId1"/>
    <sheet name="геология" sheetId="32" r:id="rId2"/>
    <sheet name="геодезия СБЦ" sheetId="33" r:id="rId3"/>
    <sheet name="экология" sheetId="34" r:id="rId4"/>
    <sheet name="ИГМИ" sheetId="38" r:id="rId5"/>
    <sheet name="геофизика" sheetId="36" r:id="rId6"/>
    <sheet name="Проект планировки территории" sheetId="37" r:id="rId7"/>
    <sheet name="ПД" sheetId="1" r:id="rId8"/>
    <sheet name="ПС ФСБ" sheetId="6" r:id="rId9"/>
    <sheet name="ФТС" sheetId="7" r:id="rId10"/>
    <sheet name="РСН" sheetId="8" r:id="rId11"/>
    <sheet name="РПН" sheetId="31" r:id="rId12"/>
  </sheets>
  <definedNames>
    <definedName name="_xlnm._FilterDatabase" localSheetId="3" hidden="1">экология!$A$14:$A$15</definedName>
    <definedName name="_xlnm.Print_Titles" localSheetId="2">'геодезия СБЦ'!$9:$10</definedName>
    <definedName name="_xlnm.Print_Titles" localSheetId="1">геология!$11:$13</definedName>
    <definedName name="_xlnm.Print_Titles" localSheetId="5">геофизика!$10:$10</definedName>
    <definedName name="_xlnm.Print_Titles" localSheetId="3">экология!$9:$11</definedName>
    <definedName name="_xlnm.Print_Area" localSheetId="2">'геодезия СБЦ'!$A$1:$G$33</definedName>
    <definedName name="_xlnm.Print_Area" localSheetId="5">геофизика!$A$1:$G$49</definedName>
    <definedName name="_xlnm.Print_Area" localSheetId="7">ПД!$A$1:$I$52</definedName>
    <definedName name="_xlnm.Print_Area" localSheetId="6">'Проект планировки территории'!$A$1:$I$112</definedName>
    <definedName name="_xlnm.Print_Area" localSheetId="8">'ПС ФСБ'!$A$1:$F$151</definedName>
    <definedName name="_xlnm.Print_Area" localSheetId="11">РПН!$A$1:$F$55</definedName>
    <definedName name="_xlnm.Print_Area" localSheetId="10">РСН!$A$1:$F$65</definedName>
    <definedName name="_xlnm.Print_Area" localSheetId="0">'Сводная смета'!$A$1:$D$35</definedName>
    <definedName name="_xlnm.Print_Area" localSheetId="9">ФТС!$A$1:$F$130</definedName>
    <definedName name="_xlnm.Print_Area" localSheetId="3">экология!$A$1:$L$170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7" i="6" l="1"/>
  <c r="B112" i="6"/>
  <c r="E112" i="6" s="1"/>
  <c r="E114" i="6" s="1"/>
  <c r="F111" i="6" s="1"/>
  <c r="E109" i="6"/>
  <c r="E110" i="6" s="1"/>
  <c r="F108" i="6" s="1"/>
  <c r="E105" i="6"/>
  <c r="E107" i="6" s="1"/>
  <c r="F104" i="6" s="1"/>
  <c r="B102" i="6"/>
  <c r="E101" i="6" s="1"/>
  <c r="E99" i="6"/>
  <c r="F96" i="6" s="1"/>
  <c r="E93" i="6"/>
  <c r="E95" i="6" s="1"/>
  <c r="F92" i="6" s="1"/>
  <c r="E90" i="6"/>
  <c r="E91" i="6" s="1"/>
  <c r="F89" i="6" s="1"/>
  <c r="E118" i="7"/>
  <c r="E120" i="7" s="1"/>
  <c r="F117" i="7" s="1"/>
  <c r="E106" i="7"/>
  <c r="E108" i="7" s="1"/>
  <c r="F105" i="7" s="1"/>
  <c r="E84" i="7"/>
  <c r="E86" i="7" s="1"/>
  <c r="F83" i="7" s="1"/>
  <c r="E80" i="7"/>
  <c r="E82" i="7" s="1"/>
  <c r="F79" i="7" s="1"/>
  <c r="E103" i="6" l="1"/>
  <c r="F100" i="6" s="1"/>
  <c r="H45" i="1"/>
  <c r="H40" i="1"/>
  <c r="H23" i="1"/>
  <c r="E147" i="6"/>
  <c r="H44" i="1"/>
  <c r="H19" i="1"/>
  <c r="H20" i="1" s="1"/>
  <c r="H12" i="1"/>
  <c r="H13" i="1" s="1"/>
  <c r="H14" i="1" s="1"/>
  <c r="D31" i="10" l="1"/>
  <c r="H11" i="37"/>
  <c r="E88" i="7"/>
  <c r="E90" i="7" s="1"/>
  <c r="F87" i="7" s="1"/>
  <c r="E60" i="7" l="1"/>
  <c r="E49" i="7"/>
  <c r="E45" i="7"/>
  <c r="E117" i="6"/>
  <c r="E76" i="6"/>
  <c r="E73" i="6"/>
  <c r="E64" i="6"/>
  <c r="E61" i="6"/>
  <c r="E19" i="6"/>
  <c r="E16" i="6"/>
  <c r="H13" i="37"/>
  <c r="H14" i="37" s="1"/>
  <c r="H15" i="37" s="1"/>
  <c r="I12" i="37" s="1"/>
  <c r="I16" i="37" s="1"/>
  <c r="D20" i="10" l="1"/>
  <c r="G12" i="36"/>
  <c r="G13" i="36"/>
  <c r="E153" i="34"/>
  <c r="E53" i="34"/>
  <c r="G17" i="33"/>
  <c r="G12" i="33"/>
  <c r="H52" i="38" l="1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23" i="38"/>
  <c r="H22" i="38"/>
  <c r="H21" i="38"/>
  <c r="H20" i="38"/>
  <c r="H19" i="38"/>
  <c r="H18" i="38"/>
  <c r="H17" i="38"/>
  <c r="H16" i="38"/>
  <c r="H15" i="38"/>
  <c r="H14" i="38"/>
  <c r="H13" i="38"/>
  <c r="H53" i="38" l="1"/>
  <c r="H54" i="38" s="1"/>
  <c r="H55" i="38" s="1"/>
  <c r="H56" i="38" s="1"/>
  <c r="H24" i="38"/>
  <c r="H25" i="38" s="1"/>
  <c r="H26" i="38" s="1"/>
  <c r="H28" i="38" l="1"/>
  <c r="H27" i="38"/>
  <c r="H29" i="38" l="1"/>
  <c r="H30" i="38" s="1"/>
  <c r="H31" i="38" s="1"/>
  <c r="H57" i="38" s="1"/>
  <c r="H58" i="38" s="1"/>
  <c r="D14" i="10" s="1"/>
  <c r="G34" i="36"/>
  <c r="G30" i="36"/>
  <c r="G27" i="36"/>
  <c r="G21" i="36"/>
  <c r="G17" i="36"/>
  <c r="G25" i="36" s="1"/>
  <c r="G35" i="36" l="1"/>
  <c r="G37" i="36" s="1"/>
  <c r="G41" i="36"/>
  <c r="G40" i="36"/>
  <c r="G43" i="36" l="1"/>
  <c r="G36" i="36"/>
  <c r="G38" i="36" s="1"/>
  <c r="G42" i="36"/>
  <c r="G44" i="36" s="1"/>
  <c r="G45" i="36" l="1"/>
  <c r="G46" i="36" s="1"/>
  <c r="D15" i="10" s="1"/>
  <c r="A161" i="34" l="1"/>
  <c r="A162" i="34" s="1"/>
  <c r="A163" i="34" s="1"/>
  <c r="E159" i="34"/>
  <c r="L159" i="34" s="1"/>
  <c r="E157" i="34"/>
  <c r="L157" i="34" s="1"/>
  <c r="E156" i="34"/>
  <c r="L156" i="34" s="1"/>
  <c r="E155" i="34"/>
  <c r="L155" i="34" s="1"/>
  <c r="E154" i="34"/>
  <c r="L154" i="34" s="1"/>
  <c r="A154" i="34"/>
  <c r="A155" i="34" s="1"/>
  <c r="A156" i="34" s="1"/>
  <c r="A157" i="34" s="1"/>
  <c r="A158" i="34" s="1"/>
  <c r="L153" i="34"/>
  <c r="L150" i="34"/>
  <c r="L149" i="34"/>
  <c r="L148" i="34"/>
  <c r="L147" i="34"/>
  <c r="L146" i="34"/>
  <c r="L145" i="34"/>
  <c r="L144" i="34"/>
  <c r="L143" i="34"/>
  <c r="L142" i="34"/>
  <c r="L141" i="34"/>
  <c r="L140" i="34"/>
  <c r="L139" i="34"/>
  <c r="L138" i="34"/>
  <c r="L137" i="34"/>
  <c r="L136" i="34"/>
  <c r="L135" i="34"/>
  <c r="L134" i="34"/>
  <c r="L133" i="34"/>
  <c r="L132" i="34"/>
  <c r="L131" i="34"/>
  <c r="L130" i="34"/>
  <c r="L129" i="34"/>
  <c r="L128" i="34"/>
  <c r="L127" i="34"/>
  <c r="L126" i="34"/>
  <c r="L125" i="34"/>
  <c r="L124" i="34"/>
  <c r="L123" i="34"/>
  <c r="L122" i="34"/>
  <c r="L121" i="34"/>
  <c r="A121" i="34"/>
  <c r="A122" i="34" s="1"/>
  <c r="A123" i="34" s="1"/>
  <c r="A124" i="34" s="1"/>
  <c r="A125" i="34" s="1"/>
  <c r="A126" i="34" s="1"/>
  <c r="A127" i="34" s="1"/>
  <c r="A128" i="34" s="1"/>
  <c r="A129" i="34" s="1"/>
  <c r="A130" i="34" s="1"/>
  <c r="A131" i="34" s="1"/>
  <c r="A132" i="34" s="1"/>
  <c r="A133" i="34" s="1"/>
  <c r="A134" i="34" s="1"/>
  <c r="A135" i="34" s="1"/>
  <c r="A136" i="34" s="1"/>
  <c r="A137" i="34" s="1"/>
  <c r="A138" i="34" s="1"/>
  <c r="A139" i="34" s="1"/>
  <c r="A140" i="34" s="1"/>
  <c r="A141" i="34" s="1"/>
  <c r="A142" i="34" s="1"/>
  <c r="A143" i="34" s="1"/>
  <c r="A144" i="34" s="1"/>
  <c r="A145" i="34" s="1"/>
  <c r="A146" i="34" s="1"/>
  <c r="A147" i="34" s="1"/>
  <c r="A148" i="34" s="1"/>
  <c r="A149" i="34" s="1"/>
  <c r="A150" i="34" s="1"/>
  <c r="A151" i="34" s="1"/>
  <c r="L120" i="34"/>
  <c r="A84" i="34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A105" i="34" s="1"/>
  <c r="A106" i="34" s="1"/>
  <c r="A107" i="34" s="1"/>
  <c r="A108" i="34" s="1"/>
  <c r="A109" i="34" s="1"/>
  <c r="A110" i="34" s="1"/>
  <c r="A111" i="34" s="1"/>
  <c r="A112" i="34" s="1"/>
  <c r="A113" i="34" s="1"/>
  <c r="A114" i="34" s="1"/>
  <c r="A115" i="34" s="1"/>
  <c r="A116" i="34" s="1"/>
  <c r="A117" i="34" s="1"/>
  <c r="A118" i="34" s="1"/>
  <c r="E83" i="34"/>
  <c r="E84" i="34" s="1"/>
  <c r="E81" i="34"/>
  <c r="L81" i="34" s="1"/>
  <c r="E80" i="34"/>
  <c r="L80" i="34" s="1"/>
  <c r="E79" i="34"/>
  <c r="L79" i="34" s="1"/>
  <c r="E78" i="34"/>
  <c r="L78" i="34" s="1"/>
  <c r="E77" i="34"/>
  <c r="L77" i="34" s="1"/>
  <c r="E76" i="34"/>
  <c r="L76" i="34" s="1"/>
  <c r="E75" i="34"/>
  <c r="L75" i="34" s="1"/>
  <c r="E74" i="34"/>
  <c r="L74" i="34" s="1"/>
  <c r="E71" i="34"/>
  <c r="E72" i="34" s="1"/>
  <c r="L72" i="34" s="1"/>
  <c r="L70" i="34"/>
  <c r="A70" i="34"/>
  <c r="A71" i="34" s="1"/>
  <c r="A72" i="34" s="1"/>
  <c r="A74" i="34" s="1"/>
  <c r="A75" i="34" s="1"/>
  <c r="A76" i="34" s="1"/>
  <c r="A77" i="34" s="1"/>
  <c r="A78" i="34" s="1"/>
  <c r="A79" i="34" s="1"/>
  <c r="A80" i="34" s="1"/>
  <c r="E69" i="34"/>
  <c r="L69" i="34" s="1"/>
  <c r="L68" i="34"/>
  <c r="L67" i="34"/>
  <c r="E62" i="34"/>
  <c r="E63" i="34" s="1"/>
  <c r="E64" i="34" s="1"/>
  <c r="L61" i="34"/>
  <c r="A61" i="34"/>
  <c r="A62" i="34" s="1"/>
  <c r="A63" i="34" s="1"/>
  <c r="A64" i="34" s="1"/>
  <c r="A65" i="34" s="1"/>
  <c r="A66" i="34" s="1"/>
  <c r="A67" i="34" s="1"/>
  <c r="A68" i="34" s="1"/>
  <c r="L60" i="34"/>
  <c r="A59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E22" i="34"/>
  <c r="E158" i="34" s="1"/>
  <c r="L158" i="34" s="1"/>
  <c r="L21" i="34"/>
  <c r="L20" i="34"/>
  <c r="L19" i="34"/>
  <c r="L18" i="34"/>
  <c r="L17" i="34"/>
  <c r="A15" i="34"/>
  <c r="L14" i="34"/>
  <c r="L15" i="34" s="1"/>
  <c r="G19" i="33"/>
  <c r="G18" i="33"/>
  <c r="G14" i="33"/>
  <c r="G13" i="33"/>
  <c r="L59" i="32"/>
  <c r="L52" i="32"/>
  <c r="L51" i="32"/>
  <c r="L48" i="32"/>
  <c r="L47" i="32"/>
  <c r="L46" i="32"/>
  <c r="L45" i="32"/>
  <c r="L44" i="32"/>
  <c r="L43" i="32"/>
  <c r="L42" i="32"/>
  <c r="E58" i="32" s="1"/>
  <c r="L58" i="32" s="1"/>
  <c r="L41" i="32"/>
  <c r="E54" i="32" s="1"/>
  <c r="L54" i="32" s="1"/>
  <c r="L40" i="32"/>
  <c r="L39" i="32"/>
  <c r="L38" i="32"/>
  <c r="L37" i="32"/>
  <c r="L27" i="32"/>
  <c r="L26" i="32"/>
  <c r="L25" i="32"/>
  <c r="L24" i="32"/>
  <c r="L23" i="32"/>
  <c r="L22" i="32"/>
  <c r="L21" i="32"/>
  <c r="L17" i="32"/>
  <c r="A17" i="32"/>
  <c r="A18" i="32" s="1"/>
  <c r="A21" i="32" s="1"/>
  <c r="A22" i="32" s="1"/>
  <c r="A23" i="32" s="1"/>
  <c r="A24" i="32" s="1"/>
  <c r="A25" i="32" s="1"/>
  <c r="A26" i="32" s="1"/>
  <c r="A27" i="32" s="1"/>
  <c r="A28" i="32" s="1"/>
  <c r="A30" i="32" s="1"/>
  <c r="A31" i="32" s="1"/>
  <c r="A32" i="32" s="1"/>
  <c r="A33" i="32" s="1"/>
  <c r="A34" i="32" s="1"/>
  <c r="A35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L16" i="32"/>
  <c r="H41" i="1"/>
  <c r="H36" i="1"/>
  <c r="H24" i="1"/>
  <c r="I22" i="1" s="1"/>
  <c r="H21" i="1"/>
  <c r="L18" i="32" l="1"/>
  <c r="E55" i="32"/>
  <c r="L55" i="32" s="1"/>
  <c r="H37" i="1"/>
  <c r="H38" i="1" s="1"/>
  <c r="I34" i="1" s="1"/>
  <c r="L49" i="32"/>
  <c r="E56" i="32"/>
  <c r="L56" i="32" s="1"/>
  <c r="E57" i="32"/>
  <c r="L57" i="32" s="1"/>
  <c r="L62" i="34"/>
  <c r="G20" i="33"/>
  <c r="G15" i="33"/>
  <c r="G22" i="33" s="1"/>
  <c r="G24" i="33" s="1"/>
  <c r="L28" i="32"/>
  <c r="G30" i="32" s="1"/>
  <c r="L30" i="32" s="1"/>
  <c r="L84" i="34"/>
  <c r="E85" i="34"/>
  <c r="E65" i="34"/>
  <c r="L64" i="34"/>
  <c r="L22" i="34"/>
  <c r="L41" i="34" s="1"/>
  <c r="L63" i="34"/>
  <c r="L71" i="34"/>
  <c r="L83" i="34"/>
  <c r="E53" i="32"/>
  <c r="L53" i="32" s="1"/>
  <c r="G31" i="32" l="1"/>
  <c r="L31" i="32" s="1"/>
  <c r="G32" i="32" s="1"/>
  <c r="G23" i="33"/>
  <c r="G25" i="33" s="1"/>
  <c r="G26" i="33" s="1"/>
  <c r="G27" i="33" s="1"/>
  <c r="L65" i="34"/>
  <c r="E66" i="34"/>
  <c r="L66" i="34" s="1"/>
  <c r="L85" i="34"/>
  <c r="E86" i="34"/>
  <c r="L44" i="34"/>
  <c r="L43" i="34"/>
  <c r="L52" i="34"/>
  <c r="E60" i="32"/>
  <c r="L60" i="32" s="1"/>
  <c r="L61" i="32" s="1"/>
  <c r="L32" i="32" l="1"/>
  <c r="L33" i="32" s="1"/>
  <c r="G33" i="32"/>
  <c r="G34" i="32" s="1"/>
  <c r="L34" i="32" s="1"/>
  <c r="L35" i="32" s="1"/>
  <c r="L62" i="32" s="1"/>
  <c r="L45" i="34"/>
  <c r="L47" i="34" s="1"/>
  <c r="L53" i="34"/>
  <c r="E54" i="34"/>
  <c r="L86" i="34"/>
  <c r="E87" i="34"/>
  <c r="G28" i="33"/>
  <c r="G29" i="33" s="1"/>
  <c r="D12" i="10" s="1"/>
  <c r="L46" i="34" l="1"/>
  <c r="L48" i="34" s="1"/>
  <c r="L49" i="34" s="1"/>
  <c r="E55" i="34"/>
  <c r="L54" i="34"/>
  <c r="E88" i="34"/>
  <c r="L87" i="34"/>
  <c r="L63" i="32"/>
  <c r="L64" i="32" s="1"/>
  <c r="L65" i="32" s="1"/>
  <c r="D11" i="10" s="1"/>
  <c r="L55" i="34" l="1"/>
  <c r="E56" i="34"/>
  <c r="L88" i="34"/>
  <c r="E89" i="34"/>
  <c r="L89" i="34" l="1"/>
  <c r="E90" i="34"/>
  <c r="E57" i="34"/>
  <c r="L56" i="34"/>
  <c r="L57" i="34" l="1"/>
  <c r="E58" i="34"/>
  <c r="L90" i="34"/>
  <c r="E91" i="34"/>
  <c r="E92" i="34" l="1"/>
  <c r="L91" i="34"/>
  <c r="E59" i="34"/>
  <c r="L59" i="34" s="1"/>
  <c r="L58" i="34"/>
  <c r="L92" i="34" l="1"/>
  <c r="E93" i="34"/>
  <c r="L93" i="34" l="1"/>
  <c r="E94" i="34"/>
  <c r="L94" i="34" l="1"/>
  <c r="E95" i="34"/>
  <c r="E96" i="34" l="1"/>
  <c r="L95" i="34"/>
  <c r="L96" i="34" l="1"/>
  <c r="E97" i="34"/>
  <c r="L97" i="34" l="1"/>
  <c r="E98" i="34"/>
  <c r="L98" i="34" l="1"/>
  <c r="E99" i="34"/>
  <c r="E100" i="34" l="1"/>
  <c r="L99" i="34"/>
  <c r="E101" i="34" l="1"/>
  <c r="L100" i="34"/>
  <c r="L101" i="34" l="1"/>
  <c r="E102" i="34"/>
  <c r="L102" i="34" l="1"/>
  <c r="E103" i="34"/>
  <c r="E104" i="34" l="1"/>
  <c r="L103" i="34"/>
  <c r="E105" i="34" l="1"/>
  <c r="L104" i="34"/>
  <c r="L105" i="34" l="1"/>
  <c r="E106" i="34"/>
  <c r="L106" i="34" l="1"/>
  <c r="E107" i="34"/>
  <c r="E108" i="34" l="1"/>
  <c r="L107" i="34"/>
  <c r="E109" i="34" l="1"/>
  <c r="L108" i="34"/>
  <c r="L109" i="34" l="1"/>
  <c r="E110" i="34"/>
  <c r="L110" i="34" l="1"/>
  <c r="E111" i="34"/>
  <c r="E112" i="34" l="1"/>
  <c r="L111" i="34"/>
  <c r="E113" i="34" l="1"/>
  <c r="L112" i="34"/>
  <c r="L113" i="34" l="1"/>
  <c r="E114" i="34"/>
  <c r="L114" i="34" l="1"/>
  <c r="E115" i="34"/>
  <c r="E116" i="34" l="1"/>
  <c r="L115" i="34"/>
  <c r="E117" i="34" l="1"/>
  <c r="L116" i="34"/>
  <c r="L117" i="34" l="1"/>
  <c r="E118" i="34"/>
  <c r="L118" i="34" s="1"/>
  <c r="L151" i="34" s="1"/>
  <c r="L160" i="34" l="1"/>
  <c r="L161" i="34" l="1"/>
  <c r="L162" i="34" s="1"/>
  <c r="L163" i="34" s="1"/>
  <c r="L164" i="34" s="1"/>
  <c r="L165" i="34" l="1"/>
  <c r="L166" i="34" s="1"/>
  <c r="L167" i="34" s="1"/>
  <c r="D13" i="10" s="1"/>
  <c r="D16" i="10" s="1"/>
  <c r="D18" i="10" s="1"/>
  <c r="D17" i="10" l="1"/>
  <c r="E50" i="31"/>
  <c r="E52" i="31" s="1"/>
  <c r="F49" i="31" s="1"/>
  <c r="E46" i="31"/>
  <c r="E47" i="31" s="1"/>
  <c r="F45" i="31" s="1"/>
  <c r="E42" i="31"/>
  <c r="E43" i="31" s="1"/>
  <c r="F41" i="31" s="1"/>
  <c r="E38" i="31"/>
  <c r="E39" i="31" s="1"/>
  <c r="F37" i="31" s="1"/>
  <c r="E34" i="31"/>
  <c r="E36" i="31" s="1"/>
  <c r="F33" i="31" s="1"/>
  <c r="E30" i="31"/>
  <c r="E32" i="31" s="1"/>
  <c r="F29" i="31" s="1"/>
  <c r="E25" i="31"/>
  <c r="E27" i="31" s="1"/>
  <c r="F24" i="31" s="1"/>
  <c r="E21" i="31"/>
  <c r="E23" i="31" s="1"/>
  <c r="F20" i="31" s="1"/>
  <c r="E16" i="31"/>
  <c r="E18" i="31" s="1"/>
  <c r="F15" i="31" s="1"/>
  <c r="E12" i="31"/>
  <c r="E14" i="31" s="1"/>
  <c r="F11" i="31" s="1"/>
  <c r="H16" i="1" l="1"/>
  <c r="I13" i="1" s="1"/>
  <c r="I17" i="1"/>
  <c r="F53" i="31"/>
  <c r="E54" i="7"/>
  <c r="E57" i="7" s="1"/>
  <c r="E58" i="7" s="1"/>
  <c r="F52" i="7" s="1"/>
  <c r="E58" i="8"/>
  <c r="F57" i="8" s="1"/>
  <c r="E60" i="8"/>
  <c r="E62" i="8" s="1"/>
  <c r="E54" i="8"/>
  <c r="E55" i="8" s="1"/>
  <c r="E50" i="8"/>
  <c r="E51" i="8" s="1"/>
  <c r="E46" i="8"/>
  <c r="E47" i="8" s="1"/>
  <c r="E42" i="8"/>
  <c r="E43" i="8" s="1"/>
  <c r="E38" i="8"/>
  <c r="E34" i="8"/>
  <c r="E36" i="8" s="1"/>
  <c r="E30" i="8"/>
  <c r="E25" i="8"/>
  <c r="E27" i="8" s="1"/>
  <c r="F24" i="8" s="1"/>
  <c r="E21" i="8"/>
  <c r="E23" i="8" s="1"/>
  <c r="F20" i="8" s="1"/>
  <c r="E16" i="8"/>
  <c r="E18" i="8" s="1"/>
  <c r="F15" i="8" s="1"/>
  <c r="E12" i="8"/>
  <c r="E14" i="8" s="1"/>
  <c r="F11" i="8" s="1"/>
  <c r="E126" i="7"/>
  <c r="E127" i="7" s="1"/>
  <c r="F125" i="7" s="1"/>
  <c r="E123" i="7"/>
  <c r="F122" i="7" s="1"/>
  <c r="E76" i="7"/>
  <c r="E77" i="7" s="1"/>
  <c r="E71" i="7"/>
  <c r="E73" i="7" s="1"/>
  <c r="E65" i="7"/>
  <c r="E62" i="7"/>
  <c r="E50" i="7"/>
  <c r="E46" i="7"/>
  <c r="F44" i="7" s="1"/>
  <c r="E29" i="7"/>
  <c r="E30" i="7" s="1"/>
  <c r="E20" i="7"/>
  <c r="E21" i="7" s="1"/>
  <c r="E17" i="7"/>
  <c r="E18" i="7" s="1"/>
  <c r="F16" i="7" s="1"/>
  <c r="E12" i="7"/>
  <c r="E14" i="7" s="1"/>
  <c r="E148" i="6"/>
  <c r="F146" i="6" s="1"/>
  <c r="E143" i="6"/>
  <c r="E144" i="6" s="1"/>
  <c r="F142" i="6" s="1"/>
  <c r="E139" i="6"/>
  <c r="E140" i="6" s="1"/>
  <c r="F138" i="6" s="1"/>
  <c r="E135" i="6"/>
  <c r="E136" i="6" s="1"/>
  <c r="F134" i="6" s="1"/>
  <c r="E131" i="6"/>
  <c r="E132" i="6" s="1"/>
  <c r="F130" i="6" s="1"/>
  <c r="E127" i="6"/>
  <c r="E128" i="6" s="1"/>
  <c r="E122" i="6"/>
  <c r="E124" i="6" s="1"/>
  <c r="F121" i="6" s="1"/>
  <c r="E119" i="6"/>
  <c r="F116" i="6" s="1"/>
  <c r="E83" i="6"/>
  <c r="E86" i="6" s="1"/>
  <c r="E87" i="6" s="1"/>
  <c r="F80" i="6" s="1"/>
  <c r="E77" i="6"/>
  <c r="E74" i="6"/>
  <c r="E70" i="6"/>
  <c r="E71" i="6" s="1"/>
  <c r="E68" i="6"/>
  <c r="E65" i="6"/>
  <c r="F59" i="8" l="1"/>
  <c r="F53" i="8"/>
  <c r="F49" i="8"/>
  <c r="F45" i="8"/>
  <c r="F41" i="8"/>
  <c r="E39" i="8"/>
  <c r="F37" i="8" s="1"/>
  <c r="E32" i="8"/>
  <c r="F29" i="8" s="1"/>
  <c r="F33" i="8"/>
  <c r="F126" i="6"/>
  <c r="E62" i="6"/>
  <c r="E55" i="6"/>
  <c r="E58" i="6" s="1"/>
  <c r="E59" i="6" s="1"/>
  <c r="F53" i="6" s="1"/>
  <c r="E78" i="6"/>
  <c r="F75" i="6" s="1"/>
  <c r="F72" i="6"/>
  <c r="F69" i="6"/>
  <c r="F67" i="6"/>
  <c r="E66" i="6"/>
  <c r="F63" i="6" s="1"/>
  <c r="E50" i="6"/>
  <c r="E51" i="6" s="1"/>
  <c r="F49" i="6" s="1"/>
  <c r="E40" i="6"/>
  <c r="E41" i="6" s="1"/>
  <c r="F39" i="6" s="1"/>
  <c r="E46" i="6"/>
  <c r="E47" i="6" s="1"/>
  <c r="E43" i="6"/>
  <c r="E36" i="6"/>
  <c r="E37" i="6" s="1"/>
  <c r="E33" i="6"/>
  <c r="F32" i="6" s="1"/>
  <c r="E29" i="6"/>
  <c r="E30" i="6" s="1"/>
  <c r="E20" i="6"/>
  <c r="F18" i="6" s="1"/>
  <c r="E25" i="6"/>
  <c r="E26" i="6" s="1"/>
  <c r="E23" i="6"/>
  <c r="F22" i="6" s="1"/>
  <c r="E17" i="6"/>
  <c r="F15" i="6" s="1"/>
  <c r="E12" i="6"/>
  <c r="E13" i="6" s="1"/>
  <c r="F11" i="6" s="1"/>
  <c r="F63" i="8" l="1"/>
  <c r="F60" i="6"/>
  <c r="F45" i="6"/>
  <c r="E44" i="6"/>
  <c r="F42" i="6" s="1"/>
  <c r="F35" i="6"/>
  <c r="F24" i="6"/>
  <c r="H46" i="1"/>
  <c r="I39" i="1"/>
  <c r="H31" i="1"/>
  <c r="H27" i="1"/>
  <c r="H28" i="1" l="1"/>
  <c r="H29" i="1" s="1"/>
  <c r="I26" i="1" s="1"/>
  <c r="H32" i="1"/>
  <c r="H33" i="1" s="1"/>
  <c r="I43" i="1"/>
  <c r="I30" i="1" l="1"/>
  <c r="I48" i="1" s="1"/>
  <c r="D21" i="10" s="1"/>
  <c r="E115" i="7"/>
  <c r="E116" i="7" s="1"/>
  <c r="E110" i="7"/>
  <c r="E111" i="7" s="1"/>
  <c r="E101" i="7"/>
  <c r="E103" i="7" s="1"/>
  <c r="E96" i="7"/>
  <c r="E98" i="7" s="1"/>
  <c r="E92" i="7"/>
  <c r="E94" i="7" s="1"/>
  <c r="E67" i="7"/>
  <c r="E69" i="7" s="1"/>
  <c r="E40" i="7"/>
  <c r="E41" i="7" s="1"/>
  <c r="E35" i="7"/>
  <c r="E36" i="7" s="1"/>
  <c r="E32" i="7"/>
  <c r="E33" i="7" s="1"/>
  <c r="E23" i="7"/>
  <c r="E25" i="7" s="1"/>
  <c r="F114" i="7" l="1"/>
  <c r="E112" i="7"/>
  <c r="F109" i="7" s="1"/>
  <c r="F100" i="7"/>
  <c r="E99" i="7"/>
  <c r="F95" i="7" s="1"/>
  <c r="F91" i="7"/>
  <c r="F75" i="7"/>
  <c r="E74" i="7"/>
  <c r="F70" i="7" s="1"/>
  <c r="F66" i="7"/>
  <c r="F63" i="7"/>
  <c r="F59" i="7"/>
  <c r="E51" i="7"/>
  <c r="F48" i="7" s="1"/>
  <c r="F39" i="7"/>
  <c r="F34" i="7"/>
  <c r="F31" i="7"/>
  <c r="F28" i="7"/>
  <c r="E26" i="7"/>
  <c r="F22" i="7" s="1"/>
  <c r="F19" i="7"/>
  <c r="E15" i="7"/>
  <c r="F11" i="7" s="1"/>
  <c r="F28" i="6"/>
  <c r="F149" i="6" s="1"/>
  <c r="F36" i="7" l="1"/>
  <c r="F128" i="7" s="1"/>
  <c r="D22" i="10" s="1"/>
  <c r="D23" i="10" l="1"/>
  <c r="D24" i="10" l="1"/>
  <c r="D26" i="10" l="1"/>
  <c r="D32" i="10" s="1"/>
  <c r="D25" i="10"/>
  <c r="D33" i="10" l="1"/>
  <c r="D34" i="10" s="1"/>
</calcChain>
</file>

<file path=xl/sharedStrings.xml><?xml version="1.0" encoding="utf-8"?>
<sst xmlns="http://schemas.openxmlformats.org/spreadsheetml/2006/main" count="1976" uniqueCount="967">
  <si>
    <t>№ п/п</t>
  </si>
  <si>
    <t>Объект проектирования</t>
  </si>
  <si>
    <t>Ед. измерения</t>
  </si>
  <si>
    <t>СБЦ на проектные работы</t>
  </si>
  <si>
    <t>Стоимость тыс. руб.</t>
  </si>
  <si>
    <t>Предприятие</t>
  </si>
  <si>
    <t>1 шт.</t>
  </si>
  <si>
    <t>на проектные (изыскательские) работы</t>
  </si>
  <si>
    <t xml:space="preserve">
№
п/п</t>
  </si>
  <si>
    <t>Стадия проектирования и перечень
выполняемых работ</t>
  </si>
  <si>
    <t xml:space="preserve">Ссылка на №№ смет </t>
  </si>
  <si>
    <t>Сумма,  
руб.</t>
  </si>
  <si>
    <t>2.2</t>
  </si>
  <si>
    <t>2.3</t>
  </si>
  <si>
    <t>3.1</t>
  </si>
  <si>
    <t>3.2</t>
  </si>
  <si>
    <t>1.2</t>
  </si>
  <si>
    <t>1.4</t>
  </si>
  <si>
    <t>1.1</t>
  </si>
  <si>
    <t>2.1</t>
  </si>
  <si>
    <t>На проектные работы</t>
  </si>
  <si>
    <t>№№</t>
  </si>
  <si>
    <t>Характеристика предприятия, здания или виды работ</t>
  </si>
  <si>
    <t>Расчет стоимости в тыс. руб.</t>
  </si>
  <si>
    <t>1</t>
  </si>
  <si>
    <t>К1 (п.1.8)=</t>
  </si>
  <si>
    <t>Канализация скрытой проводки для сетей, емкостью в парах:</t>
  </si>
  <si>
    <t>1.3</t>
  </si>
  <si>
    <t>Проектируемая кабельная канализация связи ёмкостью до 6 отверстий включительно и протяжённостью, м</t>
  </si>
  <si>
    <t>2</t>
  </si>
  <si>
    <t>Оконечные учрежденческо - производственные автоматические телефонные станции (в составе станционных сооружений и электропитающей установки), емкостью номеров:</t>
  </si>
  <si>
    <t>Сеть комплексная средств связи и передачи информации в зданиях и сооружениях, емкостью в парах:</t>
  </si>
  <si>
    <t>3</t>
  </si>
  <si>
    <t>Система часофикации.
ФТС России</t>
  </si>
  <si>
    <t>Станция электрочасофикации с числом подключаемых вторичных часов, шт.</t>
  </si>
  <si>
    <t>СБЦП-2001-02. Объекты связи. Т.N9 п.5</t>
  </si>
  <si>
    <t>0,364+0,0035*3=</t>
  </si>
  <si>
    <t>СБЦП-2001-02. Объекты связи. Т.N9 п.11</t>
  </si>
  <si>
    <t>0,98+0,034*3=</t>
  </si>
  <si>
    <t>СБЦП-2001-02. Объекты связи. Т.N9 п.15</t>
  </si>
  <si>
    <t>4</t>
  </si>
  <si>
    <t>Комплексная система безопасности</t>
  </si>
  <si>
    <t>4.1</t>
  </si>
  <si>
    <t>К3 (стр. 3, п. 3.2)=</t>
  </si>
  <si>
    <t>К4 (табл. 5, п. 1)=</t>
  </si>
  <si>
    <t>К5 (табл. 5, п. 2)=</t>
  </si>
  <si>
    <t>4.2</t>
  </si>
  <si>
    <t>Система контроля и управления доступом</t>
  </si>
  <si>
    <t>СБЦП-2001-02. Объекты связи.  Т.20 п. 7</t>
  </si>
  <si>
    <t>(применительно)</t>
  </si>
  <si>
    <t>4.3</t>
  </si>
  <si>
    <t>Система видеонаблюдения</t>
  </si>
  <si>
    <t>К1 (п.2.45)=</t>
  </si>
  <si>
    <t>Интегрирующий комплекс приема, обработки и</t>
  </si>
  <si>
    <t>СБЦП-2001-02. Объекты связи.  Т.20 п. 10</t>
  </si>
  <si>
    <t>хранения видеоинформации, ОС и СКУД</t>
  </si>
  <si>
    <t>Автоматизированное рабочее место (АРМ) оператора</t>
  </si>
  <si>
    <t>СБЦП-2001-02. Объекты связи.  Т.24 п. 1</t>
  </si>
  <si>
    <t xml:space="preserve">КСБ на базе ПЭВМ </t>
  </si>
  <si>
    <t>Структурированная кабельная система с числом узлов</t>
  </si>
  <si>
    <t>СБЦП-2001-02. Объекты связи.  Т.24 п.10</t>
  </si>
  <si>
    <t>свыше 25 до 50</t>
  </si>
  <si>
    <t>Локально-вычислительная сеть с числом узлов</t>
  </si>
  <si>
    <t>К1 (п.2.46)=</t>
  </si>
  <si>
    <t>5</t>
  </si>
  <si>
    <t>5.1</t>
  </si>
  <si>
    <t xml:space="preserve">Установка промышленного телевизионного </t>
  </si>
  <si>
    <t>оборудования (видеонаблюдение от 2 до 12 камер)</t>
  </si>
  <si>
    <t>СБЦП-2001-02. Объекты связи.  Т.24 п.8</t>
  </si>
  <si>
    <t>от 2 до 10</t>
  </si>
  <si>
    <t>2,45+3,68*10=</t>
  </si>
  <si>
    <t>Установка периметральной охранной сигнализации</t>
  </si>
  <si>
    <t>Установки периметральной охранной сигнализации</t>
  </si>
  <si>
    <t>СБЦ на проектные работы для строительства. Системы противопожарной и охранной защиты" 1999г Т.6 п.6</t>
  </si>
  <si>
    <t>К4 (табл. 6, п. 4)=</t>
  </si>
  <si>
    <t>К5 (табл. 6, п. 1)=</t>
  </si>
  <si>
    <t>6</t>
  </si>
  <si>
    <t>6.1</t>
  </si>
  <si>
    <t>Автоматизированное рабочее мест (АРМ) оператора на базе ПЭВМ</t>
  </si>
  <si>
    <t>СБЦП-2001-02. Объекты связи.  Т.N24 п.1</t>
  </si>
  <si>
    <t>7</t>
  </si>
  <si>
    <t>Вспомогательное оборудование и имущество</t>
  </si>
  <si>
    <t>7.1</t>
  </si>
  <si>
    <t xml:space="preserve">Автоматизированное рабочее мест (АРМ) </t>
  </si>
  <si>
    <t>оператора на базе ПЭВМ</t>
  </si>
  <si>
    <t>(применительно к вспомогательному оборудованию рабочих мест)</t>
  </si>
  <si>
    <t>Локальная вычислительная сеть и структурированная кабельная система</t>
  </si>
  <si>
    <t>СБЦП-2001-02. Объекты связи.Т.N24 п.2</t>
  </si>
  <si>
    <t>2,45+3,68*8=</t>
  </si>
  <si>
    <t>(ЛВС таможни)</t>
  </si>
  <si>
    <t>СБЦП-2001-02. Объекты связи. Т.N24 п.8</t>
  </si>
  <si>
    <t>Локальная вычислительная сеть с количеством узлов</t>
  </si>
  <si>
    <t>СБЦП-2001-02. Объекты связи. Т.N24 п.2</t>
  </si>
  <si>
    <t>2,45+3,68*2=</t>
  </si>
  <si>
    <t>(ЛВС Интернет)</t>
  </si>
  <si>
    <t>Структурированная кабельная сеть с числом узлов</t>
  </si>
  <si>
    <t>(СКС Интернет)</t>
  </si>
  <si>
    <t>Телефонная сеть. Станционные сооружения.
ФТС России</t>
  </si>
  <si>
    <t>СБЦП-2001-02. Объекты связи. Т.N1 п.53</t>
  </si>
  <si>
    <t>Абонентская сеть телефонной связи.
ФТС России</t>
  </si>
  <si>
    <t>Установка промышленного телевизионного оборудования (видеонаблюдение от 2 до 12 камер)</t>
  </si>
  <si>
    <t>СБЦП-2001-02. Объекты связи. Т.20 п. 7</t>
  </si>
  <si>
    <t>(система оперативного телевидения)</t>
  </si>
  <si>
    <t>6.2</t>
  </si>
  <si>
    <t>6.3</t>
  </si>
  <si>
    <t>(офисные и технологические помещения)</t>
  </si>
  <si>
    <t>(служебные помещения таможни)</t>
  </si>
  <si>
    <t>6.4</t>
  </si>
  <si>
    <t>6.5</t>
  </si>
  <si>
    <t>СБЦПРС-2010 Т.24 п. 1</t>
  </si>
  <si>
    <t>2,4*2=</t>
  </si>
  <si>
    <t>(АРМ дежурного, АРМ старшего смены)</t>
  </si>
  <si>
    <t>6.6</t>
  </si>
  <si>
    <t>СБЦП-2001-02. Объекты связи.  Т.N24 п.3</t>
  </si>
  <si>
    <t>6.8</t>
  </si>
  <si>
    <t>СБЦП-2001-02. Объекты связи.  Т.N24 п.9</t>
  </si>
  <si>
    <t>Комплекс технических средств таможенного контроля за делящимися и радиоактивными материалами</t>
  </si>
  <si>
    <t>7.2</t>
  </si>
  <si>
    <t>СБЦП-2001-02. Объекты связи. Т.24 п. 1</t>
  </si>
  <si>
    <t>7.3</t>
  </si>
  <si>
    <t>2,45+3,68*9=</t>
  </si>
  <si>
    <t>7.4</t>
  </si>
  <si>
    <t>СБЦП-2001-02. Объекты связи.  Т.N24 п.8</t>
  </si>
  <si>
    <t>8</t>
  </si>
  <si>
    <t>Технические средства таможенного контроля</t>
  </si>
  <si>
    <t>8.1</t>
  </si>
  <si>
    <t>(применительно к интраскопу)</t>
  </si>
  <si>
    <t>9</t>
  </si>
  <si>
    <t>9.1</t>
  </si>
  <si>
    <t>Установка контро-ля напряжения ак-кумуляторных ба-тарей (УКНБ)</t>
  </si>
  <si>
    <t>СБЦПРС-10 Т.N9 п.27</t>
  </si>
  <si>
    <t>8,94*1=</t>
  </si>
  <si>
    <t>(применительно к ИБП)</t>
  </si>
  <si>
    <t>29,45+0,98*12=</t>
  </si>
  <si>
    <t>от 10 до 25</t>
  </si>
  <si>
    <t>СБЦПРС-10 Т.N24 п.9</t>
  </si>
  <si>
    <t>СВОДНАЯ  СМЕТА № 1</t>
  </si>
  <si>
    <t>№ 2.1</t>
  </si>
  <si>
    <t>10</t>
  </si>
  <si>
    <t>11</t>
  </si>
  <si>
    <t>12</t>
  </si>
  <si>
    <t>13</t>
  </si>
  <si>
    <t>14</t>
  </si>
  <si>
    <t>Система часофикации.
ПС ФСБ</t>
  </si>
  <si>
    <t>К6 (Госстрой на 01.01.2001)=</t>
  </si>
  <si>
    <t>Итого в ценах на 01.01.2001 г. (базовая цена), руб:</t>
  </si>
  <si>
    <t>№№ частей, таблиц, §§ и пунктов к сборнику цен на ПИР для стр-ва</t>
  </si>
  <si>
    <t>№№ частей, глав, таблиц, наименования сборника цен на проектные работы</t>
  </si>
  <si>
    <t>Итого по системам в ценах на 01.01.2001 г. (базовая цена), руб:</t>
  </si>
  <si>
    <r>
      <t xml:space="preserve">Наименование проектной (изыскательской) организации: </t>
    </r>
    <r>
      <rPr>
        <b/>
        <sz val="10"/>
        <rFont val="Times New Roman"/>
        <family val="1"/>
        <charset val="204"/>
      </rPr>
      <t xml:space="preserve"> ООО СевЗапСпецСвязь"</t>
    </r>
  </si>
  <si>
    <r>
      <t xml:space="preserve">Наименование видов проектных работ: Техническое оснащение системами связи, безопасности и технологическим оборудованием государственных контрольных органов. </t>
    </r>
    <r>
      <rPr>
        <b/>
        <sz val="10"/>
        <rFont val="Times New Roman"/>
        <family val="1"/>
        <charset val="204"/>
      </rPr>
      <t>ПС ФСБ России</t>
    </r>
  </si>
  <si>
    <r>
      <t xml:space="preserve">Наименование видов проектных работ: Техническое оснащение системами связи, безопасности и технологическим оборудованием государственных контрольных органов. </t>
    </r>
    <r>
      <rPr>
        <b/>
        <sz val="10"/>
        <rFont val="Times New Roman"/>
        <family val="1"/>
        <charset val="204"/>
      </rPr>
      <t>ФТС России</t>
    </r>
  </si>
  <si>
    <r>
      <t xml:space="preserve">Наименование видов проектных работ: Техническое оснащение системами связи, безопасности и технологическим оборудованием государственных контрольных органов. </t>
    </r>
    <r>
      <rPr>
        <b/>
        <sz val="10"/>
        <rFont val="Times New Roman"/>
        <family val="1"/>
        <charset val="204"/>
      </rPr>
      <t>Роспотребнадзор</t>
    </r>
  </si>
  <si>
    <r>
      <t xml:space="preserve">Наименование видов проектных работ: Техническое оснащение системами связи, безопасности и технологическим оборудованием государственных контрольных органов. </t>
    </r>
    <r>
      <rPr>
        <b/>
        <sz val="10"/>
        <rFont val="Times New Roman"/>
        <family val="1"/>
        <charset val="204"/>
      </rPr>
      <t>Россельхознадзор</t>
    </r>
  </si>
  <si>
    <t>применительно</t>
  </si>
  <si>
    <t>Пункт санитарно-карантинного контроля</t>
  </si>
  <si>
    <t>Павильон для дезинфекции автотранспорта</t>
  </si>
  <si>
    <t>Здание кинологической службы</t>
  </si>
  <si>
    <t>8.2</t>
  </si>
  <si>
    <t>9.2</t>
  </si>
  <si>
    <t>10.1</t>
  </si>
  <si>
    <t>11.1</t>
  </si>
  <si>
    <t>12.1</t>
  </si>
  <si>
    <t>13.1</t>
  </si>
  <si>
    <t>Наименование видов проектных работ: Корректировка проектной документации на строительство автомобильного пункта пропуска Краскино</t>
  </si>
  <si>
    <t>к = 1,14 три типа авто</t>
  </si>
  <si>
    <t>k=0,008 с учетом вычета связи и безопасности табл.3 ст.8</t>
  </si>
  <si>
    <t>2 шт.</t>
  </si>
  <si>
    <t xml:space="preserve">АТ 2006 табл.2 п.30 </t>
  </si>
  <si>
    <t>Пункт весового контроля</t>
  </si>
  <si>
    <t>АТ 2006 табл.2 п.6</t>
  </si>
  <si>
    <t>385+45*2=</t>
  </si>
  <si>
    <t>СБЦП 81-2001-03 табл.3 п.3</t>
  </si>
  <si>
    <t>k=0,03 с учетом вычета связи и безопасности табл.41 ст.5</t>
  </si>
  <si>
    <t>89,76+0,41*211,5=</t>
  </si>
  <si>
    <t>Служебное здание со складом для глубокого досмотра товаров и автотранспортных средств</t>
  </si>
  <si>
    <t>АТ 2006 табл.2 п.1</t>
  </si>
  <si>
    <t>АТ 2006 табл.2 п.21</t>
  </si>
  <si>
    <t>Гараж служебного транспорта подразделения на 4 машино-места</t>
  </si>
  <si>
    <t>АТ 2006 табл.1 п.33</t>
  </si>
  <si>
    <t>7+0,122*93=</t>
  </si>
  <si>
    <t>15</t>
  </si>
  <si>
    <t>Сеть открытой телефонной связи. Станционные сооружения</t>
  </si>
  <si>
    <t>Оконечные учрежденческо-производственные автоматические телефонные станции (в составе станционных сооружений и электропитающей установки), емкостью номеров:</t>
  </si>
  <si>
    <t>СБЦП-2001-02, таблица №1 п.54</t>
  </si>
  <si>
    <t>Автоматизированное рабочее место (АРМ) оператора на базе ПЭВМ: 1 АРМ</t>
  </si>
  <si>
    <t>СБЦП-2001-02,Таблица №24 п.1</t>
  </si>
  <si>
    <t>Кабельная линия связи</t>
  </si>
  <si>
    <t>СБЦП-2001-02. Объекты связи.  Т.N4 п.8</t>
  </si>
  <si>
    <t>Сеть открытой передачи данных (интернет)</t>
  </si>
  <si>
    <t>2,45+3,68*(0,4*2+0,6*1)=</t>
  </si>
  <si>
    <t>Сеть открытой телефонной связи. Линейные сооружения. Кабельная канализация</t>
  </si>
  <si>
    <t>СБЦП-2001-02. Объекты связи.  Т.N1 п.15</t>
  </si>
  <si>
    <t>Транспортная сеть</t>
  </si>
  <si>
    <t>Станция оконечная или промежуточная с синхронной системой передачи STM в готовом здании с наличным электроснабжением: 1 станция</t>
  </si>
  <si>
    <t>СБЦП-2001-02. Объекты связи.  Т.N 5 п. 4</t>
  </si>
  <si>
    <t>94,64*2=</t>
  </si>
  <si>
    <t>от 2 до 10: 1</t>
  </si>
  <si>
    <t>Сеть радиосвязи УКВ диапазона</t>
  </si>
  <si>
    <t>Базовая станция в готовом здании с количеством каналов:</t>
  </si>
  <si>
    <t>СБЦПРС-10 Т.N15 п.1</t>
  </si>
  <si>
    <t>"4-8"</t>
  </si>
  <si>
    <t>Структурированная кабельная система</t>
  </si>
  <si>
    <t>свыше 50 до 100</t>
  </si>
  <si>
    <t>СБЦП-2001-02. Объекты связи.  Т.24 п.11</t>
  </si>
  <si>
    <t>49,2+0,49*80=</t>
  </si>
  <si>
    <t>49,2+0,49*48=</t>
  </si>
  <si>
    <t>Система телевидения</t>
  </si>
  <si>
    <t>от 2 до 10:8</t>
  </si>
  <si>
    <t>применительно к IP-телевидению</t>
  </si>
  <si>
    <t>объекта площадью от 1000 до 2000 кв. м.</t>
  </si>
  <si>
    <t>СБЦ на проектные работы для строительства. Системы противопожарной и охранной защиты" 1999г Т.5 п. 6</t>
  </si>
  <si>
    <t>2074*(1,2+0,2+0,1)=</t>
  </si>
  <si>
    <t>Автоматическая установка охранной сигнализации</t>
  </si>
  <si>
    <t>Интегрирующий комплекс приема, обработки 
и хранения видеоинформации, ОС и СКУД</t>
  </si>
  <si>
    <t>2,4*5=</t>
  </si>
  <si>
    <t>свыше 100 до 300</t>
  </si>
  <si>
    <t>СБЦП-2001-02. Объекты связи.  Т.24 п.12</t>
  </si>
  <si>
    <t>8.3</t>
  </si>
  <si>
    <t>8.4</t>
  </si>
  <si>
    <t>8.5</t>
  </si>
  <si>
    <t>8.6</t>
  </si>
  <si>
    <t>8.7</t>
  </si>
  <si>
    <t>до 2 км</t>
  </si>
  <si>
    <t>3,556*(1,2+0,5+0,5)=</t>
  </si>
  <si>
    <t>Технические средства и вспомогательное оборудование. Комплекс технических средств пограничного контроля</t>
  </si>
  <si>
    <t>8.8</t>
  </si>
  <si>
    <t>Система бесперебойного гарантированного электроснабжения</t>
  </si>
  <si>
    <t>Электропитание оборудования УзСС</t>
  </si>
  <si>
    <t>от 2 до 10:4</t>
  </si>
  <si>
    <t>2,45+3,68*4=</t>
  </si>
  <si>
    <t>Электропитание специального оборудования УзСС</t>
  </si>
  <si>
    <t>от 2 до 10:10</t>
  </si>
  <si>
    <t>Станционные сооружения. Сеть шифрованной телефонной связи</t>
  </si>
  <si>
    <t>Защищенная информационная система в составе: спецаппаратура среднескоростная (каналы уровня Е1, Е2) мощностью, каналов Е1: от 1 до 18
1 канал</t>
  </si>
  <si>
    <t>СБЦПРС-10 Т.N23 п.2</t>
  </si>
  <si>
    <t>77,93+22,78*1=</t>
  </si>
  <si>
    <t>Сеть защищенной передачи данных</t>
  </si>
  <si>
    <t>Защищенная информационная система в составе: спецаппаратура высокоскоростная (от 10Мбит/с) с мощностью: от 1 до 6 каналов
1</t>
  </si>
  <si>
    <t>СБЦПРС-10 Т.N23 п.3</t>
  </si>
  <si>
    <t>77,93+68,39*1=</t>
  </si>
  <si>
    <t>Виброакустическая защита помещений</t>
  </si>
  <si>
    <t>14.1</t>
  </si>
  <si>
    <t>15.1</t>
  </si>
  <si>
    <t>СБЦПРС-10 Т.N23 п.5</t>
  </si>
  <si>
    <t>Локальная вычислительная сеть с числом узлов</t>
  </si>
  <si>
    <t>91,34*0,7=</t>
  </si>
  <si>
    <t>от 2 до 10: 2</t>
  </si>
  <si>
    <t>9,81*0,7=</t>
  </si>
  <si>
    <t>0,364+0,0035*15=</t>
  </si>
  <si>
    <t>0,98+0,034*15=</t>
  </si>
  <si>
    <t>0,381+0,0150*15=</t>
  </si>
  <si>
    <t>49,2+0,49*72=</t>
  </si>
  <si>
    <t>35,57*0,7=</t>
  </si>
  <si>
    <t>2,4*49=</t>
  </si>
  <si>
    <t>49,2+0,49*49=</t>
  </si>
  <si>
    <t>СКС и ЛВС Россельхознадзора</t>
  </si>
  <si>
    <t>СБЦПРС-10 Т.N24 п.3</t>
  </si>
  <si>
    <t>К12(стр. 12 п.2.46)=</t>
  </si>
  <si>
    <t>Сеть телевидения</t>
  </si>
  <si>
    <t>СБЦПРС-10 Т.N24 п.2</t>
  </si>
  <si>
    <t>(применительно к сети IP телевидения)</t>
  </si>
  <si>
    <t>СБЦПРС-10 Т.N24 п.8</t>
  </si>
  <si>
    <t>Система часофикации</t>
  </si>
  <si>
    <t xml:space="preserve">Станция электрочасофикации в с числом </t>
  </si>
  <si>
    <t>СБЦПРС-10 Т.N9 п.5</t>
  </si>
  <si>
    <t>подключаемых вторичных электрочасов:</t>
  </si>
  <si>
    <t>Сеть комплексная средств связи и передачи</t>
  </si>
  <si>
    <t>СБЦПРС-10 Т.N9 п.11</t>
  </si>
  <si>
    <t>информации в зданиях и сооружениях, емкостью в парах: до 30</t>
  </si>
  <si>
    <t>Канализация скрытой проводки для сетей в парах свыше 30 до 50</t>
  </si>
  <si>
    <t>СБЦПРС-10 Т.N9 п.15</t>
  </si>
  <si>
    <t>0,381+0,015*3=</t>
  </si>
  <si>
    <t>Технические средства ПВКП</t>
  </si>
  <si>
    <t>СБЦПРС-10 Т.N24 п.1</t>
  </si>
  <si>
    <t>Вспомогательное оборудование и имущество ПВКП</t>
  </si>
  <si>
    <t>Технические средства ППКР</t>
  </si>
  <si>
    <t>Вспомогательное оборудование и имущество ППКР</t>
  </si>
  <si>
    <t>Система бесперебойного гарантированного электроснабжения Россельхознадзора</t>
  </si>
  <si>
    <t>(применительно к розеточной сети)</t>
  </si>
  <si>
    <t>СКС и ЛВС Роспотребнадзора</t>
  </si>
  <si>
    <t>Технические средства СКП</t>
  </si>
  <si>
    <t>Вспомогательное оборудование и имущество СКП</t>
  </si>
  <si>
    <t>Система бесперебойного гарантированного электроснабжения Роспотребнадзора</t>
  </si>
  <si>
    <t>НДС</t>
  </si>
  <si>
    <t>объекта площадью от 2000 до 3000 кв. м.</t>
  </si>
  <si>
    <t>2,696*(1,2+0,2+0,1)=</t>
  </si>
  <si>
    <t>ИТОГО в текущих ценах с НДС</t>
  </si>
  <si>
    <t>Служебное здание со складом и гаражом для глубокого досмотра товаров и автотранспортных средств</t>
  </si>
  <si>
    <t>2,4*28=</t>
  </si>
  <si>
    <t>62,92*0,7=</t>
  </si>
  <si>
    <r>
      <t>Стадия проектирования:</t>
    </r>
    <r>
      <rPr>
        <b/>
        <sz val="10"/>
        <rFont val="Times New Roman"/>
        <family val="1"/>
        <charset val="204"/>
      </rPr>
      <t xml:space="preserve"> Проектная документация</t>
    </r>
  </si>
  <si>
    <t>К(пд)=</t>
  </si>
  <si>
    <t>k=0,175 с учетом вычета технологической части табл.3 ст.2</t>
  </si>
  <si>
    <t>k=0,20 с учетом вычета технологической части табл.3 ст.2</t>
  </si>
  <si>
    <t>k=0,1 с учетом вычета технологической части табл.3 ст.2</t>
  </si>
  <si>
    <t>k=0,02 с учетом вычета связи и безопасности табл.3 ст.8</t>
  </si>
  <si>
    <t>k=0,05 с учетом вычета технологической части табл.41 ст.7</t>
  </si>
  <si>
    <t>k=0,05 с учетом вычета технологической части табл.3 ст.2</t>
  </si>
  <si>
    <t>k=0,62 с учетом вычета технологической части табл.3 ст.2</t>
  </si>
  <si>
    <t>Сметный расчет №1.1</t>
  </si>
  <si>
    <t>на инженерно-геологические изыскания</t>
  </si>
  <si>
    <t>Наименование видов проектных работ: инженерно-геологические изыскания</t>
  </si>
  <si>
    <t>Сметный расчет составлен по Справочнику базовых цен на инженерно-геологические и инженерно-экологические изыскания для строительства, 1999 г. (цены приведены к базисному уровню на 01.01.1991 г.)</t>
  </si>
  <si>
    <t>Наименование работ и затрат</t>
  </si>
  <si>
    <t>Ед. изм.</t>
  </si>
  <si>
    <t>Обоснование стоимости</t>
  </si>
  <si>
    <t>Расчет стоимости</t>
  </si>
  <si>
    <t>Стоимость, руб.</t>
  </si>
  <si>
    <t>Кол-во</t>
  </si>
  <si>
    <t>х Цена х</t>
  </si>
  <si>
    <t>Коэффициент</t>
  </si>
  <si>
    <t>1. Работы, вошедшие в сборник базовых цен</t>
  </si>
  <si>
    <t>Предполевые работы</t>
  </si>
  <si>
    <t>Плановая и высотная привязка при расстоянии между скважинами при II кат. Сложности, с раст. между точками от 200 до 350 м</t>
  </si>
  <si>
    <t>1 выработка</t>
  </si>
  <si>
    <t>СБЦ-99, таб.93,§ 4, II кат.сл.</t>
  </si>
  <si>
    <t>х</t>
  </si>
  <si>
    <t>Составление программы работ, II кат.сл., средняя глубина исследования до св.5 до 10 м, исследуемая площадь до 1 км2</t>
  </si>
  <si>
    <t>1 программа</t>
  </si>
  <si>
    <t>СБЦ-99, таб.81 §2, прим.1 (к=1,25 II кат. сложности)</t>
  </si>
  <si>
    <t>Итого предполевых работ</t>
  </si>
  <si>
    <t>Полевые работы</t>
  </si>
  <si>
    <t xml:space="preserve">Колонковое бурение скважин Ǿ до 160 мм, глубиной  до 15,0 м  </t>
  </si>
  <si>
    <t>в грунтах категории II</t>
  </si>
  <si>
    <t>1 м</t>
  </si>
  <si>
    <t>СБЦ-99, Табл.17,  §1 К=0,9 - без устройства циркуляционной системы (прим к табл. 17)</t>
  </si>
  <si>
    <t>в грунтах категории III</t>
  </si>
  <si>
    <t>в грунтах категории IV</t>
  </si>
  <si>
    <t xml:space="preserve">Крепление скважины при бурении  Ǿ до 160 мм, глубиной  до 15,0 м  </t>
  </si>
  <si>
    <t xml:space="preserve">СБЦ-99, Табл.18,  §4 </t>
  </si>
  <si>
    <t>Гидрогеологические наблюдения без  "тартания" при бурении скважин Ǿ до 160 мм Глубина скв. до 15,0 м</t>
  </si>
  <si>
    <t xml:space="preserve">СБЦ-99, Табл.18,  §1 гл.4 п.8 (K=0,6 - без  "тартания")  </t>
  </si>
  <si>
    <t>Опытно фильтрационные работы. Экспресс-откачка из одиночной скважины</t>
  </si>
  <si>
    <t>1 откачка</t>
  </si>
  <si>
    <t>СБЦ-99, Табл.34,  §14</t>
  </si>
  <si>
    <t>Отбор монолитов из скважин глубиной  до 10 м</t>
  </si>
  <si>
    <t>1 монолит</t>
  </si>
  <si>
    <t>СБЦ-99, Табл.57,  §1</t>
  </si>
  <si>
    <t>Итого полевых работ</t>
  </si>
  <si>
    <t>Прочие полевые расходы</t>
  </si>
  <si>
    <t>Выполнение полевых работ на территории со спец.режимом</t>
  </si>
  <si>
    <t>к стоим-ти пол.  раб.</t>
  </si>
  <si>
    <t>СБЦ-99, ОУ, п.8в,   К=1,25</t>
  </si>
  <si>
    <t xml:space="preserve">Выполнение полевых работ в неблагоприятный период года </t>
  </si>
  <si>
    <t>СБЦ-99, ОУ, п.8г,  табл. 2, §3, К=1,3</t>
  </si>
  <si>
    <t>Внутренний транспорт от 20 до 25 км</t>
  </si>
  <si>
    <t>% от полев.  раб.</t>
  </si>
  <si>
    <t>СБЦ-99, Табл.4, §5</t>
  </si>
  <si>
    <t>Внешний транспорт, св. 2000 км</t>
  </si>
  <si>
    <t>% от полев. раб.</t>
  </si>
  <si>
    <t>СБЦ-99, Табл.5, §6</t>
  </si>
  <si>
    <t>Организация и ликвидация работ</t>
  </si>
  <si>
    <t>% от полев.раб.</t>
  </si>
  <si>
    <t>СБЦ-99, ОУ, п.13, прим. 1 (К=2,5)</t>
  </si>
  <si>
    <t>/100</t>
  </si>
  <si>
    <t>Итого прочих полевых расходов</t>
  </si>
  <si>
    <t>Лабораторные работы</t>
  </si>
  <si>
    <t>Полный комплекс физико-механических свойств грунта. Показатели сжимаемости и сопутствующие определения при компрессионных испытаниях по двум ветвям с нагрузкой до 0,6 МПа и неконсолидированный срез</t>
  </si>
  <si>
    <t>1 образец</t>
  </si>
  <si>
    <t>СБЦ-99, таб.63 §27</t>
  </si>
  <si>
    <t>Одноосное сжатие (полускальные)</t>
  </si>
  <si>
    <t xml:space="preserve">СБЦ-99, таб.63 § 6 </t>
  </si>
  <si>
    <t>Плотность влажного грунта методом гидростатического взвешивания с парафинированием</t>
  </si>
  <si>
    <t>СБЦ-99, таб.67 § 2</t>
  </si>
  <si>
    <t>Влажность</t>
  </si>
  <si>
    <t>СБЦ-99, таб.67 § 1</t>
  </si>
  <si>
    <t>Полный комплекс определений физических свойств для песчаных грунтов</t>
  </si>
  <si>
    <t>СБЦ-99, таб.65 § 1</t>
  </si>
  <si>
    <t>Органические вещества (гумус) методом прокаливания при температурах 120, 230, 420 ̊С последовательно</t>
  </si>
  <si>
    <t>СБЦ-99, Табл.70, §11</t>
  </si>
  <si>
    <t>Полный комплекс определений физических свойств для глинистых грунтов с включениями частиц диаметром более 1 мм (менее 10%)</t>
  </si>
  <si>
    <t>СБЦ-99, Табл.63, §9</t>
  </si>
  <si>
    <t>Стандартный анализ воды</t>
  </si>
  <si>
    <t>1 проба</t>
  </si>
  <si>
    <t>СБЦ-99, Табл.73, § 2</t>
  </si>
  <si>
    <t>Определение углекислоты агрессивной</t>
  </si>
  <si>
    <t>СБЦ-99, Табл.72, § 64</t>
  </si>
  <si>
    <t>Коррозионная активность грунтовых вод по отношению к свинцовым и алюминиевым оболочкам одновременно</t>
  </si>
  <si>
    <t>СБЦ-99, Табл.75, § 8</t>
  </si>
  <si>
    <t>Коррозионная активность грунтов по отношению к стали</t>
  </si>
  <si>
    <t>СБЦ-99, Табл.75, §4</t>
  </si>
  <si>
    <t>Коррозийная активность грунтов и грунтовых вод по отношению к бетону</t>
  </si>
  <si>
    <t>СБЦ-99, Табл.75, §5</t>
  </si>
  <si>
    <t>Итого лабораторных работ</t>
  </si>
  <si>
    <t>Камеральные работы</t>
  </si>
  <si>
    <t>Камеральная обработка буровых работ  с гидрогеологическими наблюдениями II категория сложности</t>
  </si>
  <si>
    <t>1 м выработки</t>
  </si>
  <si>
    <t xml:space="preserve">СБЦ-99, таб.82 § 2, прим. 3, II категория сложности </t>
  </si>
  <si>
    <t>Камеральная обработка материалов опытных гидрогеологических работ</t>
  </si>
  <si>
    <t>1 опыт</t>
  </si>
  <si>
    <t>СБЦ-99, таб.84 §4</t>
  </si>
  <si>
    <t>Камеральная обработка лабораторных работ глинистых грунтов</t>
  </si>
  <si>
    <t>% от стоимости лабораторных работ</t>
  </si>
  <si>
    <t>СБЦ-99, таб.86 § 1</t>
  </si>
  <si>
    <t>Камеральная обработка лабораторных работ песчаных грунтов</t>
  </si>
  <si>
    <t>СБЦ-99, таб.86 § 2</t>
  </si>
  <si>
    <t>Камеральная обработка лабораторных работ скальных и полускальных грунтов</t>
  </si>
  <si>
    <t>СБЦ-99, таб.86 § 3</t>
  </si>
  <si>
    <t xml:space="preserve">Камеральная обработка химического состава воды </t>
  </si>
  <si>
    <t>СБЦ-99, таб.86 § 5</t>
  </si>
  <si>
    <t>Камеральная обработка определения коррозионной активности грунтов и воды</t>
  </si>
  <si>
    <t>СБЦ-99, таб.86 § 8</t>
  </si>
  <si>
    <t>Камеральная обработка химического состава грунтов</t>
  </si>
  <si>
    <t>СБЦ-99, таб.86 § 4</t>
  </si>
  <si>
    <t>Сбор, изучение и систематизация материалов изысканий прошлых лет по горным выработкам, при II категории сложности инженерно-геологических условий</t>
  </si>
  <si>
    <t>СБЦ-99, таб.78 1</t>
  </si>
  <si>
    <t>Составление технического отчета, II кат.сл., стоимость камер.работ  св. 5 до 20 тыс.руб.</t>
  </si>
  <si>
    <t>% от стоимости камеральных работ</t>
  </si>
  <si>
    <t>СБЦ-99, таб.87 § 2</t>
  </si>
  <si>
    <t>Итого камеральных работ</t>
  </si>
  <si>
    <t>Итого по 1 разделу в ценах 01.01.91г.</t>
  </si>
  <si>
    <t>Непредвиденные расходы</t>
  </si>
  <si>
    <t>% от итого</t>
  </si>
  <si>
    <t>СБЦ-99, ОУ п.17</t>
  </si>
  <si>
    <t>Итого по смете в ценах 01.01.91г.</t>
  </si>
  <si>
    <t>Итого по 1 разделу с учетом СК=11,37-коэффициент пересчета в цены 1кв. 2001г. (Письмо Минстроя России от 4 января 2001 г. N АШ-9/10)</t>
  </si>
  <si>
    <t>Сметный расчет составил</t>
  </si>
  <si>
    <t>[подпись (инициалы, фамилия]</t>
  </si>
  <si>
    <t>Сметный расчет № 1.2</t>
  </si>
  <si>
    <t>на инженерно-геодезические изыскания</t>
  </si>
  <si>
    <t>Наименование видов проектных работ: Инженерно-геодезические изыскания</t>
  </si>
  <si>
    <t>Ед. измер.</t>
  </si>
  <si>
    <t>1 га</t>
  </si>
  <si>
    <t>Создание плановой опорной сети 1 разряда. 2 категории сложности.</t>
  </si>
  <si>
    <t>1шт.</t>
  </si>
  <si>
    <t>СБЦ-04 табл.8 п.2; прим.1 К=0,7;                     прим.2 К=1,3;                                                               ОУ п.8 в) К=1,25,                      г) к=1,3</t>
  </si>
  <si>
    <t>9172х0,7х1,3 х1,25х1,3х3</t>
  </si>
  <si>
    <t>Создание высотной опорной сети 4 класса. 2 категории сложности.</t>
  </si>
  <si>
    <t>СБЦ-04 табл.8 п.4, прим.1 К=0,4                                                                     ОУ п.8 в) К=1,25,                      г) к=1,3</t>
  </si>
  <si>
    <t>1897х0,4х1,25 х1,3х3</t>
  </si>
  <si>
    <t xml:space="preserve">Итого полевых работ </t>
  </si>
  <si>
    <t xml:space="preserve">СБЦ-04 табл.9 п.5;  прим.4 К=1,75;                                              ОУ п.15 а) К=1,1;                                                         д) К=1,2.   </t>
  </si>
  <si>
    <t>1938х1,75х1,1х х1,2х13,74</t>
  </si>
  <si>
    <t>СБЦ-04 табл.8 п.2; прим.2 К=1,3                                         ОУ  п.15 а) К=1,1;                   д) К=1,2</t>
  </si>
  <si>
    <t>3599х1,3х1,1х1,2х3</t>
  </si>
  <si>
    <t>Создание высотной опорной сети 4 класса. 2 категории сложности. 2 сезона</t>
  </si>
  <si>
    <t>СБЦ-04 табл.8 п.4;                                                        ОУ  п.15 а) К=1,1;                                                         д) К=1,2.</t>
  </si>
  <si>
    <t>428х1,1х1,2х3</t>
  </si>
  <si>
    <t>Прочие расходы</t>
  </si>
  <si>
    <t>Внутренний транспорт, 50-100 км</t>
  </si>
  <si>
    <t>ОУ СБЦ-04 п.9 табл.4 п.8</t>
  </si>
  <si>
    <t>п.5х23,75%</t>
  </si>
  <si>
    <t>Внешний транспорт, 2000 км</t>
  </si>
  <si>
    <t>ОУ СБЦ-04 п.10 табл.5 п.6</t>
  </si>
  <si>
    <t>(п.5+п.11)х39,2%</t>
  </si>
  <si>
    <t>ОУ СБЦ-04 п.13 прим.1 К=2,5</t>
  </si>
  <si>
    <t>(п.5+п.11)х6%х2,5</t>
  </si>
  <si>
    <t>Итого по прочих расходов</t>
  </si>
  <si>
    <t>Итого по разделу</t>
  </si>
  <si>
    <t>Итого с учетом районного коэффициента к итогу сметной стоимости</t>
  </si>
  <si>
    <t xml:space="preserve">ОУ СБЦ-04 п.8 д)                                            табл.3 п.5 К=1,15 </t>
  </si>
  <si>
    <t>п.15х1,15</t>
  </si>
  <si>
    <t>ОУ СБЦ-04 п.18</t>
  </si>
  <si>
    <t>п.16х10%</t>
  </si>
  <si>
    <t>Итого по смете в ценах 01.01.2001г.</t>
  </si>
  <si>
    <t>Составитель сметы</t>
  </si>
  <si>
    <t>/Граевский П.А./</t>
  </si>
  <si>
    <t>без учета стоимости согласований инженерных коммуникаций и исходных геодезических данных</t>
  </si>
  <si>
    <t>Сметный расчет № 1.3</t>
  </si>
  <si>
    <t>на инженерно-экологические изыскания</t>
  </si>
  <si>
    <t>Наименование видов проектных работ: Инженерно-экологические изыскания</t>
  </si>
  <si>
    <t>Предполевые камеральные работы</t>
  </si>
  <si>
    <t>Разработка программы</t>
  </si>
  <si>
    <t>СБЦ-99, Табл.81, §1, кат.II, прим.1 (К=1,25 для районов II кат.сл.)</t>
  </si>
  <si>
    <t>Итого предполевых камеральных работ</t>
  </si>
  <si>
    <t>Инженерно-экологическое рекогносцировочное обследование, уд.проход.</t>
  </si>
  <si>
    <t>1 км</t>
  </si>
  <si>
    <t>СБЦ-99, Табл.9,  §2, кат.II, прим.1 (К=1,1 для  II кат.сл.)</t>
  </si>
  <si>
    <t xml:space="preserve">Маршрутные наблюдения: геоботанические </t>
  </si>
  <si>
    <t>1 км маршрута</t>
  </si>
  <si>
    <t>СБЦ-99, Табл.10,  §3, кат.уд. (применительно)</t>
  </si>
  <si>
    <t>Описание точек наблюдений площадок при составлении геоботанических карт (схем)</t>
  </si>
  <si>
    <t>1 точка</t>
  </si>
  <si>
    <t>СБЦ-99, Табл.11,  §2, кат.II, прим.1 (К=0,4 геоботаническая  карта) (применительно)</t>
  </si>
  <si>
    <t>Маршрутные наблюдения: животный мир</t>
  </si>
  <si>
    <t>Описание точек наблюдений площадок при составлении карт (схем) животного мира</t>
  </si>
  <si>
    <t>СБЦ-99, Табл.11,  §2, кат.II, прим.1   (К=0,4 карта животного мира) (применительно)</t>
  </si>
  <si>
    <t>Радиационное обследование участка</t>
  </si>
  <si>
    <t>0,1 га</t>
  </si>
  <si>
    <t>СБЦ-99, Табл.92, §3</t>
  </si>
  <si>
    <t xml:space="preserve">Измерение потока радона </t>
  </si>
  <si>
    <t xml:space="preserve">20 точек </t>
  </si>
  <si>
    <t>СБЦ-99, Табл.91, §1</t>
  </si>
  <si>
    <t>Отбор проб почвогрунтов на радиоактивное загрязнение</t>
  </si>
  <si>
    <t>СБЦ-99, Табл.60,  §7, прим.2 (К=1,2 - отбор проб на радиоактивное загрязнение)</t>
  </si>
  <si>
    <t>Отбор проб почвогрунтов для анализа по химическим показателям (с глубины 0,0-0,2 м, кроме того 1 фоновая проба)</t>
  </si>
  <si>
    <t>СБЦ-99, Табл.60, §7, прим. 1 (К=0,9 - объединенная проба), n=5 (кол-во точечных проб)</t>
  </si>
  <si>
    <t>Отбор проб почвогрунтов для бактериологического анализа</t>
  </si>
  <si>
    <t>СБЦ-99, Табл.60, §10</t>
  </si>
  <si>
    <t xml:space="preserve">Отбор проб почвогрунтов для паразитологического (гельминтологического) анализа </t>
  </si>
  <si>
    <t>СБЦ-99, Табл.60, §10, прим. 4 (К=0,9 - отбор проб почво-грунтов на гельмин. анализ)</t>
  </si>
  <si>
    <t>Проходка шурфов до 2,5м  с отбором проб почв для агрохимического анализа</t>
  </si>
  <si>
    <t>СБЦ-99, Табл.27,  §1, кат.II</t>
  </si>
  <si>
    <t>Бурение скважин диаметром 60-89 мм, глубиной до 5 м</t>
  </si>
  <si>
    <t>СБЦ-99, Табл.13,  §2, кат.II</t>
  </si>
  <si>
    <t>Отбор проб грунтов для анализа по химическим показателям (послойно через 1 м)</t>
  </si>
  <si>
    <t>СБЦ-99, Табл.57, §1</t>
  </si>
  <si>
    <t>Отбор проб грунтов для токсикологич.  анализа</t>
  </si>
  <si>
    <t>СБЦ-99, Табл.57, §1 (применительно)</t>
  </si>
  <si>
    <t>Отбор проб воды для химического анализа (с поверхности)</t>
  </si>
  <si>
    <t>СБЦ-99, Табл.60, §1</t>
  </si>
  <si>
    <t>Отбор проб донных отложений для химического анализа (с глубины 0,0-0,2 м)</t>
  </si>
  <si>
    <t>СБЦ-99, Табл.60, §5</t>
  </si>
  <si>
    <t>Отбор проб донных отложений для исследований физико-механических свойств донных отложений (с глубины 0,0-0,2 м)</t>
  </si>
  <si>
    <t>Отбор проб донных отложений для токсикологических исследований донных отложений (с глубины 0,0-0,2 м)</t>
  </si>
  <si>
    <t>Определение неустойчивых химических компонентов в приземной атмосфере</t>
  </si>
  <si>
    <t>СБЦ-99, Табл.61, §1</t>
  </si>
  <si>
    <t xml:space="preserve">Измерение уровня шума в дневное время </t>
  </si>
  <si>
    <t xml:space="preserve">СБЦ-99, Табл.60, §8 (применительно) </t>
  </si>
  <si>
    <t>Измерение уровней инфразвука</t>
  </si>
  <si>
    <t>СБЦ-99, Табл.60, §8 (применительно)</t>
  </si>
  <si>
    <t>Измерение уровней вибрации</t>
  </si>
  <si>
    <t>Измерение уровней ЭМИ 50Гц</t>
  </si>
  <si>
    <t>п.23</t>
  </si>
  <si>
    <r>
      <rPr>
        <sz val="11"/>
        <rFont val="Symbol"/>
        <family val="1"/>
        <charset val="2"/>
      </rPr>
      <t>S</t>
    </r>
    <r>
      <rPr>
        <sz val="11"/>
        <rFont val="Times New Roman"/>
        <family val="1"/>
        <charset val="204"/>
      </rPr>
      <t>пп.(23-25)</t>
    </r>
  </si>
  <si>
    <r>
      <rPr>
        <sz val="11"/>
        <rFont val="Symbol"/>
        <family val="1"/>
        <charset val="2"/>
      </rPr>
      <t>S</t>
    </r>
    <r>
      <rPr>
        <sz val="11"/>
        <rFont val="Times New Roman"/>
        <family val="1"/>
        <charset val="204"/>
      </rPr>
      <t>пп.(23-26)</t>
    </r>
  </si>
  <si>
    <t>СБЦ-99, ОУ п.13, прим. 1 К=2,5</t>
  </si>
  <si>
    <t xml:space="preserve">Районная надбавка для изыскательских экспедиций </t>
  </si>
  <si>
    <t>к итогу сметной стоимости изысканий</t>
  </si>
  <si>
    <t>СБЦ-99, ОУ, п.8д,  табл. 3, §5, К=1,3=&gt; К=1,15</t>
  </si>
  <si>
    <r>
      <rPr>
        <sz val="11"/>
        <rFont val="Symbol"/>
        <family val="1"/>
        <charset val="2"/>
      </rPr>
      <t>S</t>
    </r>
    <r>
      <rPr>
        <sz val="11"/>
        <rFont val="Times New Roman"/>
        <family val="1"/>
        <charset val="204"/>
      </rPr>
      <t>пп.(25-30)</t>
    </r>
  </si>
  <si>
    <t>Исследования проб почв и почвогрунтов</t>
  </si>
  <si>
    <t>Приготовление солянокислой вытяжки</t>
  </si>
  <si>
    <t>СБЦ-99, Табл.70, §84</t>
  </si>
  <si>
    <t>рН солевой вытяжки</t>
  </si>
  <si>
    <t>СБЦ-99, Табл.70, §14</t>
  </si>
  <si>
    <t xml:space="preserve">Пробоподготовка для выполнения физико-химических исследований </t>
  </si>
  <si>
    <t>СБЦ-99, Табл.70, §85</t>
  </si>
  <si>
    <t>Соли тяжелых металлов без прободготовки (1 металл) (Cd,Zn,Ni,Cu)</t>
  </si>
  <si>
    <t>СБЦ-99, Табл.70, §57, n=4 (4 металла)</t>
  </si>
  <si>
    <t>Соли тяжелых металлов без прободготовки методом ртутно-гидридной приставки (1 металл) (Hg)</t>
  </si>
  <si>
    <t>СБЦ-99, Табл.70, §59</t>
  </si>
  <si>
    <t>Соли тяжелых металлов ренгенфлюорисцентным методом (1 мет) (As, Pb)</t>
  </si>
  <si>
    <t>СБЦ-99, Табл.70, §60, n=2 (2 металла)</t>
  </si>
  <si>
    <t>Нефтяные УВ</t>
  </si>
  <si>
    <t>СБЦ-99, Табл.70, §63</t>
  </si>
  <si>
    <t>ПАУ (бенз(а)пирен)</t>
  </si>
  <si>
    <t>СБЦ-99, Табл.70, §66</t>
  </si>
  <si>
    <t>Азот аммонийный</t>
  </si>
  <si>
    <t>СБЦ-99, Табл.70, §16</t>
  </si>
  <si>
    <t>Азот нитратов</t>
  </si>
  <si>
    <t>СБЦ-99, Табл.70, §17</t>
  </si>
  <si>
    <t>Хлориды</t>
  </si>
  <si>
    <t>СБЦ-99, Табл.70, §7</t>
  </si>
  <si>
    <t>Пестициды (ДДЭ, ДДТ, ДДД, ГХГЦ)</t>
  </si>
  <si>
    <t>СБЦ-99, Табл.70, §64</t>
  </si>
  <si>
    <t>Фенолы</t>
  </si>
  <si>
    <t>СБЦ-99, Табл.70, §67</t>
  </si>
  <si>
    <t>Сера</t>
  </si>
  <si>
    <t>СБЦ-99, Табл.70, §2</t>
  </si>
  <si>
    <t>СПАВ (прим-но)</t>
  </si>
  <si>
    <t>ПХБ</t>
  </si>
  <si>
    <t>СБЦ-99, Табл.70, §65</t>
  </si>
  <si>
    <t>Цианиды (прим-но)</t>
  </si>
  <si>
    <t>Радионуклиды в пробах почв</t>
  </si>
  <si>
    <t>СБЦ-99, Табл.70, §69</t>
  </si>
  <si>
    <t xml:space="preserve">Гранулометрический состав </t>
  </si>
  <si>
    <t>СБЦ-99, Табл.64, §8</t>
  </si>
  <si>
    <t>Гумус (по Тюрину)</t>
  </si>
  <si>
    <t>СБЦ-99, Табл.70, §22</t>
  </si>
  <si>
    <t xml:space="preserve">рН водной вытяжки </t>
  </si>
  <si>
    <t xml:space="preserve">Исследования проб донных отложений </t>
  </si>
  <si>
    <t xml:space="preserve">Водородный показатель рН солевой вытяжки </t>
  </si>
  <si>
    <t>Соли тяжелых металлов без прободготовки (1 металл) (Cd, Zn, Ni, Cu)</t>
  </si>
  <si>
    <t>Соли тяжелых металлов ренгенфлюорисцентным методом (1 металл) (As, Pb)</t>
  </si>
  <si>
    <t>Нефтяные углеводороды</t>
  </si>
  <si>
    <t>Гранулометрический состав</t>
  </si>
  <si>
    <t>Исследования проб поверхностной воды</t>
  </si>
  <si>
    <t>Водородный показатель рН</t>
  </si>
  <si>
    <t>СБЦ-99, Табл.72, §24</t>
  </si>
  <si>
    <t xml:space="preserve">Прозрачность </t>
  </si>
  <si>
    <t>СБЦ-99, Табл.72, §83</t>
  </si>
  <si>
    <t>Мутность</t>
  </si>
  <si>
    <t>СБЦ-99, Табл.72, §90</t>
  </si>
  <si>
    <t>Запах при 20 С</t>
  </si>
  <si>
    <t>СБЦ-99, Табл.72, §81</t>
  </si>
  <si>
    <t>Запах при 60 С</t>
  </si>
  <si>
    <t>СБЦ-99, Табл.72, §82</t>
  </si>
  <si>
    <t xml:space="preserve">Взвешенные вещества </t>
  </si>
  <si>
    <t>Кислород растворенный</t>
  </si>
  <si>
    <t>СБЦ-99, Табл.72, §21</t>
  </si>
  <si>
    <t>Сухой остаток</t>
  </si>
  <si>
    <t>СБЦ-99, Табл.72, §56</t>
  </si>
  <si>
    <t>Поверхностно-активные вещества (ПАВ)</t>
  </si>
  <si>
    <t>СБЦ-99, Табл.72, §85</t>
  </si>
  <si>
    <t>ХПК</t>
  </si>
  <si>
    <t>СБЦ-99, Табл.72, §79</t>
  </si>
  <si>
    <t xml:space="preserve">БПК5 </t>
  </si>
  <si>
    <t>СБЦ-99, Табл.72, §78</t>
  </si>
  <si>
    <t>Сульфаты</t>
  </si>
  <si>
    <t>СБЦ-99, Табл.72, §55</t>
  </si>
  <si>
    <t>СБЦ-99, Табл.72, §73</t>
  </si>
  <si>
    <t>Нитриты</t>
  </si>
  <si>
    <t>СБЦ-99, Табл.72, §42</t>
  </si>
  <si>
    <t>Нитраты</t>
  </si>
  <si>
    <t>СБЦ-99, Табл.72, §41</t>
  </si>
  <si>
    <t xml:space="preserve">Аммоний </t>
  </si>
  <si>
    <t>СБЦ-99, Табл.72, §2</t>
  </si>
  <si>
    <t>Фосфаты</t>
  </si>
  <si>
    <t>СБЦ-99, Табл.72, §69</t>
  </si>
  <si>
    <t>Фториды</t>
  </si>
  <si>
    <t>СБЦ-99, Табл.72, §70</t>
  </si>
  <si>
    <t>Гидрокарбонаты</t>
  </si>
  <si>
    <t>СБЦ-99, Табл.72, §7</t>
  </si>
  <si>
    <t>СБЦ-99, Табл.72, §59</t>
  </si>
  <si>
    <t>Железо общее</t>
  </si>
  <si>
    <t>СБЦ-99, Табл.72, §8</t>
  </si>
  <si>
    <t>СБЦ-99, Табл.72, §66</t>
  </si>
  <si>
    <t>Кадмий</t>
  </si>
  <si>
    <t>СБЦ-99, Табл.72, §15</t>
  </si>
  <si>
    <t>Мышьяк</t>
  </si>
  <si>
    <t>СБЦ-99, Табл.72, §35</t>
  </si>
  <si>
    <t>Медь</t>
  </si>
  <si>
    <t>СБЦ-99, Табл.72, §32</t>
  </si>
  <si>
    <t>Никель</t>
  </si>
  <si>
    <t>СБЦ-99, Табл.72, §40</t>
  </si>
  <si>
    <t>Свинец</t>
  </si>
  <si>
    <t>СБЦ-99, Табл.72, §49</t>
  </si>
  <si>
    <t>Цинк</t>
  </si>
  <si>
    <t>СБЦ-99, Табл.72, §75</t>
  </si>
  <si>
    <t>Марганец</t>
  </si>
  <si>
    <t>СБЦ-99, Табл.72, §30</t>
  </si>
  <si>
    <t>Хром</t>
  </si>
  <si>
    <t>СБЦ-99, Табл.72, §74</t>
  </si>
  <si>
    <t>Кальций</t>
  </si>
  <si>
    <t>СБЦ-99, Табл.72, §17</t>
  </si>
  <si>
    <t>Магний</t>
  </si>
  <si>
    <t>СБЦ-99, Табл.72, §28</t>
  </si>
  <si>
    <t>Натрий</t>
  </si>
  <si>
    <t>СБЦ-99, Табл.72, §36</t>
  </si>
  <si>
    <t>Калий</t>
  </si>
  <si>
    <t>Кобальт</t>
  </si>
  <si>
    <t>СБЦ-99, Табл.72, §23</t>
  </si>
  <si>
    <t>Ртуть</t>
  </si>
  <si>
    <t>СБЦ-99, Табл.72, §48</t>
  </si>
  <si>
    <t>Исследования проб подземной воды</t>
  </si>
  <si>
    <t>СБЦ-99, Табл.72, §60</t>
  </si>
  <si>
    <t>СБЦ-99, Табл.9,  §2, кат.II, прим.1 (К=1,1 для  II кат. сл.)</t>
  </si>
  <si>
    <t>Маршрутные наблюдения: геоботанические</t>
  </si>
  <si>
    <t>СБЦ-99, Табл.10, §3, кат.уд. (применительно)</t>
  </si>
  <si>
    <t>СБЦ-99, Табл.11, §2, кат.II, прим.1 (К=0,4 геоботаническая  карта) (применительно)</t>
  </si>
  <si>
    <t>Описание точек наблюдений площадок при составлении карт (схем) животного мир</t>
  </si>
  <si>
    <t>СБЦ-99, Табл.11, §2, кат.II, прим.1   (К=0,4 карта животного мира) (применительно)</t>
  </si>
  <si>
    <t>Камеральная обработка лабораторных исследований</t>
  </si>
  <si>
    <t>% от лабор. раб.</t>
  </si>
  <si>
    <t>СБЦ-99, Табл.86, §6</t>
  </si>
  <si>
    <t>п.73</t>
  </si>
  <si>
    <t>Технический отчет, 2 кат.сл.</t>
  </si>
  <si>
    <t>% от камер. раб.</t>
  </si>
  <si>
    <t>СБЦ-99, Табл.87, §1, II кат.сложн.</t>
  </si>
  <si>
    <t>Σпп.(п.74-п.81)/100</t>
  </si>
  <si>
    <t xml:space="preserve">Итого по 1 разделу </t>
  </si>
  <si>
    <t xml:space="preserve">СБЦ-99, ОУ, п.8 д)                                            табл.3 п.5 К=1,15 </t>
  </si>
  <si>
    <t>п.84</t>
  </si>
  <si>
    <t>ОУ СБЦ-99 п.17</t>
  </si>
  <si>
    <t>п.85</t>
  </si>
  <si>
    <t>/</t>
  </si>
  <si>
    <t>СК=11,37-коэффициент пересчета в цены 1кв. 2001г.</t>
  </si>
  <si>
    <t>Письмо Минстроя России от 4 января 2001 г. N АШ-9/10</t>
  </si>
  <si>
    <t>п.87</t>
  </si>
  <si>
    <t>/Иванова О.В./</t>
  </si>
  <si>
    <t>«__»  _____________  2018 г.</t>
  </si>
  <si>
    <t>Сметный расчет № 1.4</t>
  </si>
  <si>
    <t>на инженерно-гидрометеорологические изыскания</t>
  </si>
  <si>
    <t>Наименование видов проектных работ: Инженерно-гидрометереологические изыскания</t>
  </si>
  <si>
    <t>Сметный расчет составлен по Справочнику базовых цен на инженерно-гидрографические работы. Инженерно-гидрометеорологические изыскания на реках, 2001 г. (цены приведены к базисному уровню на 01.01.1991 г.)</t>
  </si>
  <si>
    <t>1 км реки</t>
  </si>
  <si>
    <t>1 расход</t>
  </si>
  <si>
    <t>Фотоработы</t>
  </si>
  <si>
    <t>1 снимок</t>
  </si>
  <si>
    <t>1 таблица</t>
  </si>
  <si>
    <t>1 схема</t>
  </si>
  <si>
    <t>1 расчет</t>
  </si>
  <si>
    <t>1 годостанция</t>
  </si>
  <si>
    <t>1 записка</t>
  </si>
  <si>
    <t>СК=11,37-коэффициент пересчета в цены 1кв. 2001г.  (Письмо Минстроя России от 4 января 2001 г. N АШ-9/10)</t>
  </si>
  <si>
    <t>Инженерные изыскания</t>
  </si>
  <si>
    <t>Инженерно-геологические изыскания</t>
  </si>
  <si>
    <t>№ 1.1</t>
  </si>
  <si>
    <t>Инженерно-геодезические</t>
  </si>
  <si>
    <t>№ 1.2</t>
  </si>
  <si>
    <t>Инженерно-экологические изыскания</t>
  </si>
  <si>
    <t>№ 1.3</t>
  </si>
  <si>
    <t>Инженерно-гидрометереологические изыскания</t>
  </si>
  <si>
    <t>№ 1.4</t>
  </si>
  <si>
    <t>Проектная документация по оценке воздействия объекта капитального строительства на окружающую среду (ОВОС)</t>
  </si>
  <si>
    <t>Проектная документация (ПД)</t>
  </si>
  <si>
    <t>№ пп</t>
  </si>
  <si>
    <t>Ед.
Изм</t>
  </si>
  <si>
    <t>Кол-
во.</t>
  </si>
  <si>
    <t>Стоимость, тыс. руб.</t>
  </si>
  <si>
    <t>Раздел</t>
  </si>
  <si>
    <t>Плановая и высотная привязка при расстоянии между геологическими выработками или точками, м: св. 50 до 100. Категория сложности II</t>
  </si>
  <si>
    <t>1 выработка (точка)</t>
  </si>
  <si>
    <t>СБЦи5.2_0-25-93-2-2 Таблица 093 п.2</t>
  </si>
  <si>
    <t>A * Количество
0.0096 тыс.руб * 30</t>
  </si>
  <si>
    <t>Маршрутное обследование по уточнению тектонического строения местности категорий: II. Категория сложности геологического строения III</t>
  </si>
  <si>
    <t>СЦиР5.4_0-16-287-2-3 Таблица 287 п.2</t>
  </si>
  <si>
    <t>A * Количество * K1 * K2
0.107 тыс.руб * 10 * 1.21 * 1.1</t>
  </si>
  <si>
    <t/>
  </si>
  <si>
    <t>Коэффициенты</t>
  </si>
  <si>
    <t>Поправочный коэффициент к ценам Сборника цен на изыскательские работы для кап. строительства, кроме таблиц из прил. к Письму</t>
  </si>
  <si>
    <t>K1 = 1.21
Письмо ГС СССР №21-Д от 25.12.1990 г.</t>
  </si>
  <si>
    <t>При переноске оборудования с профиля на профиль, от скважины или горной выработки к скважине или горной выработке на расстояние до 200 м к ценам на полевые работы применяется коэффициент 1,</t>
  </si>
  <si>
    <t>K2 = 1.1
Часть VI, Глава 16, Общие Положения, п.6</t>
  </si>
  <si>
    <t>Наземная сейсморазведка при возбуждении колебаний ударной установкой</t>
  </si>
  <si>
    <t>1 бригадо-смена</t>
  </si>
  <si>
    <t>СЦиР5.4_0-16-256-9 Таблица 256 п.9</t>
  </si>
  <si>
    <t>A * Количество * K1 * K2
0.05 тыс.руб * 3 * 1.1 * 1.5</t>
  </si>
  <si>
    <t>K1 = 1.1
Часть VI, Глава 16, Общие Положения, п.6</t>
  </si>
  <si>
    <t>Поправочный коэффициент к ценам на изыскательские работы для строительства. Полевые работы</t>
  </si>
  <si>
    <t>K2 = 1.5
Письмо Госстроя СССР от 25 декабря 1990 года № 21-Д</t>
  </si>
  <si>
    <t>Сейсморазведка МПВ при возбуждении колебаний ударами кувалды; наблюдения с одной сейсмограммой; Категория II, шаг до 2 м. Число пикетов взрыва 2</t>
  </si>
  <si>
    <t>1 физическое наблюдение</t>
  </si>
  <si>
    <t>СЦиР5.4_0-16-258-82-2 Таблица 258 п.82</t>
  </si>
  <si>
    <t>A * Количество * K1 * K2
0.015 тыс.руб * 216 * 1.1 * 1.21</t>
  </si>
  <si>
    <t>Поправочный коэффициент к ценам на изыскательские работы для строительства</t>
  </si>
  <si>
    <t>K2 = 1.21
Письмо Госстроя СССР от 25 декабря 1990 года № 21-Д</t>
  </si>
  <si>
    <t>1.6</t>
  </si>
  <si>
    <t>Всего по разделу:</t>
  </si>
  <si>
    <t>Сумма от п.1.5</t>
  </si>
  <si>
    <t>Обработка материалов сейсмологических наблюдений за колебаниями грунтов при землетрясениях, взрывах и микроколебаниях, ручная обработка</t>
  </si>
  <si>
    <t>1 запись</t>
  </si>
  <si>
    <t>СЦиР5.4_0-16-293-7 Таблица 293 п.7</t>
  </si>
  <si>
    <t>A * Количество * K1
0.023 тыс.руб * 15 * 1.21</t>
  </si>
  <si>
    <t>K1 = 1.21
Письмо Госстроя СССР от 25 декабря 1990 года № 21-Д</t>
  </si>
  <si>
    <t>Сейсморазведка МПВ на дневной поверхностипри двух типах волн</t>
  </si>
  <si>
    <t>1 физическое наблюдение (годограф)</t>
  </si>
  <si>
    <t>СЦиР5.4_0-16-291-2 Таблица 291 п.2</t>
  </si>
  <si>
    <t>A * Количество * K1
0.013 тыс.руб * 34 * 1.21</t>
  </si>
  <si>
    <t>3.3</t>
  </si>
  <si>
    <t>Составление технического отчета по сейсморазведке, электроразведке, геофизическим исследованиям скважин и сейсмическому микрорайонированию</t>
  </si>
  <si>
    <t>СЦиР5.4_0-16-294-10 Таблица 294. п.10</t>
  </si>
  <si>
    <t xml:space="preserve">1000+10% от стоимости камеральной обработки 
</t>
  </si>
  <si>
    <t>3.4</t>
  </si>
  <si>
    <t>Составление программы при стоимости изысканий, тыс.руб.:св. 5 до 10</t>
  </si>
  <si>
    <t>1 программа, 1 заключение, 1 отчет</t>
  </si>
  <si>
    <t>СЦиР5.4_0-16-294-2 Таблица 294 п.2</t>
  </si>
  <si>
    <t>A * Количество
0.4 тыс.руб * 1</t>
  </si>
  <si>
    <t>3.5</t>
  </si>
  <si>
    <t>Итого по разделу:</t>
  </si>
  <si>
    <t>3.6</t>
  </si>
  <si>
    <t>Районные надбавки от камеральных работ (гл. 1-11 и прил. 3, гл.26-табл. 403, гл. 27-табл. 409-420). Районный коэффициент к зар. плате (гл. 1-11 и прил. 3, гл.26-табл. 403, гл. 27-табл. 409-420)</t>
  </si>
  <si>
    <t>п.7д О.у. Табл.3, Письмо ГС СССР ?22 от 01.03.1990 г.</t>
  </si>
  <si>
    <t>Коэф - т 0.57 от п.3.5</t>
  </si>
  <si>
    <t>3.7</t>
  </si>
  <si>
    <t>Надбавка при выполнении изысканий в южных районах Дальнего Востока</t>
  </si>
  <si>
    <t>ОУ п. 7е</t>
  </si>
  <si>
    <t>Коэф - т 0.15 от п.3.5</t>
  </si>
  <si>
    <t>3.8</t>
  </si>
  <si>
    <t>Сумма от п.3.5-3.7</t>
  </si>
  <si>
    <t>Расходы по внешнему транспорту. Расстояние проезда и перевозки св 25 до 100 км. Продолжительность экспедиции до 1 мес</t>
  </si>
  <si>
    <t>О.у. п.10 табл 5</t>
  </si>
  <si>
    <t>10% от п.1.6</t>
  </si>
  <si>
    <t>Расходы по организации и ликвидации работ с учетом коэффициента для изысканий со сметной стоимостью свыше 5 до 10 тыс. руб (К=1.5)</t>
  </si>
  <si>
    <t>О.у. п.13</t>
  </si>
  <si>
    <t>Коэф - т 1.5 и 6% от п.1.6</t>
  </si>
  <si>
    <t>Районные надбавки от полевых работ (гл. 1-11 и прил. 3, гл.26-табл. 403, гл. 27-табл. 409-420). Районный коэффициент к зар. плате 1.2</t>
  </si>
  <si>
    <t>Коэф - т 0.52 от п.1.6, 4.1 - 4.2</t>
  </si>
  <si>
    <t>4.4</t>
  </si>
  <si>
    <t>Сц на изыскательские работы для капитального строительства (ОУ п. 7е )</t>
  </si>
  <si>
    <t>4.5</t>
  </si>
  <si>
    <t>Сумма от п.4.1-4.4</t>
  </si>
  <si>
    <t>Итого по смете:</t>
  </si>
  <si>
    <t>на инженерно-геофизические изыскания</t>
  </si>
  <si>
    <t>Сметный расчет № 1.5</t>
  </si>
  <si>
    <t>Инженерно-геофизические изыскания</t>
  </si>
  <si>
    <t>№ 1.5</t>
  </si>
  <si>
    <t>1.5</t>
  </si>
  <si>
    <t>1.7</t>
  </si>
  <si>
    <t>Составил:</t>
  </si>
  <si>
    <t>___________________________</t>
  </si>
  <si>
    <t>СОГЛАСОВАНО:</t>
  </si>
  <si>
    <t xml:space="preserve">Ответственный представитель заказчика: </t>
  </si>
  <si>
    <t>2.4</t>
  </si>
  <si>
    <t>2.5</t>
  </si>
  <si>
    <t>2.6</t>
  </si>
  <si>
    <t>2.7</t>
  </si>
  <si>
    <t>Проверка достоверности определения сметной стоимости</t>
  </si>
  <si>
    <t>Проведение экспертизы ПД, РИИ и СД</t>
  </si>
  <si>
    <t xml:space="preserve">Итого по разделу: </t>
  </si>
  <si>
    <r>
      <t>Стадия проектирования:</t>
    </r>
    <r>
      <rPr>
        <b/>
        <sz val="12"/>
        <rFont val="Times New Roman"/>
        <family val="1"/>
        <charset val="204"/>
      </rPr>
      <t xml:space="preserve"> Проектная документация</t>
    </r>
  </si>
  <si>
    <r>
      <t xml:space="preserve">Наименование проектной (изыскательской) организации: </t>
    </r>
    <r>
      <rPr>
        <b/>
        <sz val="12"/>
        <rFont val="Times New Roman"/>
        <family val="1"/>
        <charset val="204"/>
      </rPr>
      <t xml:space="preserve"> ООО СевЗапСпецСвязь"</t>
    </r>
  </si>
  <si>
    <r>
      <t xml:space="preserve">СБЦП 81-2001-03, п. 1.6: </t>
    </r>
    <r>
      <rPr>
        <b/>
        <sz val="12"/>
        <color theme="1"/>
        <rFont val="Times New Roman"/>
        <family val="1"/>
        <charset val="204"/>
      </rPr>
      <t>4%</t>
    </r>
  </si>
  <si>
    <t xml:space="preserve">ВСЕГО по разделам в текущих ценах: </t>
  </si>
  <si>
    <t>1.8</t>
  </si>
  <si>
    <t>ВСЕГО по инженерным изысканиям в ценах 1кв. 2001г.:</t>
  </si>
  <si>
    <t xml:space="preserve">Всего по инженерным изысканиям с учетом индекса изменения стоимости изыскательских работ в текущих ценах </t>
  </si>
  <si>
    <t>№п/п</t>
  </si>
  <si>
    <t>Наименование. характеристика работ и расчет стоимости</t>
  </si>
  <si>
    <t>Измеритель</t>
  </si>
  <si>
    <t>Цена</t>
  </si>
  <si>
    <t>Стоимость</t>
  </si>
  <si>
    <t>Разбивка и нивелирование морфометрического створа</t>
  </si>
  <si>
    <t>СБЦ 2000 г  Таб.24 §1</t>
  </si>
  <si>
    <t>1 км морфоствора</t>
  </si>
  <si>
    <t>Установление высот высоких и других характерных уровней воды прошлых лет при удалении найденных точек от оси морфоствора 1 км кат. II</t>
  </si>
  <si>
    <t>СБЦ 2000 г  Таб.25 §1</t>
  </si>
  <si>
    <t>1 комплекс</t>
  </si>
  <si>
    <t>Определение мгновенного уклона поверхности воды в реке при количестве урезных кольев 3 на 1 км реки кат. II</t>
  </si>
  <si>
    <t>СБЦ 2000 г  Таб.26 §1</t>
  </si>
  <si>
    <t>Рекогносцировочное обследование реки при  категории сложности II</t>
  </si>
  <si>
    <t>СБЦ 2000 г  Таб.43 §1</t>
  </si>
  <si>
    <t>Рекогносцировочное обследование бассейна реки при  категории сложности II</t>
  </si>
  <si>
    <t>СБЦ 2000 г  Таб.43 §2</t>
  </si>
  <si>
    <t>Измерение расхода воды детальным методом при ширине реки до 20 м</t>
  </si>
  <si>
    <t>СБЦ 2000 г  Таб.48 §1</t>
  </si>
  <si>
    <t>Отбор проб воды на мутность</t>
  </si>
  <si>
    <t>СБЦ 2000 г  Таб.48 §5</t>
  </si>
  <si>
    <t>1 фильтр</t>
  </si>
  <si>
    <t>Определение гранулометрического состава донных отложений методом обмера</t>
  </si>
  <si>
    <t>СБЦ 2000 г  Таб.48 §9</t>
  </si>
  <si>
    <t>1 определение</t>
  </si>
  <si>
    <t>Отбор проб воды для хим. анализа</t>
  </si>
  <si>
    <t>СБЦ 2000 г  Таб.48 §6</t>
  </si>
  <si>
    <t>Отбор проб донных отложений</t>
  </si>
  <si>
    <t>СБЦ 2000 г  Таб.48 §7</t>
  </si>
  <si>
    <t>СБЦ 2000 г  Таб.48 §15</t>
  </si>
  <si>
    <t>Итого</t>
  </si>
  <si>
    <t>Расход по внутреннему транспорту при расстоянии  до 5 км при сметной стоимости полевых работ до 5 тыс.</t>
  </si>
  <si>
    <t>СБЦ 2000 г  Таб.4 §1</t>
  </si>
  <si>
    <t>%</t>
  </si>
  <si>
    <t>Итого с внутренним транспортом</t>
  </si>
  <si>
    <t>Расходы на организацию и ликвидацию работ с коэффициентом 2 (прим. 1)</t>
  </si>
  <si>
    <t>СБЦ 2000 г  П.13, прим. 1</t>
  </si>
  <si>
    <t>Расход по внешнему транспорту при расстоянии проезда и перевозки в одном направлении св. 100 до 300 км и продолжительностью работ до 1 мес.</t>
  </si>
  <si>
    <t>СБЦ 2000 г  Таб.5 §2</t>
  </si>
  <si>
    <t>Итого с начислениями</t>
  </si>
  <si>
    <t>Надбавка а выполнение работ на территориях со специальным режимом</t>
  </si>
  <si>
    <t>СБЦ 2000 г  П. 8в</t>
  </si>
  <si>
    <t>Полевые работы с районным коэффициентом 1.3</t>
  </si>
  <si>
    <t>СБЦ 2000 г  П. 8д</t>
  </si>
  <si>
    <t>Рекогносцировочное обследование реки при категории сложности II</t>
  </si>
  <si>
    <t>Составление таблицы гидрологической изученности бассейна реки при числе пунктов наблюдений до 50</t>
  </si>
  <si>
    <t>СБЦ 2000 г  Таб.51 §1</t>
  </si>
  <si>
    <t>Составление схемы гидрометеорологической изученности бассейна реки при числе пунктов наблюдений до 50</t>
  </si>
  <si>
    <t>СБЦ 2000 г  Таб.51 §3</t>
  </si>
  <si>
    <t>Построение кривой расходов гидравлическим методом</t>
  </si>
  <si>
    <t>СБЦ 2000 г  Таб.55 §1</t>
  </si>
  <si>
    <t>1 график</t>
  </si>
  <si>
    <t>Определение площади водосбора</t>
  </si>
  <si>
    <t>СБЦ 2000 г  Таб.55 §9</t>
  </si>
  <si>
    <t>1 дм2</t>
  </si>
  <si>
    <t>Определение максимального расхода воды по формуле предельной интенсивности по готовым гидрографическим характеристикам</t>
  </si>
  <si>
    <t>СБЦ 2000 г  Таб.56 §1</t>
  </si>
  <si>
    <t>Определение минимального расхода воды при отсутствии данных наблюдений по одному методу</t>
  </si>
  <si>
    <t>СБЦ 2000 г  Таб.56 §3</t>
  </si>
  <si>
    <t>Вычисление параметров распределения отдельных характеристик стока и величин различной обеспеченности с построением кривой обеспеченности при числе лет до 50</t>
  </si>
  <si>
    <t>СБЦ 2000 г  Таб.56 §12</t>
  </si>
  <si>
    <t>Выбор аналога при отсутствии данных наблюдений в исследуемом створе</t>
  </si>
  <si>
    <t>СБЦ 2000 г  Таб.56 §18</t>
  </si>
  <si>
    <t>Вычисление процентного распределения стока по месяцам и сезонам</t>
  </si>
  <si>
    <t>СБЦ 2000 г  Таб.56 §24</t>
  </si>
  <si>
    <t>1 годоствор</t>
  </si>
  <si>
    <t>Построение расчетного гидрографа высокого стока по модели при отсутствии наблюдений косвенными приемами, не менее трех рекомендаций</t>
  </si>
  <si>
    <t>СБЦ 2000 г  Таб.56 §35</t>
  </si>
  <si>
    <t>1 гидрограф</t>
  </si>
  <si>
    <t>Построение расчетного гидрографа дополнительной обеспеченности</t>
  </si>
  <si>
    <t>СБЦ 2000 г  Таб.56 §36 прим.6</t>
  </si>
  <si>
    <t>Подбор станций или постов с оценкой качества материалов наблюдений и степени их репрезентативности</t>
  </si>
  <si>
    <t>СБЦ 2000 г  Таб.67 §1</t>
  </si>
  <si>
    <t>Расчет глубины промерзания грунта</t>
  </si>
  <si>
    <t>СБЦ 2000 г  Таб.68 §15</t>
  </si>
  <si>
    <t>Суточные максимумы осадков различной обеспеченности при числе годостанций 60</t>
  </si>
  <si>
    <t>СБЦ 2000 г  Таб.68 §9</t>
  </si>
  <si>
    <t>Составление климатической характеристики района изысканий</t>
  </si>
  <si>
    <t>СБЦ 2000 г  Таб.69 §1</t>
  </si>
  <si>
    <t>Составление программы работ при сметной стоимости камеральных работ св. 2 до 5 тыс. руб.</t>
  </si>
  <si>
    <t>СБЦ 2000 г  Таб.53 §2</t>
  </si>
  <si>
    <t>Составление технического отчета при сметной стоимости камеральных работ св. 2 до 5 тыс. руб.</t>
  </si>
  <si>
    <t>СБЦ 2000 г  Таб.62 §4</t>
  </si>
  <si>
    <t xml:space="preserve">Итого камеральных работ </t>
  </si>
  <si>
    <t>С районным коэффициентом 1.25</t>
  </si>
  <si>
    <t>Итого полевые и камеральные</t>
  </si>
  <si>
    <t>Государственная экспертиза проектной документации и результатов инженерных изысканий</t>
  </si>
  <si>
    <t>СБЦ-04 табл.9 п.5; прим.4 К=1,2                                                       ОУ п.8 в) К=1,25,                      г) к=1,3</t>
  </si>
  <si>
    <t>2432х1,2х 1,25х1,3х13,74</t>
  </si>
  <si>
    <t xml:space="preserve">Создание инженерно-топографических планов в масштабе 1:500. высотой сечения рельефа 0.5м, 2 кат.сл., </t>
  </si>
  <si>
    <t xml:space="preserve">Создание инженерно-топографических планов в масштабе 1:500,высотой сечения рельефа 0.5м,  2кат.сл., </t>
  </si>
  <si>
    <r>
      <t xml:space="preserve">Наименование видов проектных работ: </t>
    </r>
    <r>
      <rPr>
        <b/>
        <sz val="10"/>
        <rFont val="Times New Roman"/>
        <family val="1"/>
        <charset val="204"/>
      </rPr>
      <t>Проект планировки территории</t>
    </r>
  </si>
  <si>
    <r>
      <t>Стадия проектирования:</t>
    </r>
    <r>
      <rPr>
        <b/>
        <sz val="10"/>
        <rFont val="Times New Roman"/>
        <family val="1"/>
        <charset val="204"/>
      </rPr>
      <t xml:space="preserve">  Градостроительная документация</t>
    </r>
  </si>
  <si>
    <t>Стоимость руб.</t>
  </si>
  <si>
    <t xml:space="preserve">      Проект планировки территорий при
      площади проектируемой территории, га:
      свыше 10 до 15</t>
  </si>
  <si>
    <t>К1=1,2 (Табл. 8 п.4)</t>
  </si>
  <si>
    <t>К2=1,6 (Табл. 8 п.6)</t>
  </si>
  <si>
    <t>К3=1,8 (Табл. 8 п.8)</t>
  </si>
  <si>
    <t>СМЕТА № 2.1</t>
  </si>
  <si>
    <t>СМЕТА № 2.2</t>
  </si>
  <si>
    <t>12,98+0,059*256=</t>
  </si>
  <si>
    <t>4,9+2,89*10=</t>
  </si>
  <si>
    <t>8+0,062*10000=</t>
  </si>
  <si>
    <t>0,364+0,0035*30=</t>
  </si>
  <si>
    <t>0,98+0,034*30=</t>
  </si>
  <si>
    <t>0,381+0,0150*30=</t>
  </si>
  <si>
    <t>2,4*15=</t>
  </si>
  <si>
    <t>74,2+0,24*300=</t>
  </si>
  <si>
    <t>2,4*55=</t>
  </si>
  <si>
    <t>74,2+0,24*100=</t>
  </si>
  <si>
    <t>Система активной защиты от ПЭМИН. Установка генераторов пространственного зашумления, зашумления кабелей или пакета кабелей: 1 генератор</t>
  </si>
  <si>
    <t>49,2+0,49*100=</t>
  </si>
  <si>
    <t>7,57+0,058*100=</t>
  </si>
  <si>
    <t>2,4*6=</t>
  </si>
  <si>
    <t>Всего  в ценах 2000г.</t>
  </si>
  <si>
    <t>Всего  по инженерным изысканиям в ценах 2000г.</t>
  </si>
  <si>
    <t>Всего по разделу 2 с учетом индекса изменения стоимости проектных работ</t>
  </si>
  <si>
    <t>№ 2.2</t>
  </si>
  <si>
    <t>№№2.3-2.5</t>
  </si>
  <si>
    <t>СМЕТА №2.3</t>
  </si>
  <si>
    <t>СМЕТА №2.4</t>
  </si>
  <si>
    <t>СМЕТА №2.5</t>
  </si>
  <si>
    <t>СМЕТА №2.6</t>
  </si>
  <si>
    <t>504130+122750*12=</t>
  </si>
  <si>
    <t>СБЦП 81-02-01-2001
Территориальное планирование и планировка территорий табл.3 п.3</t>
  </si>
  <si>
    <t xml:space="preserve">ВСЕГО по разделу 2 в ценах 1 кв. 2001г.: </t>
  </si>
  <si>
    <t>Всего в ценах 1кв. 2001 г.</t>
  </si>
  <si>
    <t>Наименование объекта: Автомобильный пункт пропуска через государственную границу Российской Федерации "Итум-Кали"</t>
  </si>
  <si>
    <t>Автомобильный пункт пропуска (служебно-административный корпус, павильон пограничной службы на выезде и выезде)</t>
  </si>
  <si>
    <t>К(пд)=0,3</t>
  </si>
  <si>
    <t>4 шт.</t>
  </si>
  <si>
    <t>СБЦ 2006 Предприятия автотранспорта табл.1 п.4</t>
  </si>
  <si>
    <t>1726,92+4,43*200=</t>
  </si>
  <si>
    <r>
      <t>Наименование организации-заказчика:</t>
    </r>
    <r>
      <rPr>
        <b/>
        <sz val="12"/>
        <rFont val="Times New Roman"/>
        <family val="1"/>
        <charset val="204"/>
      </rPr>
      <t xml:space="preserve">  </t>
    </r>
  </si>
  <si>
    <r>
      <t>Наименование организации-заказчика:</t>
    </r>
    <r>
      <rPr>
        <b/>
        <sz val="10"/>
        <rFont val="Times New Roman"/>
        <family val="1"/>
        <charset val="204"/>
      </rPr>
      <t xml:space="preserve"> </t>
    </r>
  </si>
  <si>
    <t>Наименование организации-заказчика:</t>
  </si>
  <si>
    <t>Приложение №____</t>
  </si>
  <si>
    <t>12,9*250=</t>
  </si>
  <si>
    <t>36,610+4,570*250</t>
  </si>
  <si>
    <t>36,610+4,570*200=</t>
  </si>
  <si>
    <t>36,610+4,570*90</t>
  </si>
  <si>
    <t>(применительно к радиационным мониторам Янтарь с 2 комплектами видеонаблюдения: 8 автомобильных)</t>
  </si>
  <si>
    <t>Автоматизированный узел коммутации сообщений, производительностью до 1 сообщения в секунду в готовых помещениях</t>
  </si>
  <si>
    <t>СБЦПРС-10 Т.N2 п.3</t>
  </si>
  <si>
    <t>86,46*5=</t>
  </si>
  <si>
    <t>К(п)=</t>
  </si>
  <si>
    <t>36,610+4,570*24=</t>
  </si>
  <si>
    <t>86,46*12=</t>
  </si>
  <si>
    <t>СБЦПРС-2010 Т.20 п. 10</t>
  </si>
  <si>
    <t>85,45*1=</t>
  </si>
  <si>
    <t>хранения видеоинформации</t>
  </si>
  <si>
    <t>(ССД-01)</t>
  </si>
  <si>
    <t>86,46*6=</t>
  </si>
  <si>
    <t xml:space="preserve">Защищённая информационная система в составе: спецаппаратура высокоскоростная (от 10 Мбит/с) мощностью от 1 до 6 каналов </t>
  </si>
  <si>
    <t>(АПКШ Континент 2, СЗИ АРМ)</t>
  </si>
  <si>
    <t>77,93+68,39*(0,4*6+0,6*51) =</t>
  </si>
  <si>
    <t>(по кол-ву служебных АРМ)</t>
  </si>
  <si>
    <t>(по кол-ву серверов)</t>
  </si>
  <si>
    <t>(АРМ, серверы)</t>
  </si>
  <si>
    <t>СБЦПРС-10 Т.N24 п.11</t>
  </si>
  <si>
    <t>8,94*5=</t>
  </si>
  <si>
    <t>(применительно к стоечным ИБП 3kVA)</t>
  </si>
  <si>
    <t xml:space="preserve">Система активной защиты от ПЭМИН. Установка генераторов пространственного зашумления, зашумления кабелей или пакета кабелей  </t>
  </si>
  <si>
    <t>12,9*31=</t>
  </si>
  <si>
    <t>(МАИС на АРМ и Атликс)</t>
  </si>
  <si>
    <t>(Атликс 1, Межсетевой экран 1, ViPNet Coordinator 2, СЗИ АРМ)</t>
  </si>
  <si>
    <t>77,93+68,39*59=</t>
  </si>
  <si>
    <t>СБЦПРС-10 Т.N24 п.5</t>
  </si>
  <si>
    <t>49,2+0,49*60 =</t>
  </si>
  <si>
    <t>9.3</t>
  </si>
  <si>
    <t>9.4</t>
  </si>
  <si>
    <t>9.5</t>
  </si>
  <si>
    <t>9.6</t>
  </si>
  <si>
    <t>9.7</t>
  </si>
  <si>
    <t>9.8</t>
  </si>
  <si>
    <t xml:space="preserve">Проект планировки территорий при площади проектируемой территории </t>
  </si>
  <si>
    <t>Архитектурные решения, инженерные сети, общестроительные работы с учетом корректирующего коэффициента для проектной документации, содержащей материалы в форме информационной модели (Приказ 854/пр от 24.12.20г. Табл. 1.1 п.10 Ккорр=1.17)</t>
  </si>
  <si>
    <t>Техническое оснащение системами связи, безопасности и технологическим оборудованием государственных контрольных органов с учетом корректирующего коэффициента для проектной документации, содержащей материалы в форме информационной модели (Приказ 854/пр от 24.12.20г. Табл. 1.5 п.3, Ккор=1,23)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</si>
</sst>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р_._-;\-* #,##0.00_р_._-;_-* &quot;-&quot;??_р_._-;_-@_-"/>
    <numFmt numFmtId="165" formatCode="_-* #,##0_р_._-;\-* #,##0_р_._-;_-* &quot;-&quot;??_р_._-;_-@_-"/>
    <numFmt numFmtId="166" formatCode="#,##0.00_ ;\-#,##0.00\ "/>
    <numFmt numFmtId="167" formatCode="0.0"/>
    <numFmt numFmtId="168" formatCode="#,##0.0"/>
    <numFmt numFmtId="169" formatCode="#,##0_р_."/>
    <numFmt numFmtId="170" formatCode="#,##0.00_р_."/>
    <numFmt numFmtId="171" formatCode="#,##0.000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rgb="FF000000"/>
      <name val="Arial Cyr"/>
    </font>
    <font>
      <sz val="10"/>
      <name val="Helv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</font>
    <font>
      <sz val="8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8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i/>
      <sz val="11"/>
      <name val="Times New Roman"/>
      <family val="1"/>
      <charset val="204"/>
    </font>
    <font>
      <i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1"/>
      <color rgb="FFFF0000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Symbol"/>
      <family val="1"/>
      <charset val="2"/>
    </font>
    <font>
      <i/>
      <sz val="9"/>
      <color theme="1"/>
      <name val="Times New Roman"/>
      <family val="1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9">
    <xf numFmtId="0" fontId="0" fillId="0" borderId="0"/>
    <xf numFmtId="0" fontId="5" fillId="0" borderId="0"/>
    <xf numFmtId="164" fontId="5" fillId="0" borderId="0" applyFont="0" applyFill="0" applyBorder="0" applyAlignment="0" applyProtection="0"/>
    <xf numFmtId="0" fontId="9" fillId="0" borderId="0"/>
    <xf numFmtId="0" fontId="4" fillId="0" borderId="0"/>
    <xf numFmtId="0" fontId="4" fillId="0" borderId="0"/>
    <xf numFmtId="0" fontId="5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</cellStyleXfs>
  <cellXfs count="1002">
    <xf numFmtId="0" fontId="0" fillId="0" borderId="0" xfId="0"/>
    <xf numFmtId="0" fontId="10" fillId="0" borderId="0" xfId="0" applyFont="1"/>
    <xf numFmtId="0" fontId="12" fillId="0" borderId="0" xfId="1" applyFont="1"/>
    <xf numFmtId="0" fontId="10" fillId="0" borderId="0" xfId="0" applyFont="1" applyBorder="1"/>
    <xf numFmtId="0" fontId="12" fillId="0" borderId="0" xfId="0" applyFont="1"/>
    <xf numFmtId="0" fontId="10" fillId="0" borderId="10" xfId="0" applyFont="1" applyBorder="1"/>
    <xf numFmtId="0" fontId="10" fillId="0" borderId="11" xfId="0" applyFont="1" applyBorder="1"/>
    <xf numFmtId="2" fontId="10" fillId="0" borderId="12" xfId="0" applyNumberFormat="1" applyFont="1" applyBorder="1"/>
    <xf numFmtId="0" fontId="10" fillId="0" borderId="17" xfId="0" applyFont="1" applyBorder="1"/>
    <xf numFmtId="49" fontId="12" fillId="0" borderId="0" xfId="1" applyNumberFormat="1" applyFont="1" applyAlignment="1">
      <alignment vertical="top"/>
    </xf>
    <xf numFmtId="0" fontId="12" fillId="0" borderId="0" xfId="1" applyFont="1" applyAlignment="1">
      <alignment vertical="top" wrapText="1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vertical="top"/>
    </xf>
    <xf numFmtId="0" fontId="12" fillId="0" borderId="0" xfId="1" applyFont="1" applyAlignment="1">
      <alignment vertical="top"/>
    </xf>
    <xf numFmtId="4" fontId="12" fillId="0" borderId="0" xfId="1" applyNumberFormat="1" applyFont="1" applyAlignment="1">
      <alignment vertical="top"/>
    </xf>
    <xf numFmtId="0" fontId="11" fillId="0" borderId="0" xfId="1" applyFont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1" applyFont="1" applyAlignment="1">
      <alignment vertical="top" wrapText="1"/>
    </xf>
    <xf numFmtId="49" fontId="12" fillId="0" borderId="22" xfId="1" applyNumberFormat="1" applyFont="1" applyFill="1" applyBorder="1" applyAlignment="1">
      <alignment horizontal="center" vertical="top"/>
    </xf>
    <xf numFmtId="0" fontId="12" fillId="0" borderId="1" xfId="1" applyFont="1" applyFill="1" applyBorder="1" applyAlignment="1">
      <alignment vertical="top" wrapText="1"/>
    </xf>
    <xf numFmtId="4" fontId="12" fillId="0" borderId="23" xfId="2" applyNumberFormat="1" applyFont="1" applyFill="1" applyBorder="1" applyAlignment="1">
      <alignment vertical="top"/>
    </xf>
    <xf numFmtId="0" fontId="12" fillId="0" borderId="1" xfId="1" applyFont="1" applyFill="1" applyBorder="1" applyAlignment="1">
      <alignment horizontal="left" vertical="top" wrapText="1"/>
    </xf>
    <xf numFmtId="0" fontId="12" fillId="0" borderId="1" xfId="1" applyFont="1" applyFill="1" applyBorder="1" applyAlignment="1">
      <alignment vertical="top"/>
    </xf>
    <xf numFmtId="9" fontId="12" fillId="0" borderId="1" xfId="1" applyNumberFormat="1" applyFont="1" applyFill="1" applyBorder="1" applyAlignment="1">
      <alignment horizontal="left" vertical="top"/>
    </xf>
    <xf numFmtId="0" fontId="12" fillId="0" borderId="1" xfId="1" applyFont="1" applyFill="1" applyBorder="1" applyAlignment="1">
      <alignment horizontal="right" vertical="top"/>
    </xf>
    <xf numFmtId="2" fontId="12" fillId="0" borderId="1" xfId="1" applyNumberFormat="1" applyFont="1" applyFill="1" applyBorder="1" applyAlignment="1">
      <alignment horizontal="left" vertical="top"/>
    </xf>
    <xf numFmtId="2" fontId="12" fillId="0" borderId="1" xfId="1" applyNumberFormat="1" applyFont="1" applyFill="1" applyBorder="1" applyAlignment="1">
      <alignment horizontal="left" vertical="top" wrapText="1"/>
    </xf>
    <xf numFmtId="0" fontId="12" fillId="0" borderId="1" xfId="1" applyFont="1" applyFill="1" applyBorder="1" applyAlignment="1">
      <alignment horizontal="right" vertical="top" wrapText="1"/>
    </xf>
    <xf numFmtId="2" fontId="12" fillId="0" borderId="1" xfId="2" applyNumberFormat="1" applyFont="1" applyFill="1" applyBorder="1" applyAlignment="1">
      <alignment horizontal="right" vertical="top"/>
    </xf>
    <xf numFmtId="165" fontId="12" fillId="0" borderId="23" xfId="2" applyNumberFormat="1" applyFont="1" applyFill="1" applyBorder="1" applyAlignment="1">
      <alignment vertical="top"/>
    </xf>
    <xf numFmtId="49" fontId="12" fillId="0" borderId="22" xfId="1" applyNumberFormat="1" applyFont="1" applyFill="1" applyBorder="1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left" vertical="top" wrapText="1"/>
    </xf>
    <xf numFmtId="2" fontId="12" fillId="0" borderId="3" xfId="0" applyNumberFormat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vertical="top" wrapText="1"/>
    </xf>
    <xf numFmtId="0" fontId="12" fillId="0" borderId="1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left" vertical="top"/>
    </xf>
    <xf numFmtId="49" fontId="12" fillId="0" borderId="29" xfId="1" applyNumberFormat="1" applyFont="1" applyFill="1" applyBorder="1" applyAlignment="1">
      <alignment horizontal="center" vertical="top"/>
    </xf>
    <xf numFmtId="0" fontId="12" fillId="0" borderId="10" xfId="1" applyFont="1" applyFill="1" applyBorder="1" applyAlignment="1">
      <alignment horizontal="left" vertical="top" wrapText="1"/>
    </xf>
    <xf numFmtId="0" fontId="12" fillId="0" borderId="10" xfId="1" applyFont="1" applyFill="1" applyBorder="1" applyAlignment="1">
      <alignment horizontal="right" vertical="top"/>
    </xf>
    <xf numFmtId="9" fontId="12" fillId="0" borderId="10" xfId="1" applyNumberFormat="1" applyFont="1" applyFill="1" applyBorder="1" applyAlignment="1">
      <alignment horizontal="left" vertical="top"/>
    </xf>
    <xf numFmtId="2" fontId="12" fillId="0" borderId="10" xfId="2" applyNumberFormat="1" applyFont="1" applyFill="1" applyBorder="1" applyAlignment="1">
      <alignment horizontal="right" vertical="top"/>
    </xf>
    <xf numFmtId="165" fontId="12" fillId="0" borderId="30" xfId="2" applyNumberFormat="1" applyFont="1" applyFill="1" applyBorder="1" applyAlignment="1">
      <alignment vertical="top"/>
    </xf>
    <xf numFmtId="2" fontId="12" fillId="0" borderId="20" xfId="2" applyNumberFormat="1" applyFont="1" applyFill="1" applyBorder="1" applyAlignment="1">
      <alignment horizontal="right" vertical="top"/>
    </xf>
    <xf numFmtId="165" fontId="12" fillId="0" borderId="21" xfId="2" applyNumberFormat="1" applyFont="1" applyFill="1" applyBorder="1" applyAlignment="1">
      <alignment vertical="top"/>
    </xf>
    <xf numFmtId="0" fontId="12" fillId="0" borderId="12" xfId="1" applyFont="1" applyFill="1" applyBorder="1" applyAlignment="1">
      <alignment vertical="top"/>
    </xf>
    <xf numFmtId="9" fontId="12" fillId="0" borderId="12" xfId="1" applyNumberFormat="1" applyFont="1" applyFill="1" applyBorder="1" applyAlignment="1">
      <alignment horizontal="left" vertical="top"/>
    </xf>
    <xf numFmtId="0" fontId="12" fillId="0" borderId="12" xfId="0" applyFont="1" applyFill="1" applyBorder="1" applyAlignment="1">
      <alignment vertical="top" wrapText="1"/>
    </xf>
    <xf numFmtId="4" fontId="12" fillId="0" borderId="32" xfId="2" applyNumberFormat="1" applyFont="1" applyFill="1" applyBorder="1" applyAlignment="1">
      <alignment vertical="top"/>
    </xf>
    <xf numFmtId="0" fontId="12" fillId="0" borderId="7" xfId="0" applyFont="1" applyFill="1" applyBorder="1" applyAlignment="1">
      <alignment horizontal="left" vertical="top" wrapText="1"/>
    </xf>
    <xf numFmtId="2" fontId="12" fillId="0" borderId="1" xfId="0" applyNumberFormat="1" applyFont="1" applyFill="1" applyBorder="1" applyAlignment="1">
      <alignment horizontal="left" vertical="top" wrapText="1"/>
    </xf>
    <xf numFmtId="4" fontId="11" fillId="0" borderId="23" xfId="2" applyNumberFormat="1" applyFont="1" applyFill="1" applyBorder="1" applyAlignment="1">
      <alignment vertical="top"/>
    </xf>
    <xf numFmtId="49" fontId="12" fillId="0" borderId="24" xfId="1" applyNumberFormat="1" applyFont="1" applyFill="1" applyBorder="1" applyAlignment="1">
      <alignment vertical="top"/>
    </xf>
    <xf numFmtId="0" fontId="12" fillId="0" borderId="25" xfId="1" applyFont="1" applyFill="1" applyBorder="1" applyAlignment="1">
      <alignment vertical="top" wrapText="1"/>
    </xf>
    <xf numFmtId="0" fontId="12" fillId="0" borderId="25" xfId="1" applyFont="1" applyFill="1" applyBorder="1" applyAlignment="1">
      <alignment horizontal="right" vertical="top"/>
    </xf>
    <xf numFmtId="9" fontId="12" fillId="0" borderId="25" xfId="1" applyNumberFormat="1" applyFont="1" applyFill="1" applyBorder="1" applyAlignment="1">
      <alignment horizontal="left" vertical="top"/>
    </xf>
    <xf numFmtId="2" fontId="12" fillId="0" borderId="25" xfId="2" applyNumberFormat="1" applyFont="1" applyFill="1" applyBorder="1" applyAlignment="1">
      <alignment horizontal="right" vertical="top"/>
    </xf>
    <xf numFmtId="0" fontId="12" fillId="0" borderId="31" xfId="0" applyFont="1" applyFill="1" applyBorder="1" applyAlignment="1">
      <alignment vertical="top" wrapText="1"/>
    </xf>
    <xf numFmtId="4" fontId="12" fillId="0" borderId="21" xfId="2" applyNumberFormat="1" applyFont="1" applyFill="1" applyBorder="1" applyAlignment="1">
      <alignment vertical="top"/>
    </xf>
    <xf numFmtId="49" fontId="12" fillId="0" borderId="22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 wrapText="1"/>
    </xf>
    <xf numFmtId="4" fontId="12" fillId="0" borderId="23" xfId="2" applyNumberFormat="1" applyFont="1" applyBorder="1" applyAlignment="1">
      <alignment vertical="top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right" vertical="top" wrapText="1"/>
    </xf>
    <xf numFmtId="49" fontId="12" fillId="0" borderId="24" xfId="0" applyNumberFormat="1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vertical="top" wrapText="1"/>
    </xf>
    <xf numFmtId="166" fontId="11" fillId="0" borderId="26" xfId="2" applyNumberFormat="1" applyFont="1" applyFill="1" applyBorder="1" applyAlignment="1">
      <alignment vertical="top"/>
    </xf>
    <xf numFmtId="0" fontId="12" fillId="2" borderId="1" xfId="1" applyFont="1" applyFill="1" applyBorder="1" applyAlignment="1">
      <alignment horizontal="right" vertical="top"/>
    </xf>
    <xf numFmtId="2" fontId="12" fillId="2" borderId="1" xfId="1" applyNumberFormat="1" applyFont="1" applyFill="1" applyBorder="1" applyAlignment="1">
      <alignment horizontal="left" vertical="top"/>
    </xf>
    <xf numFmtId="49" fontId="12" fillId="0" borderId="22" xfId="1" applyNumberFormat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NumberFormat="1" applyFont="1" applyFill="1" applyBorder="1" applyAlignment="1">
      <alignment horizontal="left" vertical="center"/>
    </xf>
    <xf numFmtId="2" fontId="12" fillId="0" borderId="1" xfId="1" applyNumberFormat="1" applyFont="1" applyFill="1" applyBorder="1" applyAlignment="1">
      <alignment horizontal="left" vertical="center"/>
    </xf>
    <xf numFmtId="0" fontId="12" fillId="0" borderId="23" xfId="1" applyFont="1" applyFill="1" applyBorder="1" applyAlignment="1">
      <alignment horizontal="center" vertical="top" wrapText="1"/>
    </xf>
    <xf numFmtId="2" fontId="12" fillId="0" borderId="23" xfId="1" applyNumberFormat="1" applyFont="1" applyFill="1" applyBorder="1" applyAlignment="1">
      <alignment horizontal="center" vertical="top" wrapText="1"/>
    </xf>
    <xf numFmtId="0" fontId="12" fillId="0" borderId="1" xfId="1" applyFont="1" applyFill="1" applyBorder="1" applyAlignment="1">
      <alignment vertical="center"/>
    </xf>
    <xf numFmtId="2" fontId="11" fillId="0" borderId="1" xfId="1" applyNumberFormat="1" applyFont="1" applyFill="1" applyBorder="1" applyAlignment="1">
      <alignment horizontal="left" vertical="top"/>
    </xf>
    <xf numFmtId="0" fontId="12" fillId="0" borderId="1" xfId="1" applyFont="1" applyFill="1" applyBorder="1" applyAlignment="1">
      <alignment horizontal="left" vertical="center"/>
    </xf>
    <xf numFmtId="4" fontId="12" fillId="0" borderId="1" xfId="1" applyNumberFormat="1" applyFont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top"/>
    </xf>
    <xf numFmtId="49" fontId="12" fillId="0" borderId="22" xfId="0" applyNumberFormat="1" applyFont="1" applyFill="1" applyBorder="1" applyAlignment="1">
      <alignment horizontal="left" vertical="center"/>
    </xf>
    <xf numFmtId="4" fontId="12" fillId="0" borderId="1" xfId="0" applyNumberFormat="1" applyFont="1" applyFill="1" applyBorder="1" applyAlignment="1">
      <alignment horizontal="left" vertical="center"/>
    </xf>
    <xf numFmtId="2" fontId="12" fillId="0" borderId="1" xfId="0" applyNumberFormat="1" applyFont="1" applyFill="1" applyBorder="1" applyAlignment="1">
      <alignment horizontal="left" vertical="center"/>
    </xf>
    <xf numFmtId="4" fontId="12" fillId="0" borderId="23" xfId="0" applyNumberFormat="1" applyFont="1" applyFill="1" applyBorder="1" applyAlignment="1">
      <alignment horizontal="right" vertical="center"/>
    </xf>
    <xf numFmtId="4" fontId="12" fillId="0" borderId="1" xfId="0" applyNumberFormat="1" applyFont="1" applyFill="1" applyBorder="1" applyAlignment="1">
      <alignment horizontal="right" vertical="center"/>
    </xf>
    <xf numFmtId="49" fontId="12" fillId="0" borderId="24" xfId="1" applyNumberFormat="1" applyFont="1" applyFill="1" applyBorder="1" applyAlignment="1">
      <alignment horizontal="center" vertical="top"/>
    </xf>
    <xf numFmtId="0" fontId="12" fillId="0" borderId="25" xfId="1" applyFont="1" applyFill="1" applyBorder="1" applyAlignment="1">
      <alignment horizontal="right" vertical="top" wrapText="1"/>
    </xf>
    <xf numFmtId="165" fontId="12" fillId="0" borderId="26" xfId="2" applyNumberFormat="1" applyFont="1" applyFill="1" applyBorder="1" applyAlignment="1">
      <alignment vertical="top"/>
    </xf>
    <xf numFmtId="49" fontId="12" fillId="0" borderId="12" xfId="1" applyNumberFormat="1" applyFont="1" applyFill="1" applyBorder="1" applyAlignment="1">
      <alignment horizontal="center" vertical="top"/>
    </xf>
    <xf numFmtId="0" fontId="12" fillId="0" borderId="12" xfId="1" applyFont="1" applyFill="1" applyBorder="1" applyAlignment="1">
      <alignment vertical="top" wrapText="1"/>
    </xf>
    <xf numFmtId="2" fontId="12" fillId="0" borderId="12" xfId="2" applyNumberFormat="1" applyFont="1" applyFill="1" applyBorder="1" applyAlignment="1">
      <alignment horizontal="right" vertical="top"/>
    </xf>
    <xf numFmtId="49" fontId="12" fillId="0" borderId="1" xfId="1" applyNumberFormat="1" applyFont="1" applyFill="1" applyBorder="1" applyAlignment="1">
      <alignment vertical="top"/>
    </xf>
    <xf numFmtId="0" fontId="11" fillId="0" borderId="1" xfId="1" applyFont="1" applyFill="1" applyBorder="1" applyAlignment="1">
      <alignment vertical="top" wrapText="1"/>
    </xf>
    <xf numFmtId="4" fontId="11" fillId="0" borderId="1" xfId="2" applyNumberFormat="1" applyFont="1" applyFill="1" applyBorder="1" applyAlignment="1">
      <alignment vertical="top"/>
    </xf>
    <xf numFmtId="49" fontId="12" fillId="0" borderId="10" xfId="1" applyNumberFormat="1" applyFont="1" applyBorder="1" applyAlignment="1">
      <alignment vertical="top"/>
    </xf>
    <xf numFmtId="0" fontId="12" fillId="0" borderId="10" xfId="1" applyFont="1" applyBorder="1" applyAlignment="1">
      <alignment horizontal="center" vertical="top" wrapText="1"/>
    </xf>
    <xf numFmtId="0" fontId="12" fillId="0" borderId="1" xfId="1" applyFont="1" applyBorder="1" applyAlignment="1">
      <alignment horizontal="left" vertical="top"/>
    </xf>
    <xf numFmtId="2" fontId="12" fillId="0" borderId="1" xfId="1" applyNumberFormat="1" applyFont="1" applyFill="1" applyBorder="1" applyAlignment="1">
      <alignment horizontal="center" vertical="top" wrapText="1"/>
    </xf>
    <xf numFmtId="2" fontId="12" fillId="0" borderId="1" xfId="1" applyNumberFormat="1" applyFont="1" applyFill="1" applyBorder="1" applyAlignment="1">
      <alignment horizontal="right" vertical="top" wrapText="1"/>
    </xf>
    <xf numFmtId="49" fontId="11" fillId="0" borderId="19" xfId="0" applyNumberFormat="1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vertical="top" wrapText="1"/>
    </xf>
    <xf numFmtId="49" fontId="12" fillId="0" borderId="35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vertical="top" wrapText="1"/>
    </xf>
    <xf numFmtId="49" fontId="12" fillId="0" borderId="22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vertical="top" wrapText="1"/>
    </xf>
    <xf numFmtId="0" fontId="12" fillId="0" borderId="1" xfId="1" applyFont="1" applyBorder="1" applyAlignment="1">
      <alignment horizontal="right" vertical="center"/>
    </xf>
    <xf numFmtId="0" fontId="12" fillId="0" borderId="1" xfId="1" applyNumberFormat="1" applyFont="1" applyBorder="1" applyAlignment="1">
      <alignment horizontal="left" vertical="center"/>
    </xf>
    <xf numFmtId="2" fontId="12" fillId="0" borderId="1" xfId="1" applyNumberFormat="1" applyFont="1" applyBorder="1" applyAlignment="1">
      <alignment horizontal="left" vertical="center"/>
    </xf>
    <xf numFmtId="0" fontId="12" fillId="0" borderId="23" xfId="1" applyFont="1" applyBorder="1" applyAlignment="1">
      <alignment horizontal="center" vertical="top" wrapText="1"/>
    </xf>
    <xf numFmtId="0" fontId="12" fillId="0" borderId="1" xfId="1" applyFont="1" applyBorder="1" applyAlignment="1">
      <alignment vertical="top"/>
    </xf>
    <xf numFmtId="4" fontId="12" fillId="0" borderId="1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1" xfId="1" applyFont="1" applyBorder="1" applyAlignment="1">
      <alignment horizontal="left" vertical="top" wrapText="1"/>
    </xf>
    <xf numFmtId="165" fontId="11" fillId="0" borderId="23" xfId="2" applyNumberFormat="1" applyFont="1" applyFill="1" applyBorder="1" applyAlignment="1">
      <alignment horizontal="center" vertical="center"/>
    </xf>
    <xf numFmtId="49" fontId="11" fillId="0" borderId="22" xfId="1" applyNumberFormat="1" applyFont="1" applyFill="1" applyBorder="1" applyAlignment="1">
      <alignment horizontal="center" vertical="top"/>
    </xf>
    <xf numFmtId="0" fontId="11" fillId="0" borderId="12" xfId="1" applyFont="1" applyFill="1" applyBorder="1" applyAlignment="1">
      <alignment vertical="top" wrapText="1"/>
    </xf>
    <xf numFmtId="49" fontId="12" fillId="0" borderId="35" xfId="1" applyNumberFormat="1" applyFont="1" applyFill="1" applyBorder="1" applyAlignment="1">
      <alignment vertical="top"/>
    </xf>
    <xf numFmtId="4" fontId="11" fillId="0" borderId="32" xfId="2" applyNumberFormat="1" applyFont="1" applyFill="1" applyBorder="1" applyAlignment="1">
      <alignment vertical="top"/>
    </xf>
    <xf numFmtId="0" fontId="16" fillId="0" borderId="0" xfId="0" applyFont="1" applyAlignment="1">
      <alignment horizontal="center" vertical="center" readingOrder="1"/>
    </xf>
    <xf numFmtId="2" fontId="11" fillId="0" borderId="23" xfId="2" applyNumberFormat="1" applyFont="1" applyFill="1" applyBorder="1" applyAlignment="1">
      <alignment horizontal="center" vertical="top"/>
    </xf>
    <xf numFmtId="0" fontId="12" fillId="0" borderId="10" xfId="1" applyFont="1" applyBorder="1" applyAlignment="1">
      <alignment horizontal="center" vertical="top" wrapText="1"/>
    </xf>
    <xf numFmtId="4" fontId="12" fillId="0" borderId="25" xfId="1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top"/>
    </xf>
    <xf numFmtId="49" fontId="6" fillId="0" borderId="28" xfId="0" applyNumberFormat="1" applyFont="1" applyFill="1" applyBorder="1" applyAlignment="1">
      <alignment horizontal="center" vertical="top"/>
    </xf>
    <xf numFmtId="0" fontId="6" fillId="0" borderId="36" xfId="0" applyFont="1" applyFill="1" applyBorder="1" applyAlignment="1">
      <alignment vertical="top" wrapText="1"/>
    </xf>
    <xf numFmtId="0" fontId="6" fillId="0" borderId="36" xfId="0" applyFont="1" applyFill="1" applyBorder="1" applyAlignment="1">
      <alignment vertical="top"/>
    </xf>
    <xf numFmtId="0" fontId="6" fillId="0" borderId="7" xfId="0" applyFont="1" applyFill="1" applyBorder="1" applyAlignment="1">
      <alignment horizontal="right" vertical="top"/>
    </xf>
    <xf numFmtId="9" fontId="6" fillId="0" borderId="42" xfId="0" applyNumberFormat="1" applyFont="1" applyFill="1" applyBorder="1" applyAlignment="1">
      <alignment horizontal="left" vertical="top"/>
    </xf>
    <xf numFmtId="0" fontId="6" fillId="0" borderId="49" xfId="0" applyFont="1" applyBorder="1" applyAlignment="1">
      <alignment horizontal="right" vertical="center"/>
    </xf>
    <xf numFmtId="4" fontId="10" fillId="0" borderId="0" xfId="0" applyNumberFormat="1" applyFont="1" applyBorder="1" applyAlignment="1">
      <alignment horizontal="right" vertical="center"/>
    </xf>
    <xf numFmtId="4" fontId="10" fillId="0" borderId="9" xfId="0" applyNumberFormat="1" applyFont="1" applyBorder="1" applyAlignment="1">
      <alignment horizontal="right" vertical="center"/>
    </xf>
    <xf numFmtId="2" fontId="10" fillId="0" borderId="11" xfId="0" applyNumberFormat="1" applyFont="1" applyBorder="1"/>
    <xf numFmtId="2" fontId="18" fillId="0" borderId="11" xfId="0" applyNumberFormat="1" applyFont="1" applyBorder="1" applyAlignment="1">
      <alignment horizontal="right"/>
    </xf>
    <xf numFmtId="0" fontId="10" fillId="0" borderId="5" xfId="0" applyFont="1" applyBorder="1" applyAlignment="1">
      <alignment horizontal="right" vertical="center"/>
    </xf>
    <xf numFmtId="4" fontId="19" fillId="0" borderId="15" xfId="0" applyNumberFormat="1" applyFont="1" applyBorder="1" applyAlignment="1">
      <alignment horizontal="right" vertical="center"/>
    </xf>
    <xf numFmtId="2" fontId="10" fillId="0" borderId="5" xfId="0" applyNumberFormat="1" applyFont="1" applyBorder="1" applyAlignment="1">
      <alignment horizontal="right" vertical="center"/>
    </xf>
    <xf numFmtId="0" fontId="10" fillId="0" borderId="5" xfId="0" applyFont="1" applyBorder="1" applyAlignment="1">
      <alignment horizontal="right"/>
    </xf>
    <xf numFmtId="49" fontId="12" fillId="0" borderId="35" xfId="1" applyNumberFormat="1" applyFont="1" applyFill="1" applyBorder="1" applyAlignment="1">
      <alignment horizontal="center" vertical="top"/>
    </xf>
    <xf numFmtId="49" fontId="12" fillId="0" borderId="19" xfId="1" applyNumberFormat="1" applyFont="1" applyFill="1" applyBorder="1" applyAlignment="1">
      <alignment horizontal="center" vertical="top"/>
    </xf>
    <xf numFmtId="0" fontId="12" fillId="0" borderId="20" xfId="1" applyFont="1" applyFill="1" applyBorder="1" applyAlignment="1">
      <alignment vertical="top" wrapText="1"/>
    </xf>
    <xf numFmtId="2" fontId="12" fillId="0" borderId="11" xfId="2" applyNumberFormat="1" applyFont="1" applyFill="1" applyBorder="1" applyAlignment="1">
      <alignment horizontal="right" vertical="top"/>
    </xf>
    <xf numFmtId="0" fontId="12" fillId="0" borderId="25" xfId="1" applyFont="1" applyFill="1" applyBorder="1" applyAlignment="1">
      <alignment horizontal="left" vertical="top" wrapText="1"/>
    </xf>
    <xf numFmtId="2" fontId="12" fillId="0" borderId="14" xfId="0" applyNumberFormat="1" applyFont="1" applyFill="1" applyBorder="1" applyAlignment="1">
      <alignment horizontal="left" vertical="top" wrapText="1"/>
    </xf>
    <xf numFmtId="0" fontId="12" fillId="0" borderId="11" xfId="1" applyFont="1" applyFill="1" applyBorder="1" applyAlignment="1">
      <alignment vertical="top" wrapText="1"/>
    </xf>
    <xf numFmtId="0" fontId="12" fillId="0" borderId="20" xfId="1" quotePrefix="1" applyFont="1" applyFill="1" applyBorder="1" applyAlignment="1">
      <alignment vertical="top" wrapText="1"/>
    </xf>
    <xf numFmtId="49" fontId="6" fillId="0" borderId="47" xfId="0" applyNumberFormat="1" applyFont="1" applyFill="1" applyBorder="1" applyAlignment="1">
      <alignment horizontal="center" vertical="top"/>
    </xf>
    <xf numFmtId="0" fontId="6" fillId="0" borderId="7" xfId="0" applyFont="1" applyFill="1" applyBorder="1" applyAlignment="1">
      <alignment vertical="top" wrapText="1"/>
    </xf>
    <xf numFmtId="9" fontId="6" fillId="0" borderId="3" xfId="0" applyNumberFormat="1" applyFont="1" applyFill="1" applyBorder="1" applyAlignment="1">
      <alignment horizontal="left" vertical="top"/>
    </xf>
    <xf numFmtId="2" fontId="7" fillId="0" borderId="3" xfId="0" applyNumberFormat="1" applyFont="1" applyFill="1" applyBorder="1" applyAlignment="1">
      <alignment horizontal="left" vertical="top"/>
    </xf>
    <xf numFmtId="2" fontId="6" fillId="0" borderId="0" xfId="0" applyNumberFormat="1" applyFont="1" applyFill="1" applyBorder="1" applyAlignment="1">
      <alignment horizontal="left" vertical="top"/>
    </xf>
    <xf numFmtId="49" fontId="6" fillId="0" borderId="48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 wrapText="1"/>
    </xf>
    <xf numFmtId="49" fontId="6" fillId="0" borderId="47" xfId="0" applyNumberFormat="1" applyFont="1" applyFill="1" applyBorder="1" applyAlignment="1">
      <alignment vertical="top"/>
    </xf>
    <xf numFmtId="0" fontId="6" fillId="0" borderId="7" xfId="0" applyFont="1" applyFill="1" applyBorder="1" applyAlignment="1">
      <alignment vertical="top"/>
    </xf>
    <xf numFmtId="0" fontId="8" fillId="0" borderId="0" xfId="0" applyFont="1" applyFill="1" applyBorder="1" applyAlignment="1">
      <alignment horizontal="left" vertical="top" wrapText="1"/>
    </xf>
    <xf numFmtId="49" fontId="6" fillId="0" borderId="48" xfId="0" applyNumberFormat="1" applyFont="1" applyFill="1" applyBorder="1" applyAlignment="1">
      <alignment vertical="top"/>
    </xf>
    <xf numFmtId="0" fontId="6" fillId="0" borderId="0" xfId="0" applyFont="1" applyBorder="1" applyAlignment="1">
      <alignment horizontal="left" vertical="top"/>
    </xf>
    <xf numFmtId="0" fontId="6" fillId="0" borderId="39" xfId="0" applyFont="1" applyFill="1" applyBorder="1" applyAlignment="1">
      <alignment vertical="top" wrapText="1"/>
    </xf>
    <xf numFmtId="0" fontId="6" fillId="0" borderId="39" xfId="0" applyFont="1" applyFill="1" applyBorder="1" applyAlignment="1">
      <alignment horizontal="right" vertical="top" wrapText="1"/>
    </xf>
    <xf numFmtId="49" fontId="12" fillId="0" borderId="47" xfId="0" applyNumberFormat="1" applyFont="1" applyFill="1" applyBorder="1" applyAlignment="1">
      <alignment horizontal="center" vertical="top"/>
    </xf>
    <xf numFmtId="0" fontId="12" fillId="0" borderId="7" xfId="0" applyFont="1" applyFill="1" applyBorder="1" applyAlignment="1">
      <alignment vertical="top" wrapText="1"/>
    </xf>
    <xf numFmtId="0" fontId="12" fillId="0" borderId="36" xfId="0" applyFont="1" applyFill="1" applyBorder="1" applyAlignment="1">
      <alignment vertical="top"/>
    </xf>
    <xf numFmtId="9" fontId="12" fillId="0" borderId="3" xfId="0" applyNumberFormat="1" applyFont="1" applyFill="1" applyBorder="1" applyAlignment="1">
      <alignment horizontal="left" vertical="top"/>
    </xf>
    <xf numFmtId="2" fontId="12" fillId="0" borderId="0" xfId="0" applyNumberFormat="1" applyFont="1" applyFill="1" applyBorder="1" applyAlignment="1">
      <alignment horizontal="left" vertical="top"/>
    </xf>
    <xf numFmtId="0" fontId="12" fillId="0" borderId="50" xfId="0" applyFont="1" applyFill="1" applyBorder="1" applyAlignment="1">
      <alignment horizontal="right" vertical="top"/>
    </xf>
    <xf numFmtId="9" fontId="12" fillId="0" borderId="51" xfId="0" applyNumberFormat="1" applyFont="1" applyFill="1" applyBorder="1" applyAlignment="1">
      <alignment horizontal="left" vertical="top"/>
    </xf>
    <xf numFmtId="16" fontId="12" fillId="0" borderId="49" xfId="0" applyNumberFormat="1" applyFont="1" applyFill="1" applyBorder="1" applyAlignment="1">
      <alignment horizontal="left" vertical="top" wrapText="1"/>
    </xf>
    <xf numFmtId="4" fontId="12" fillId="0" borderId="27" xfId="2" applyNumberFormat="1" applyFont="1" applyFill="1" applyBorder="1" applyAlignment="1">
      <alignment vertical="top"/>
    </xf>
    <xf numFmtId="4" fontId="12" fillId="0" borderId="38" xfId="2" applyNumberFormat="1" applyFont="1" applyFill="1" applyBorder="1" applyAlignment="1">
      <alignment vertical="top"/>
    </xf>
    <xf numFmtId="49" fontId="12" fillId="0" borderId="24" xfId="1" applyNumberFormat="1" applyFont="1" applyFill="1" applyBorder="1" applyAlignment="1">
      <alignment horizontal="center" vertical="center"/>
    </xf>
    <xf numFmtId="0" fontId="12" fillId="0" borderId="25" xfId="1" applyFont="1" applyFill="1" applyBorder="1" applyAlignment="1">
      <alignment vertical="top"/>
    </xf>
    <xf numFmtId="4" fontId="12" fillId="0" borderId="25" xfId="1" applyNumberFormat="1" applyFont="1" applyFill="1" applyBorder="1" applyAlignment="1">
      <alignment horizontal="left" vertical="center"/>
    </xf>
    <xf numFmtId="0" fontId="12" fillId="0" borderId="26" xfId="1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12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horizontal="left" vertical="top" wrapText="1"/>
    </xf>
    <xf numFmtId="0" fontId="12" fillId="0" borderId="20" xfId="0" applyFont="1" applyFill="1" applyBorder="1" applyAlignment="1">
      <alignment vertical="top" wrapText="1"/>
    </xf>
    <xf numFmtId="0" fontId="10" fillId="0" borderId="20" xfId="0" applyFont="1" applyFill="1" applyBorder="1" applyAlignment="1">
      <alignment vertical="top" wrapText="1"/>
    </xf>
    <xf numFmtId="0" fontId="12" fillId="0" borderId="25" xfId="0" applyFont="1" applyFill="1" applyBorder="1" applyAlignment="1">
      <alignment horizontal="left" vertical="top" wrapText="1"/>
    </xf>
    <xf numFmtId="0" fontId="10" fillId="0" borderId="25" xfId="0" applyFont="1" applyFill="1" applyBorder="1" applyAlignment="1">
      <alignment horizontal="right" vertical="top" wrapText="1"/>
    </xf>
    <xf numFmtId="49" fontId="12" fillId="0" borderId="29" xfId="1" applyNumberFormat="1" applyFont="1" applyFill="1" applyBorder="1" applyAlignment="1">
      <alignment horizontal="center" vertical="center"/>
    </xf>
    <xf numFmtId="0" fontId="12" fillId="0" borderId="10" xfId="1" applyFont="1" applyFill="1" applyBorder="1" applyAlignment="1">
      <alignment horizontal="right" vertical="center"/>
    </xf>
    <xf numFmtId="4" fontId="12" fillId="0" borderId="10" xfId="1" applyNumberFormat="1" applyFont="1" applyFill="1" applyBorder="1" applyAlignment="1">
      <alignment horizontal="right" vertical="center"/>
    </xf>
    <xf numFmtId="0" fontId="12" fillId="0" borderId="30" xfId="1" applyFont="1" applyFill="1" applyBorder="1" applyAlignment="1">
      <alignment horizontal="center" vertical="top" wrapText="1"/>
    </xf>
    <xf numFmtId="0" fontId="12" fillId="0" borderId="12" xfId="1" applyFont="1" applyFill="1" applyBorder="1" applyAlignment="1">
      <alignment horizontal="left" vertical="top" wrapText="1"/>
    </xf>
    <xf numFmtId="0" fontId="12" fillId="0" borderId="20" xfId="1" applyFont="1" applyFill="1" applyBorder="1" applyAlignment="1">
      <alignment horizontal="left" vertical="top" wrapText="1"/>
    </xf>
    <xf numFmtId="0" fontId="12" fillId="0" borderId="25" xfId="1" applyFont="1" applyFill="1" applyBorder="1" applyAlignment="1">
      <alignment horizontal="right" vertical="center"/>
    </xf>
    <xf numFmtId="49" fontId="12" fillId="0" borderId="19" xfId="1" applyNumberFormat="1" applyFont="1" applyFill="1" applyBorder="1" applyAlignment="1">
      <alignment horizontal="center" vertical="center"/>
    </xf>
    <xf numFmtId="0" fontId="12" fillId="0" borderId="25" xfId="1" applyFont="1" applyFill="1" applyBorder="1" applyAlignment="1">
      <alignment vertical="center"/>
    </xf>
    <xf numFmtId="0" fontId="12" fillId="0" borderId="25" xfId="1" applyFont="1" applyFill="1" applyBorder="1" applyAlignment="1">
      <alignment horizontal="left" vertical="top"/>
    </xf>
    <xf numFmtId="0" fontId="12" fillId="0" borderId="49" xfId="1" applyFont="1" applyFill="1" applyBorder="1" applyAlignment="1">
      <alignment horizontal="right" vertical="top"/>
    </xf>
    <xf numFmtId="9" fontId="12" fillId="0" borderId="49" xfId="1" applyNumberFormat="1" applyFont="1" applyFill="1" applyBorder="1" applyAlignment="1">
      <alignment horizontal="left" vertical="top"/>
    </xf>
    <xf numFmtId="49" fontId="12" fillId="0" borderId="3" xfId="1" applyNumberFormat="1" applyFont="1" applyFill="1" applyBorder="1" applyAlignment="1">
      <alignment horizontal="center" vertical="top"/>
    </xf>
    <xf numFmtId="0" fontId="12" fillId="0" borderId="7" xfId="0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4" fontId="11" fillId="0" borderId="7" xfId="2" applyNumberFormat="1" applyFont="1" applyFill="1" applyBorder="1" applyAlignment="1">
      <alignment vertical="top"/>
    </xf>
    <xf numFmtId="4" fontId="12" fillId="0" borderId="12" xfId="2" applyNumberFormat="1" applyFont="1" applyFill="1" applyBorder="1" applyAlignment="1">
      <alignment vertical="top"/>
    </xf>
    <xf numFmtId="0" fontId="12" fillId="0" borderId="25" xfId="1" applyFont="1" applyBorder="1" applyAlignment="1">
      <alignment horizontal="left" vertical="top"/>
    </xf>
    <xf numFmtId="4" fontId="12" fillId="0" borderId="26" xfId="2" applyNumberFormat="1" applyFont="1" applyBorder="1" applyAlignment="1">
      <alignment vertical="top"/>
    </xf>
    <xf numFmtId="0" fontId="10" fillId="0" borderId="12" xfId="0" applyFont="1" applyFill="1" applyBorder="1" applyAlignment="1">
      <alignment vertical="top" wrapText="1"/>
    </xf>
    <xf numFmtId="2" fontId="12" fillId="0" borderId="25" xfId="1" applyNumberFormat="1" applyFont="1" applyFill="1" applyBorder="1" applyAlignment="1">
      <alignment horizontal="right" vertical="top" wrapText="1"/>
    </xf>
    <xf numFmtId="166" fontId="12" fillId="0" borderId="26" xfId="2" applyNumberFormat="1" applyFont="1" applyFill="1" applyBorder="1" applyAlignment="1">
      <alignment vertical="top"/>
    </xf>
    <xf numFmtId="0" fontId="11" fillId="0" borderId="33" xfId="0" applyFont="1" applyFill="1" applyBorder="1" applyAlignment="1">
      <alignment vertical="top" wrapText="1"/>
    </xf>
    <xf numFmtId="0" fontId="12" fillId="0" borderId="20" xfId="0" applyFont="1" applyBorder="1"/>
    <xf numFmtId="0" fontId="12" fillId="0" borderId="21" xfId="0" applyFont="1" applyBorder="1"/>
    <xf numFmtId="49" fontId="12" fillId="0" borderId="24" xfId="1" applyNumberFormat="1" applyFont="1" applyBorder="1" applyAlignment="1">
      <alignment horizontal="center" vertical="center"/>
    </xf>
    <xf numFmtId="0" fontId="12" fillId="0" borderId="25" xfId="1" applyFont="1" applyBorder="1" applyAlignment="1">
      <alignment horizontal="right" vertical="center"/>
    </xf>
    <xf numFmtId="4" fontId="12" fillId="0" borderId="25" xfId="1" applyNumberFormat="1" applyFont="1" applyBorder="1" applyAlignment="1">
      <alignment horizontal="right" vertical="center"/>
    </xf>
    <xf numFmtId="0" fontId="12" fillId="0" borderId="26" xfId="1" applyFont="1" applyBorder="1" applyAlignment="1">
      <alignment horizontal="center" vertical="top" wrapText="1"/>
    </xf>
    <xf numFmtId="0" fontId="12" fillId="0" borderId="10" xfId="1" applyFont="1" applyBorder="1" applyAlignment="1">
      <alignment horizontal="left" vertical="top"/>
    </xf>
    <xf numFmtId="49" fontId="11" fillId="0" borderId="24" xfId="1" applyNumberFormat="1" applyFont="1" applyFill="1" applyBorder="1" applyAlignment="1">
      <alignment horizontal="center" vertical="top"/>
    </xf>
    <xf numFmtId="0" fontId="12" fillId="0" borderId="25" xfId="1" applyFont="1" applyBorder="1" applyAlignment="1">
      <alignment horizontal="right" vertical="center" wrapText="1"/>
    </xf>
    <xf numFmtId="0" fontId="12" fillId="0" borderId="10" xfId="1" applyFont="1" applyFill="1" applyBorder="1" applyAlignment="1">
      <alignment horizontal="right" vertical="top" wrapText="1"/>
    </xf>
    <xf numFmtId="49" fontId="12" fillId="0" borderId="54" xfId="1" applyNumberFormat="1" applyFont="1" applyFill="1" applyBorder="1" applyAlignment="1">
      <alignment vertical="top"/>
    </xf>
    <xf numFmtId="0" fontId="11" fillId="0" borderId="54" xfId="1" applyFont="1" applyFill="1" applyBorder="1" applyAlignment="1">
      <alignment vertical="top" wrapText="1"/>
    </xf>
    <xf numFmtId="0" fontId="12" fillId="0" borderId="54" xfId="1" applyFont="1" applyFill="1" applyBorder="1" applyAlignment="1">
      <alignment vertical="top"/>
    </xf>
    <xf numFmtId="9" fontId="12" fillId="0" borderId="54" xfId="1" applyNumberFormat="1" applyFont="1" applyFill="1" applyBorder="1" applyAlignment="1">
      <alignment horizontal="left" vertical="top"/>
    </xf>
    <xf numFmtId="0" fontId="12" fillId="0" borderId="54" xfId="1" applyFont="1" applyFill="1" applyBorder="1" applyAlignment="1">
      <alignment vertical="top" wrapText="1"/>
    </xf>
    <xf numFmtId="4" fontId="11" fillId="0" borderId="54" xfId="2" applyNumberFormat="1" applyFont="1" applyFill="1" applyBorder="1" applyAlignment="1">
      <alignment vertical="top"/>
    </xf>
    <xf numFmtId="0" fontId="8" fillId="0" borderId="31" xfId="0" applyFont="1" applyFill="1" applyBorder="1" applyAlignment="1">
      <alignment vertical="top" wrapText="1"/>
    </xf>
    <xf numFmtId="2" fontId="6" fillId="0" borderId="3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8" fillId="0" borderId="11" xfId="0" applyFont="1" applyFill="1" applyBorder="1" applyAlignment="1">
      <alignment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51" xfId="0" applyFont="1" applyFill="1" applyBorder="1" applyAlignment="1">
      <alignment vertical="top" wrapText="1"/>
    </xf>
    <xf numFmtId="49" fontId="7" fillId="0" borderId="48" xfId="0" applyNumberFormat="1" applyFont="1" applyFill="1" applyBorder="1" applyAlignment="1">
      <alignment horizontal="center" vertical="top"/>
    </xf>
    <xf numFmtId="0" fontId="8" fillId="0" borderId="40" xfId="0" applyFont="1" applyFill="1" applyBorder="1" applyAlignment="1">
      <alignment vertical="top" wrapText="1"/>
    </xf>
    <xf numFmtId="2" fontId="6" fillId="0" borderId="0" xfId="0" applyNumberFormat="1" applyFont="1" applyFill="1" applyBorder="1" applyAlignment="1">
      <alignment horizontal="left" vertical="top" wrapText="1"/>
    </xf>
    <xf numFmtId="2" fontId="6" fillId="0" borderId="39" xfId="2" applyNumberFormat="1" applyFont="1" applyFill="1" applyBorder="1" applyAlignment="1">
      <alignment horizontal="right" vertical="top"/>
    </xf>
    <xf numFmtId="0" fontId="12" fillId="0" borderId="50" xfId="1" applyFont="1" applyFill="1" applyBorder="1" applyAlignment="1">
      <alignment horizontal="right" vertical="top"/>
    </xf>
    <xf numFmtId="9" fontId="12" fillId="0" borderId="51" xfId="1" applyNumberFormat="1" applyFont="1" applyFill="1" applyBorder="1" applyAlignment="1">
      <alignment horizontal="left" vertical="top"/>
    </xf>
    <xf numFmtId="2" fontId="6" fillId="0" borderId="0" xfId="2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vertical="top" wrapText="1"/>
    </xf>
    <xf numFmtId="0" fontId="8" fillId="0" borderId="40" xfId="0" applyFont="1" applyFill="1" applyBorder="1" applyAlignment="1">
      <alignment horizontal="left" vertical="top" wrapText="1"/>
    </xf>
    <xf numFmtId="4" fontId="6" fillId="0" borderId="27" xfId="2" applyNumberFormat="1" applyFont="1" applyFill="1" applyBorder="1" applyAlignment="1">
      <alignment vertical="top"/>
    </xf>
    <xf numFmtId="4" fontId="6" fillId="0" borderId="38" xfId="2" applyNumberFormat="1" applyFont="1" applyBorder="1" applyAlignment="1">
      <alignment vertical="top"/>
    </xf>
    <xf numFmtId="165" fontId="6" fillId="0" borderId="38" xfId="2" applyNumberFormat="1" applyFont="1" applyFill="1" applyBorder="1" applyAlignment="1">
      <alignment vertical="top"/>
    </xf>
    <xf numFmtId="165" fontId="6" fillId="0" borderId="53" xfId="2" applyNumberFormat="1" applyFont="1" applyFill="1" applyBorder="1" applyAlignment="1">
      <alignment vertical="top"/>
    </xf>
    <xf numFmtId="4" fontId="6" fillId="0" borderId="38" xfId="2" applyNumberFormat="1" applyFont="1" applyFill="1" applyBorder="1" applyAlignment="1">
      <alignment vertical="top"/>
    </xf>
    <xf numFmtId="0" fontId="2" fillId="0" borderId="0" xfId="11"/>
    <xf numFmtId="0" fontId="22" fillId="0" borderId="0" xfId="11" applyFont="1" applyBorder="1" applyAlignment="1">
      <alignment horizontal="left" vertical="center"/>
    </xf>
    <xf numFmtId="0" fontId="21" fillId="0" borderId="0" xfId="11" applyFont="1" applyBorder="1" applyAlignment="1">
      <alignment horizontal="center" vertical="center"/>
    </xf>
    <xf numFmtId="0" fontId="23" fillId="0" borderId="0" xfId="11" applyFont="1" applyFill="1" applyBorder="1" applyAlignment="1">
      <alignment horizontal="left" vertical="center"/>
    </xf>
    <xf numFmtId="1" fontId="22" fillId="0" borderId="1" xfId="11" applyNumberFormat="1" applyFont="1" applyFill="1" applyBorder="1" applyAlignment="1">
      <alignment horizontal="center" vertical="center"/>
    </xf>
    <xf numFmtId="0" fontId="22" fillId="0" borderId="1" xfId="11" applyFont="1" applyFill="1" applyBorder="1" applyAlignment="1">
      <alignment horizontal="left" vertical="center" wrapText="1"/>
    </xf>
    <xf numFmtId="0" fontId="22" fillId="0" borderId="10" xfId="11" applyFont="1" applyFill="1" applyBorder="1" applyAlignment="1">
      <alignment horizontal="center" vertical="center" wrapText="1"/>
    </xf>
    <xf numFmtId="0" fontId="22" fillId="0" borderId="23" xfId="11" applyFont="1" applyFill="1" applyBorder="1" applyAlignment="1">
      <alignment horizontal="left" vertical="center" wrapText="1"/>
    </xf>
    <xf numFmtId="0" fontId="22" fillId="0" borderId="56" xfId="11" applyFont="1" applyFill="1" applyBorder="1" applyAlignment="1">
      <alignment horizontal="center" vertical="center"/>
    </xf>
    <xf numFmtId="0" fontId="22" fillId="0" borderId="59" xfId="11" applyFont="1" applyFill="1" applyBorder="1" applyAlignment="1">
      <alignment horizontal="center" vertical="center"/>
    </xf>
    <xf numFmtId="167" fontId="22" fillId="0" borderId="5" xfId="11" applyNumberFormat="1" applyFont="1" applyFill="1" applyBorder="1" applyAlignment="1">
      <alignment horizontal="center" vertical="center"/>
    </xf>
    <xf numFmtId="0" fontId="22" fillId="0" borderId="58" xfId="11" applyFont="1" applyFill="1" applyBorder="1" applyAlignment="1">
      <alignment horizontal="center" vertical="center"/>
    </xf>
    <xf numFmtId="0" fontId="22" fillId="0" borderId="2" xfId="11" applyFont="1" applyFill="1" applyBorder="1" applyAlignment="1">
      <alignment horizontal="center" vertical="center"/>
    </xf>
    <xf numFmtId="4" fontId="22" fillId="0" borderId="1" xfId="11" applyNumberFormat="1" applyFont="1" applyFill="1" applyBorder="1" applyAlignment="1">
      <alignment horizontal="center" vertical="center"/>
    </xf>
    <xf numFmtId="1" fontId="22" fillId="0" borderId="1" xfId="11" applyNumberFormat="1" applyFont="1" applyFill="1" applyBorder="1" applyAlignment="1">
      <alignment horizontal="center" vertical="center" wrapText="1"/>
    </xf>
    <xf numFmtId="0" fontId="22" fillId="0" borderId="1" xfId="11" quotePrefix="1" applyFont="1" applyFill="1" applyBorder="1" applyAlignment="1">
      <alignment horizontal="left" vertical="center" wrapText="1"/>
    </xf>
    <xf numFmtId="0" fontId="22" fillId="0" borderId="55" xfId="11" applyFont="1" applyFill="1" applyBorder="1" applyAlignment="1">
      <alignment horizontal="center" vertical="center"/>
    </xf>
    <xf numFmtId="0" fontId="22" fillId="0" borderId="5" xfId="11" applyFont="1" applyFill="1" applyBorder="1" applyAlignment="1">
      <alignment horizontal="center" vertical="center"/>
    </xf>
    <xf numFmtId="4" fontId="21" fillId="0" borderId="1" xfId="11" applyNumberFormat="1" applyFont="1" applyFill="1" applyBorder="1" applyAlignment="1">
      <alignment horizontal="center" vertical="center"/>
    </xf>
    <xf numFmtId="0" fontId="22" fillId="0" borderId="59" xfId="11" applyFont="1" applyFill="1" applyBorder="1" applyAlignment="1">
      <alignment horizontal="center" vertical="center" wrapText="1"/>
    </xf>
    <xf numFmtId="167" fontId="22" fillId="0" borderId="58" xfId="11" applyNumberFormat="1" applyFont="1" applyFill="1" applyBorder="1" applyAlignment="1">
      <alignment horizontal="center" vertical="center" wrapText="1"/>
    </xf>
    <xf numFmtId="0" fontId="22" fillId="0" borderId="1" xfId="11" applyFont="1" applyFill="1" applyBorder="1" applyAlignment="1">
      <alignment horizontal="center" vertical="center" wrapText="1"/>
    </xf>
    <xf numFmtId="167" fontId="22" fillId="0" borderId="55" xfId="11" applyNumberFormat="1" applyFont="1" applyFill="1" applyBorder="1" applyAlignment="1">
      <alignment horizontal="center" vertical="center" wrapText="1"/>
    </xf>
    <xf numFmtId="0" fontId="22" fillId="0" borderId="13" xfId="11" applyFont="1" applyFill="1" applyBorder="1" applyAlignment="1">
      <alignment horizontal="left" vertical="center" wrapText="1"/>
    </xf>
    <xf numFmtId="49" fontId="22" fillId="0" borderId="10" xfId="11" applyNumberFormat="1" applyFont="1" applyFill="1" applyBorder="1" applyAlignment="1">
      <alignment horizontal="left" vertical="center" wrapText="1"/>
    </xf>
    <xf numFmtId="0" fontId="22" fillId="0" borderId="58" xfId="11" applyFont="1" applyFill="1" applyBorder="1" applyAlignment="1">
      <alignment horizontal="center" vertical="center" wrapText="1"/>
    </xf>
    <xf numFmtId="49" fontId="22" fillId="2" borderId="10" xfId="11" applyNumberFormat="1" applyFont="1" applyFill="1" applyBorder="1" applyAlignment="1">
      <alignment horizontal="left" vertical="center" wrapText="1"/>
    </xf>
    <xf numFmtId="0" fontId="22" fillId="2" borderId="1" xfId="11" applyFont="1" applyFill="1" applyBorder="1" applyAlignment="1">
      <alignment horizontal="center" vertical="center" wrapText="1"/>
    </xf>
    <xf numFmtId="0" fontId="22" fillId="2" borderId="1" xfId="11" applyFont="1" applyFill="1" applyBorder="1" applyAlignment="1">
      <alignment horizontal="left" vertical="center" wrapText="1"/>
    </xf>
    <xf numFmtId="167" fontId="22" fillId="2" borderId="55" xfId="11" applyNumberFormat="1" applyFont="1" applyFill="1" applyBorder="1" applyAlignment="1">
      <alignment horizontal="center" vertical="center" wrapText="1"/>
    </xf>
    <xf numFmtId="0" fontId="22" fillId="2" borderId="59" xfId="11" applyFont="1" applyFill="1" applyBorder="1" applyAlignment="1">
      <alignment horizontal="center" vertical="center" wrapText="1"/>
    </xf>
    <xf numFmtId="0" fontId="22" fillId="2" borderId="58" xfId="11" applyFont="1" applyFill="1" applyBorder="1" applyAlignment="1">
      <alignment horizontal="center" vertical="center" wrapText="1"/>
    </xf>
    <xf numFmtId="0" fontId="22" fillId="2" borderId="58" xfId="11" applyFont="1" applyFill="1" applyBorder="1" applyAlignment="1">
      <alignment horizontal="center" vertical="center"/>
    </xf>
    <xf numFmtId="0" fontId="22" fillId="2" borderId="2" xfId="11" applyFont="1" applyFill="1" applyBorder="1" applyAlignment="1">
      <alignment horizontal="center" vertical="center"/>
    </xf>
    <xf numFmtId="4" fontId="22" fillId="2" borderId="1" xfId="11" applyNumberFormat="1" applyFont="1" applyFill="1" applyBorder="1" applyAlignment="1">
      <alignment horizontal="center" vertical="center"/>
    </xf>
    <xf numFmtId="0" fontId="22" fillId="0" borderId="55" xfId="11" applyFont="1" applyFill="1" applyBorder="1" applyAlignment="1">
      <alignment horizontal="center" vertical="center" wrapText="1"/>
    </xf>
    <xf numFmtId="0" fontId="21" fillId="0" borderId="58" xfId="11" applyFont="1" applyFill="1" applyBorder="1" applyAlignment="1">
      <alignment horizontal="center" vertical="center"/>
    </xf>
    <xf numFmtId="0" fontId="21" fillId="0" borderId="14" xfId="11" applyFont="1" applyFill="1" applyBorder="1" applyAlignment="1">
      <alignment horizontal="center" vertical="center"/>
    </xf>
    <xf numFmtId="2" fontId="22" fillId="0" borderId="1" xfId="11" applyNumberFormat="1" applyFont="1" applyFill="1" applyBorder="1" applyAlignment="1">
      <alignment horizontal="center" vertical="center"/>
    </xf>
    <xf numFmtId="0" fontId="22" fillId="0" borderId="30" xfId="11" applyFont="1" applyFill="1" applyBorder="1" applyAlignment="1">
      <alignment horizontal="left" vertical="center" wrapText="1"/>
    </xf>
    <xf numFmtId="2" fontId="22" fillId="0" borderId="55" xfId="11" applyNumberFormat="1" applyFont="1" applyFill="1" applyBorder="1" applyAlignment="1">
      <alignment horizontal="center" vertical="center" wrapText="1"/>
    </xf>
    <xf numFmtId="4" fontId="22" fillId="0" borderId="58" xfId="11" applyNumberFormat="1" applyFont="1" applyFill="1" applyBorder="1" applyAlignment="1">
      <alignment vertical="center" wrapText="1"/>
    </xf>
    <xf numFmtId="49" fontId="22" fillId="0" borderId="58" xfId="11" applyNumberFormat="1" applyFont="1" applyFill="1" applyBorder="1" applyAlignment="1">
      <alignment vertical="center"/>
    </xf>
    <xf numFmtId="0" fontId="22" fillId="0" borderId="2" xfId="11" applyFont="1" applyFill="1" applyBorder="1" applyAlignment="1">
      <alignment horizontal="left" vertical="center"/>
    </xf>
    <xf numFmtId="4" fontId="21" fillId="0" borderId="12" xfId="11" applyNumberFormat="1" applyFont="1" applyFill="1" applyBorder="1" applyAlignment="1">
      <alignment horizontal="center" vertical="center"/>
    </xf>
    <xf numFmtId="1" fontId="22" fillId="2" borderId="1" xfId="11" applyNumberFormat="1" applyFont="1" applyFill="1" applyBorder="1" applyAlignment="1">
      <alignment horizontal="center" vertical="center"/>
    </xf>
    <xf numFmtId="0" fontId="22" fillId="2" borderId="1" xfId="11" applyFont="1" applyFill="1" applyBorder="1" applyAlignment="1">
      <alignment horizontal="left" wrapText="1"/>
    </xf>
    <xf numFmtId="0" fontId="22" fillId="2" borderId="1" xfId="11" applyFont="1" applyFill="1" applyBorder="1" applyAlignment="1">
      <alignment horizontal="center" vertical="center"/>
    </xf>
    <xf numFmtId="0" fontId="22" fillId="2" borderId="1" xfId="11" applyFont="1" applyFill="1" applyBorder="1" applyAlignment="1">
      <alignment horizontal="left" vertical="center"/>
    </xf>
    <xf numFmtId="0" fontId="22" fillId="2" borderId="55" xfId="11" applyFont="1" applyFill="1" applyBorder="1" applyAlignment="1">
      <alignment horizontal="center" vertical="center"/>
    </xf>
    <xf numFmtId="0" fontId="22" fillId="2" borderId="59" xfId="11" applyFont="1" applyFill="1" applyBorder="1" applyAlignment="1">
      <alignment horizontal="center" vertical="center"/>
    </xf>
    <xf numFmtId="0" fontId="21" fillId="2" borderId="58" xfId="11" applyFont="1" applyFill="1" applyBorder="1" applyAlignment="1">
      <alignment horizontal="center" vertical="center"/>
    </xf>
    <xf numFmtId="0" fontId="21" fillId="2" borderId="14" xfId="11" applyFont="1" applyFill="1" applyBorder="1" applyAlignment="1">
      <alignment horizontal="center" vertical="center"/>
    </xf>
    <xf numFmtId="0" fontId="22" fillId="2" borderId="1" xfId="11" applyFont="1" applyFill="1" applyBorder="1" applyAlignment="1">
      <alignment horizontal="left" vertical="top" wrapText="1"/>
    </xf>
    <xf numFmtId="0" fontId="22" fillId="2" borderId="58" xfId="11" applyFont="1" applyFill="1" applyBorder="1" applyAlignment="1">
      <alignment horizontal="left" vertical="center" wrapText="1"/>
    </xf>
    <xf numFmtId="0" fontId="22" fillId="2" borderId="14" xfId="11" applyFont="1" applyFill="1" applyBorder="1" applyAlignment="1">
      <alignment horizontal="center" vertical="center" wrapText="1"/>
    </xf>
    <xf numFmtId="167" fontId="22" fillId="2" borderId="58" xfId="11" applyNumberFormat="1" applyFont="1" applyFill="1" applyBorder="1" applyAlignment="1">
      <alignment horizontal="center" vertical="center"/>
    </xf>
    <xf numFmtId="167" fontId="22" fillId="2" borderId="58" xfId="11" applyNumberFormat="1" applyFont="1" applyFill="1" applyBorder="1" applyAlignment="1">
      <alignment horizontal="center" vertical="center" wrapText="1"/>
    </xf>
    <xf numFmtId="0" fontId="22" fillId="2" borderId="1" xfId="11" quotePrefix="1" applyFont="1" applyFill="1" applyBorder="1" applyAlignment="1">
      <alignment horizontal="left" vertical="center" wrapText="1"/>
    </xf>
    <xf numFmtId="168" fontId="22" fillId="2" borderId="55" xfId="11" applyNumberFormat="1" applyFont="1" applyFill="1" applyBorder="1" applyAlignment="1">
      <alignment horizontal="center" vertical="center" wrapText="1"/>
    </xf>
    <xf numFmtId="9" fontId="22" fillId="2" borderId="58" xfId="11" applyNumberFormat="1" applyFont="1" applyFill="1" applyBorder="1" applyAlignment="1">
      <alignment horizontal="center" vertical="center" wrapText="1"/>
    </xf>
    <xf numFmtId="4" fontId="22" fillId="2" borderId="55" xfId="11" applyNumberFormat="1" applyFont="1" applyFill="1" applyBorder="1" applyAlignment="1">
      <alignment horizontal="center" vertical="center" wrapText="1"/>
    </xf>
    <xf numFmtId="167" fontId="22" fillId="2" borderId="7" xfId="12" applyNumberFormat="1" applyFont="1" applyFill="1" applyBorder="1" applyAlignment="1">
      <alignment vertical="center" wrapText="1"/>
    </xf>
    <xf numFmtId="4" fontId="21" fillId="0" borderId="1" xfId="11" applyNumberFormat="1" applyFont="1" applyFill="1" applyBorder="1" applyAlignment="1">
      <alignment vertical="center"/>
    </xf>
    <xf numFmtId="49" fontId="22" fillId="0" borderId="0" xfId="11" applyNumberFormat="1" applyFont="1" applyBorder="1"/>
    <xf numFmtId="0" fontId="22" fillId="0" borderId="0" xfId="11" applyFont="1" applyBorder="1" applyAlignment="1">
      <alignment wrapText="1"/>
    </xf>
    <xf numFmtId="0" fontId="22" fillId="0" borderId="0" xfId="11" applyFont="1" applyBorder="1"/>
    <xf numFmtId="0" fontId="22" fillId="0" borderId="0" xfId="11" applyFont="1" applyFill="1" applyBorder="1" applyAlignment="1"/>
    <xf numFmtId="49" fontId="22" fillId="0" borderId="0" xfId="11" applyNumberFormat="1" applyFont="1" applyFill="1" applyBorder="1" applyAlignment="1"/>
    <xf numFmtId="0" fontId="10" fillId="0" borderId="0" xfId="11" applyFont="1" applyFill="1"/>
    <xf numFmtId="0" fontId="10" fillId="0" borderId="9" xfId="11" applyFont="1" applyFill="1" applyBorder="1"/>
    <xf numFmtId="0" fontId="10" fillId="0" borderId="0" xfId="11" applyFont="1" applyFill="1" applyBorder="1"/>
    <xf numFmtId="0" fontId="22" fillId="0" borderId="0" xfId="11" applyFont="1"/>
    <xf numFmtId="0" fontId="22" fillId="0" borderId="0" xfId="11" applyFont="1" applyAlignment="1">
      <alignment wrapText="1"/>
    </xf>
    <xf numFmtId="49" fontId="22" fillId="0" borderId="0" xfId="11" applyNumberFormat="1" applyFont="1"/>
    <xf numFmtId="0" fontId="30" fillId="0" borderId="0" xfId="13" applyFont="1" applyFill="1"/>
    <xf numFmtId="0" fontId="23" fillId="0" borderId="1" xfId="13" applyFont="1" applyFill="1" applyBorder="1" applyAlignment="1">
      <alignment horizontal="center" vertical="center" wrapText="1"/>
    </xf>
    <xf numFmtId="0" fontId="23" fillId="0" borderId="0" xfId="13" applyFont="1" applyFill="1" applyBorder="1"/>
    <xf numFmtId="0" fontId="32" fillId="0" borderId="0" xfId="13" applyFont="1" applyFill="1"/>
    <xf numFmtId="0" fontId="31" fillId="0" borderId="0" xfId="13" applyFont="1" applyFill="1" applyBorder="1"/>
    <xf numFmtId="0" fontId="22" fillId="0" borderId="1" xfId="13" applyFont="1" applyFill="1" applyBorder="1" applyAlignment="1">
      <alignment horizontal="center" vertical="center"/>
    </xf>
    <xf numFmtId="0" fontId="22" fillId="0" borderId="1" xfId="13" applyFont="1" applyFill="1" applyBorder="1" applyAlignment="1">
      <alignment horizontal="left" vertical="center" wrapText="1"/>
    </xf>
    <xf numFmtId="0" fontId="22" fillId="0" borderId="1" xfId="13" applyFont="1" applyFill="1" applyBorder="1" applyAlignment="1">
      <alignment horizontal="center" vertical="center" wrapText="1"/>
    </xf>
    <xf numFmtId="49" fontId="22" fillId="2" borderId="1" xfId="13" applyNumberFormat="1" applyFont="1" applyFill="1" applyBorder="1" applyAlignment="1">
      <alignment horizontal="center" vertical="center" wrapText="1"/>
    </xf>
    <xf numFmtId="4" fontId="22" fillId="0" borderId="1" xfId="13" applyNumberFormat="1" applyFont="1" applyFill="1" applyBorder="1" applyAlignment="1">
      <alignment horizontal="center" vertical="center" wrapText="1"/>
    </xf>
    <xf numFmtId="0" fontId="2" fillId="0" borderId="0" xfId="13" applyFont="1" applyFill="1" applyBorder="1"/>
    <xf numFmtId="49" fontId="22" fillId="0" borderId="1" xfId="13" applyNumberFormat="1" applyFont="1" applyFill="1" applyBorder="1" applyAlignment="1">
      <alignment horizontal="center" vertical="center" wrapText="1"/>
    </xf>
    <xf numFmtId="0" fontId="22" fillId="0" borderId="14" xfId="13" applyFont="1" applyFill="1" applyBorder="1" applyAlignment="1">
      <alignment horizontal="center" vertical="center" wrapText="1"/>
    </xf>
    <xf numFmtId="0" fontId="18" fillId="0" borderId="13" xfId="13" applyFont="1" applyFill="1" applyBorder="1" applyAlignment="1">
      <alignment vertical="center"/>
    </xf>
    <xf numFmtId="0" fontId="18" fillId="0" borderId="58" xfId="13" applyFont="1" applyFill="1" applyBorder="1" applyAlignment="1">
      <alignment vertical="center"/>
    </xf>
    <xf numFmtId="0" fontId="23" fillId="0" borderId="1" xfId="13" applyFont="1" applyBorder="1" applyAlignment="1">
      <alignment vertical="center" wrapText="1"/>
    </xf>
    <xf numFmtId="0" fontId="18" fillId="0" borderId="14" xfId="13" applyFont="1" applyFill="1" applyBorder="1" applyAlignment="1">
      <alignment vertical="center"/>
    </xf>
    <xf numFmtId="4" fontId="21" fillId="0" borderId="1" xfId="13" applyNumberFormat="1" applyFont="1" applyFill="1" applyBorder="1" applyAlignment="1">
      <alignment horizontal="center" vertical="center" wrapText="1"/>
    </xf>
    <xf numFmtId="4" fontId="21" fillId="0" borderId="1" xfId="13" applyNumberFormat="1" applyFont="1" applyFill="1" applyBorder="1" applyAlignment="1">
      <alignment horizontal="center" vertical="center"/>
    </xf>
    <xf numFmtId="0" fontId="23" fillId="0" borderId="1" xfId="13" applyFont="1" applyFill="1" applyBorder="1" applyAlignment="1">
      <alignment horizontal="center" vertical="center"/>
    </xf>
    <xf numFmtId="0" fontId="23" fillId="0" borderId="1" xfId="13" applyFont="1" applyFill="1" applyBorder="1" applyAlignment="1">
      <alignment horizontal="left" vertical="center" wrapText="1"/>
    </xf>
    <xf numFmtId="4" fontId="23" fillId="0" borderId="1" xfId="13" applyNumberFormat="1" applyFont="1" applyFill="1" applyBorder="1" applyAlignment="1">
      <alignment horizontal="center" vertical="center" wrapText="1"/>
    </xf>
    <xf numFmtId="0" fontId="23" fillId="0" borderId="1" xfId="13" applyFont="1" applyFill="1" applyBorder="1" applyAlignment="1">
      <alignment vertical="center" wrapText="1"/>
    </xf>
    <xf numFmtId="4" fontId="23" fillId="0" borderId="1" xfId="13" applyNumberFormat="1" applyFont="1" applyFill="1" applyBorder="1" applyAlignment="1">
      <alignment horizontal="center" vertical="center"/>
    </xf>
    <xf numFmtId="167" fontId="23" fillId="0" borderId="1" xfId="13" applyNumberFormat="1" applyFont="1" applyFill="1" applyBorder="1" applyAlignment="1">
      <alignment horizontal="center" vertical="center" wrapText="1"/>
    </xf>
    <xf numFmtId="0" fontId="22" fillId="0" borderId="1" xfId="13" applyFont="1" applyFill="1" applyBorder="1" applyAlignment="1">
      <alignment vertical="center" wrapText="1"/>
    </xf>
    <xf numFmtId="0" fontId="22" fillId="0" borderId="1" xfId="13" applyFont="1" applyFill="1" applyBorder="1" applyAlignment="1">
      <alignment horizontal="left" vertical="center"/>
    </xf>
    <xf numFmtId="4" fontId="22" fillId="0" borderId="1" xfId="13" applyNumberFormat="1" applyFont="1" applyFill="1" applyBorder="1" applyAlignment="1">
      <alignment horizontal="center" vertical="center"/>
    </xf>
    <xf numFmtId="0" fontId="23" fillId="0" borderId="0" xfId="13" applyFont="1" applyFill="1" applyBorder="1" applyAlignment="1">
      <alignment horizontal="left" wrapText="1"/>
    </xf>
    <xf numFmtId="0" fontId="18" fillId="0" borderId="0" xfId="13" applyFont="1" applyFill="1"/>
    <xf numFmtId="0" fontId="10" fillId="0" borderId="0" xfId="13" applyFont="1" applyFill="1"/>
    <xf numFmtId="0" fontId="10" fillId="0" borderId="9" xfId="13" applyFont="1" applyFill="1" applyBorder="1"/>
    <xf numFmtId="0" fontId="10" fillId="0" borderId="0" xfId="13" applyFont="1" applyFill="1" applyBorder="1"/>
    <xf numFmtId="0" fontId="29" fillId="0" borderId="0" xfId="13" applyFont="1" applyFill="1" applyBorder="1"/>
    <xf numFmtId="0" fontId="30" fillId="0" borderId="0" xfId="13" applyFont="1" applyFill="1" applyBorder="1"/>
    <xf numFmtId="0" fontId="33" fillId="0" borderId="0" xfId="13" applyFont="1" applyBorder="1" applyAlignment="1">
      <alignment horizontal="center" vertical="center" wrapText="1"/>
    </xf>
    <xf numFmtId="0" fontId="22" fillId="0" borderId="0" xfId="13" applyFont="1" applyBorder="1" applyAlignment="1">
      <alignment horizontal="center" vertical="center" wrapText="1"/>
    </xf>
    <xf numFmtId="169" fontId="33" fillId="0" borderId="0" xfId="13" applyNumberFormat="1" applyFont="1" applyBorder="1" applyAlignment="1">
      <alignment horizontal="center" vertical="center" wrapText="1"/>
    </xf>
    <xf numFmtId="170" fontId="6" fillId="0" borderId="0" xfId="13" applyNumberFormat="1" applyFont="1" applyFill="1" applyBorder="1" applyAlignment="1">
      <alignment horizontal="center" vertical="center" wrapText="1"/>
    </xf>
    <xf numFmtId="169" fontId="34" fillId="0" borderId="0" xfId="13" applyNumberFormat="1" applyFont="1" applyFill="1" applyBorder="1" applyAlignment="1">
      <alignment horizontal="center" vertical="center" wrapText="1"/>
    </xf>
    <xf numFmtId="0" fontId="30" fillId="0" borderId="0" xfId="13" applyFont="1" applyFill="1" applyBorder="1" applyAlignment="1">
      <alignment horizontal="center" vertical="center" wrapText="1"/>
    </xf>
    <xf numFmtId="0" fontId="34" fillId="0" borderId="0" xfId="13" applyFont="1" applyFill="1" applyBorder="1" applyAlignment="1">
      <alignment horizontal="center" vertical="center" wrapText="1"/>
    </xf>
    <xf numFmtId="170" fontId="33" fillId="0" borderId="0" xfId="13" applyNumberFormat="1" applyFont="1" applyBorder="1" applyAlignment="1">
      <alignment horizontal="center" vertical="center" wrapText="1"/>
    </xf>
    <xf numFmtId="49" fontId="22" fillId="0" borderId="0" xfId="13" applyNumberFormat="1" applyFont="1" applyBorder="1" applyAlignment="1">
      <alignment horizontal="center" vertical="center" wrapText="1"/>
    </xf>
    <xf numFmtId="170" fontId="34" fillId="0" borderId="0" xfId="13" applyNumberFormat="1" applyFont="1" applyBorder="1" applyAlignment="1">
      <alignment horizontal="center" vertical="center" wrapText="1"/>
    </xf>
    <xf numFmtId="169" fontId="6" fillId="0" borderId="0" xfId="13" applyNumberFormat="1" applyFont="1" applyFill="1" applyBorder="1" applyAlignment="1">
      <alignment horizontal="center" vertical="center" wrapText="1"/>
    </xf>
    <xf numFmtId="0" fontId="10" fillId="0" borderId="0" xfId="13" applyFont="1" applyFill="1" applyBorder="1" applyAlignment="1">
      <alignment horizontal="center" vertical="center" wrapText="1"/>
    </xf>
    <xf numFmtId="0" fontId="2" fillId="0" borderId="0" xfId="13" applyFill="1" applyBorder="1" applyAlignment="1">
      <alignment horizontal="center" vertical="center" wrapText="1"/>
    </xf>
    <xf numFmtId="170" fontId="34" fillId="0" borderId="0" xfId="13" applyNumberFormat="1" applyFont="1" applyFill="1" applyBorder="1" applyAlignment="1">
      <alignment horizontal="center" vertical="center" wrapText="1"/>
    </xf>
    <xf numFmtId="169" fontId="35" fillId="0" borderId="0" xfId="13" applyNumberFormat="1" applyFont="1" applyFill="1" applyBorder="1" applyAlignment="1">
      <alignment horizontal="center" vertical="center" wrapText="1"/>
    </xf>
    <xf numFmtId="0" fontId="2" fillId="0" borderId="0" xfId="13" applyFont="1" applyFill="1" applyBorder="1" applyAlignment="1">
      <alignment horizontal="center" vertical="center" wrapText="1"/>
    </xf>
    <xf numFmtId="0" fontId="22" fillId="0" borderId="0" xfId="13" applyFont="1" applyFill="1" applyBorder="1" applyAlignment="1">
      <alignment horizontal="center" vertical="center" wrapText="1"/>
    </xf>
    <xf numFmtId="0" fontId="36" fillId="0" borderId="0" xfId="13" applyFont="1" applyFill="1" applyBorder="1" applyAlignment="1">
      <alignment horizontal="center" vertical="center" wrapText="1"/>
    </xf>
    <xf numFmtId="0" fontId="20" fillId="0" borderId="0" xfId="13" applyFont="1" applyFill="1" applyBorder="1" applyAlignment="1">
      <alignment horizontal="center" vertical="center" wrapText="1"/>
    </xf>
    <xf numFmtId="0" fontId="37" fillId="0" borderId="0" xfId="13" applyFont="1" applyBorder="1" applyAlignment="1">
      <alignment horizontal="center" vertical="center" wrapText="1"/>
    </xf>
    <xf numFmtId="3" fontId="2" fillId="0" borderId="0" xfId="13" applyNumberFormat="1" applyFill="1" applyBorder="1" applyAlignment="1">
      <alignment horizontal="center" vertical="center" wrapText="1"/>
    </xf>
    <xf numFmtId="0" fontId="30" fillId="0" borderId="0" xfId="13" applyFont="1" applyFill="1" applyAlignment="1">
      <alignment horizontal="center" vertical="center" wrapText="1"/>
    </xf>
    <xf numFmtId="0" fontId="38" fillId="0" borderId="0" xfId="13" applyFont="1" applyBorder="1" applyAlignment="1">
      <alignment horizontal="center" vertical="center" wrapText="1"/>
    </xf>
    <xf numFmtId="0" fontId="36" fillId="0" borderId="0" xfId="13" applyFont="1" applyBorder="1" applyAlignment="1">
      <alignment horizontal="center" vertical="center" wrapText="1"/>
    </xf>
    <xf numFmtId="3" fontId="36" fillId="0" borderId="0" xfId="13" applyNumberFormat="1" applyFont="1" applyFill="1" applyBorder="1" applyAlignment="1">
      <alignment horizontal="center" vertical="center" wrapText="1"/>
    </xf>
    <xf numFmtId="3" fontId="2" fillId="0" borderId="0" xfId="13" applyNumberFormat="1" applyFont="1" applyFill="1" applyBorder="1" applyAlignment="1">
      <alignment horizontal="center" vertical="center" wrapText="1"/>
    </xf>
    <xf numFmtId="0" fontId="36" fillId="0" borderId="0" xfId="13" applyFont="1" applyFill="1"/>
    <xf numFmtId="0" fontId="39" fillId="0" borderId="0" xfId="13" applyFont="1" applyFill="1"/>
    <xf numFmtId="0" fontId="40" fillId="0" borderId="0" xfId="14" applyFont="1" applyFill="1"/>
    <xf numFmtId="0" fontId="40" fillId="0" borderId="0" xfId="14" applyFont="1" applyFill="1" applyAlignment="1">
      <alignment wrapText="1"/>
    </xf>
    <xf numFmtId="0" fontId="41" fillId="0" borderId="0" xfId="14" applyFont="1" applyFill="1"/>
    <xf numFmtId="0" fontId="22" fillId="0" borderId="1" xfId="14" applyNumberFormat="1" applyFont="1" applyFill="1" applyBorder="1" applyAlignment="1">
      <alignment horizontal="center" vertical="center"/>
    </xf>
    <xf numFmtId="0" fontId="22" fillId="0" borderId="1" xfId="14" applyFont="1" applyFill="1" applyBorder="1" applyAlignment="1">
      <alignment horizontal="left" vertical="center" wrapText="1"/>
    </xf>
    <xf numFmtId="0" fontId="22" fillId="0" borderId="10" xfId="14" applyFont="1" applyFill="1" applyBorder="1" applyAlignment="1">
      <alignment horizontal="center" vertical="center" wrapText="1"/>
    </xf>
    <xf numFmtId="0" fontId="22" fillId="0" borderId="10" xfId="14" applyFont="1" applyFill="1" applyBorder="1" applyAlignment="1">
      <alignment horizontal="left" vertical="center" wrapText="1"/>
    </xf>
    <xf numFmtId="0" fontId="22" fillId="0" borderId="55" xfId="14" applyFont="1" applyFill="1" applyBorder="1" applyAlignment="1">
      <alignment horizontal="center" vertical="center"/>
    </xf>
    <xf numFmtId="0" fontId="22" fillId="0" borderId="59" xfId="14" applyFont="1" applyFill="1" applyBorder="1" applyAlignment="1">
      <alignment horizontal="center" vertical="center"/>
    </xf>
    <xf numFmtId="0" fontId="22" fillId="0" borderId="5" xfId="14" applyFont="1" applyFill="1" applyBorder="1" applyAlignment="1">
      <alignment horizontal="center" vertical="center"/>
    </xf>
    <xf numFmtId="0" fontId="22" fillId="0" borderId="58" xfId="14" applyFont="1" applyFill="1" applyBorder="1" applyAlignment="1">
      <alignment horizontal="center" vertical="center"/>
    </xf>
    <xf numFmtId="0" fontId="22" fillId="0" borderId="2" xfId="14" applyFont="1" applyFill="1" applyBorder="1" applyAlignment="1">
      <alignment horizontal="center" vertical="center"/>
    </xf>
    <xf numFmtId="4" fontId="22" fillId="0" borderId="1" xfId="14" applyNumberFormat="1" applyFont="1" applyFill="1" applyBorder="1" applyAlignment="1">
      <alignment horizontal="center" vertical="center"/>
    </xf>
    <xf numFmtId="4" fontId="21" fillId="0" borderId="1" xfId="14" applyNumberFormat="1" applyFont="1" applyFill="1" applyBorder="1" applyAlignment="1">
      <alignment horizontal="center" vertical="center"/>
    </xf>
    <xf numFmtId="0" fontId="22" fillId="0" borderId="1" xfId="14" applyFont="1" applyFill="1" applyBorder="1" applyAlignment="1">
      <alignment horizontal="center" vertical="center" wrapText="1"/>
    </xf>
    <xf numFmtId="0" fontId="22" fillId="0" borderId="55" xfId="14" applyFont="1" applyFill="1" applyBorder="1" applyAlignment="1">
      <alignment horizontal="center" vertical="center" wrapText="1"/>
    </xf>
    <xf numFmtId="0" fontId="22" fillId="0" borderId="59" xfId="14" applyFont="1" applyFill="1" applyBorder="1" applyAlignment="1">
      <alignment horizontal="center" vertical="center" wrapText="1"/>
    </xf>
    <xf numFmtId="167" fontId="22" fillId="0" borderId="58" xfId="14" applyNumberFormat="1" applyFont="1" applyFill="1" applyBorder="1" applyAlignment="1">
      <alignment horizontal="center" vertical="center" wrapText="1"/>
    </xf>
    <xf numFmtId="0" fontId="22" fillId="0" borderId="58" xfId="14" applyFont="1" applyFill="1" applyBorder="1" applyAlignment="1">
      <alignment horizontal="center" vertical="center" wrapText="1"/>
    </xf>
    <xf numFmtId="0" fontId="36" fillId="0" borderId="58" xfId="14" applyFont="1" applyFill="1" applyBorder="1" applyAlignment="1">
      <alignment horizontal="center" vertical="center"/>
    </xf>
    <xf numFmtId="0" fontId="36" fillId="0" borderId="2" xfId="14" applyFont="1" applyFill="1" applyBorder="1" applyAlignment="1">
      <alignment horizontal="center" vertical="center"/>
    </xf>
    <xf numFmtId="0" fontId="36" fillId="0" borderId="14" xfId="14" applyFont="1" applyFill="1" applyBorder="1" applyAlignment="1">
      <alignment horizontal="center" vertical="center"/>
    </xf>
    <xf numFmtId="0" fontId="22" fillId="0" borderId="1" xfId="14" applyFont="1" applyFill="1" applyBorder="1" applyAlignment="1">
      <alignment horizontal="center" vertical="center"/>
    </xf>
    <xf numFmtId="0" fontId="22" fillId="0" borderId="14" xfId="14" applyFont="1" applyFill="1" applyBorder="1" applyAlignment="1">
      <alignment horizontal="center" vertical="center"/>
    </xf>
    <xf numFmtId="0" fontId="42" fillId="0" borderId="0" xfId="14" applyFont="1" applyFill="1" applyAlignment="1">
      <alignment horizontal="center" vertical="center"/>
    </xf>
    <xf numFmtId="0" fontId="43" fillId="0" borderId="0" xfId="14" applyFont="1" applyFill="1"/>
    <xf numFmtId="0" fontId="22" fillId="0" borderId="1" xfId="14" applyFont="1" applyFill="1" applyBorder="1" applyAlignment="1">
      <alignment horizontal="left" vertical="center"/>
    </xf>
    <xf numFmtId="0" fontId="10" fillId="0" borderId="1" xfId="14" applyFont="1" applyFill="1" applyBorder="1" applyAlignment="1">
      <alignment horizontal="center" vertical="center"/>
    </xf>
    <xf numFmtId="3" fontId="22" fillId="0" borderId="55" xfId="14" applyNumberFormat="1" applyFont="1" applyFill="1" applyBorder="1" applyAlignment="1">
      <alignment horizontal="center" vertical="center" wrapText="1"/>
    </xf>
    <xf numFmtId="0" fontId="10" fillId="0" borderId="58" xfId="14" applyFont="1" applyFill="1" applyBorder="1" applyAlignment="1">
      <alignment horizontal="center" vertical="center"/>
    </xf>
    <xf numFmtId="0" fontId="10" fillId="0" borderId="58" xfId="14" applyFont="1" applyFill="1" applyBorder="1" applyAlignment="1">
      <alignment horizontal="center" vertical="center" wrapText="1"/>
    </xf>
    <xf numFmtId="0" fontId="22" fillId="0" borderId="55" xfId="14" applyNumberFormat="1" applyFont="1" applyFill="1" applyBorder="1" applyAlignment="1">
      <alignment horizontal="center" vertical="center" wrapText="1"/>
    </xf>
    <xf numFmtId="0" fontId="43" fillId="3" borderId="0" xfId="14" applyFont="1" applyFill="1"/>
    <xf numFmtId="0" fontId="22" fillId="0" borderId="13" xfId="14" applyFont="1" applyFill="1" applyBorder="1" applyAlignment="1">
      <alignment vertical="center" wrapText="1"/>
    </xf>
    <xf numFmtId="4" fontId="22" fillId="0" borderId="58" xfId="14" applyNumberFormat="1" applyFont="1" applyFill="1" applyBorder="1" applyAlignment="1">
      <alignment vertical="center" wrapText="1"/>
    </xf>
    <xf numFmtId="4" fontId="22" fillId="0" borderId="58" xfId="14" applyNumberFormat="1" applyFont="1" applyFill="1" applyBorder="1" applyAlignment="1">
      <alignment horizontal="left" vertical="center"/>
    </xf>
    <xf numFmtId="4" fontId="22" fillId="0" borderId="58" xfId="14" applyNumberFormat="1" applyFont="1" applyFill="1" applyBorder="1" applyAlignment="1">
      <alignment vertical="center"/>
    </xf>
    <xf numFmtId="3" fontId="22" fillId="0" borderId="14" xfId="14" applyNumberFormat="1" applyFont="1" applyFill="1" applyBorder="1" applyAlignment="1">
      <alignment horizontal="left" vertical="center" wrapText="1"/>
    </xf>
    <xf numFmtId="4" fontId="43" fillId="0" borderId="0" xfId="14" applyNumberFormat="1" applyFont="1" applyFill="1"/>
    <xf numFmtId="0" fontId="22" fillId="0" borderId="58" xfId="14" applyFont="1" applyFill="1" applyBorder="1" applyAlignment="1">
      <alignment horizontal="left" vertical="center" wrapText="1"/>
    </xf>
    <xf numFmtId="0" fontId="22" fillId="0" borderId="58" xfId="14" applyFont="1" applyFill="1" applyBorder="1" applyAlignment="1">
      <alignment vertical="center" wrapText="1"/>
    </xf>
    <xf numFmtId="167" fontId="22" fillId="0" borderId="14" xfId="14" applyNumberFormat="1" applyFont="1" applyFill="1" applyBorder="1" applyAlignment="1">
      <alignment horizontal="left" vertical="center" wrapText="1"/>
    </xf>
    <xf numFmtId="0" fontId="22" fillId="0" borderId="1" xfId="14" applyFont="1" applyFill="1" applyBorder="1" applyAlignment="1">
      <alignment vertical="center" wrapText="1"/>
    </xf>
    <xf numFmtId="0" fontId="25" fillId="0" borderId="1" xfId="14" applyFont="1" applyFill="1" applyBorder="1" applyAlignment="1">
      <alignment horizontal="center" vertical="center" wrapText="1"/>
    </xf>
    <xf numFmtId="0" fontId="22" fillId="0" borderId="12" xfId="14" applyFont="1" applyFill="1" applyBorder="1" applyAlignment="1">
      <alignment horizontal="left" vertical="center" wrapText="1"/>
    </xf>
    <xf numFmtId="0" fontId="22" fillId="0" borderId="12" xfId="14" applyFont="1" applyFill="1" applyBorder="1" applyAlignment="1">
      <alignment horizontal="center" vertical="center"/>
    </xf>
    <xf numFmtId="0" fontId="22" fillId="0" borderId="57" xfId="14" applyFont="1" applyFill="1" applyBorder="1" applyAlignment="1">
      <alignment horizontal="center" vertical="center"/>
    </xf>
    <xf numFmtId="0" fontId="22" fillId="0" borderId="61" xfId="14" applyFont="1" applyFill="1" applyBorder="1" applyAlignment="1">
      <alignment horizontal="center" vertical="center"/>
    </xf>
    <xf numFmtId="0" fontId="22" fillId="0" borderId="9" xfId="14" applyFont="1" applyFill="1" applyBorder="1" applyAlignment="1">
      <alignment horizontal="center" vertical="center"/>
    </xf>
    <xf numFmtId="0" fontId="22" fillId="0" borderId="4" xfId="14" applyFont="1" applyFill="1" applyBorder="1" applyAlignment="1">
      <alignment horizontal="center" vertical="center"/>
    </xf>
    <xf numFmtId="4" fontId="22" fillId="0" borderId="12" xfId="14" applyNumberFormat="1" applyFont="1" applyFill="1" applyBorder="1" applyAlignment="1">
      <alignment horizontal="center" vertical="center"/>
    </xf>
    <xf numFmtId="167" fontId="22" fillId="0" borderId="58" xfId="14" applyNumberFormat="1" applyFont="1" applyFill="1" applyBorder="1" applyAlignment="1">
      <alignment horizontal="center" vertical="center"/>
    </xf>
    <xf numFmtId="0" fontId="22" fillId="0" borderId="14" xfId="14" applyFont="1" applyFill="1" applyBorder="1" applyAlignment="1">
      <alignment horizontal="center" vertical="center" wrapText="1"/>
    </xf>
    <xf numFmtId="0" fontId="37" fillId="0" borderId="13" xfId="14" applyFont="1" applyFill="1" applyBorder="1" applyAlignment="1">
      <alignment horizontal="left" vertical="center"/>
    </xf>
    <xf numFmtId="0" fontId="10" fillId="0" borderId="1" xfId="14" applyFont="1" applyFill="1" applyBorder="1" applyAlignment="1">
      <alignment horizontal="left" vertical="center"/>
    </xf>
    <xf numFmtId="0" fontId="10" fillId="0" borderId="59" xfId="14" applyFont="1" applyFill="1" applyBorder="1" applyAlignment="1">
      <alignment horizontal="center" vertical="center"/>
    </xf>
    <xf numFmtId="0" fontId="10" fillId="0" borderId="14" xfId="14" applyFont="1" applyFill="1" applyBorder="1" applyAlignment="1">
      <alignment horizontal="center" vertical="center"/>
    </xf>
    <xf numFmtId="167" fontId="10" fillId="0" borderId="58" xfId="14" applyNumberFormat="1" applyFont="1" applyFill="1" applyBorder="1" applyAlignment="1">
      <alignment horizontal="center" vertical="center"/>
    </xf>
    <xf numFmtId="0" fontId="10" fillId="0" borderId="1" xfId="14" applyFont="1" applyFill="1" applyBorder="1" applyAlignment="1">
      <alignment horizontal="left" vertical="center" wrapText="1"/>
    </xf>
    <xf numFmtId="0" fontId="10" fillId="0" borderId="58" xfId="14" applyFont="1" applyFill="1" applyBorder="1" applyAlignment="1">
      <alignment horizontal="left" vertical="center" wrapText="1"/>
    </xf>
    <xf numFmtId="0" fontId="10" fillId="0" borderId="14" xfId="14" applyFont="1" applyFill="1" applyBorder="1" applyAlignment="1">
      <alignment horizontal="center" vertical="center" wrapText="1"/>
    </xf>
    <xf numFmtId="0" fontId="22" fillId="0" borderId="12" xfId="14" applyFont="1" applyFill="1" applyBorder="1" applyAlignment="1">
      <alignment horizontal="center" vertical="center" wrapText="1"/>
    </xf>
    <xf numFmtId="3" fontId="22" fillId="0" borderId="57" xfId="14" applyNumberFormat="1" applyFont="1" applyFill="1" applyBorder="1" applyAlignment="1">
      <alignment horizontal="center" vertical="center" wrapText="1"/>
    </xf>
    <xf numFmtId="49" fontId="22" fillId="0" borderId="61" xfId="14" applyNumberFormat="1" applyFont="1" applyFill="1" applyBorder="1" applyAlignment="1">
      <alignment horizontal="center" vertical="center" wrapText="1"/>
    </xf>
    <xf numFmtId="0" fontId="22" fillId="0" borderId="9" xfId="14" applyFont="1" applyFill="1" applyBorder="1" applyAlignment="1">
      <alignment horizontal="left" vertical="center" wrapText="1"/>
    </xf>
    <xf numFmtId="1" fontId="22" fillId="0" borderId="57" xfId="14" applyNumberFormat="1" applyFont="1" applyFill="1" applyBorder="1" applyAlignment="1">
      <alignment horizontal="center" vertical="center" wrapText="1"/>
    </xf>
    <xf numFmtId="49" fontId="22" fillId="0" borderId="59" xfId="14" applyNumberFormat="1" applyFont="1" applyFill="1" applyBorder="1" applyAlignment="1">
      <alignment horizontal="center" vertical="center" wrapText="1"/>
    </xf>
    <xf numFmtId="0" fontId="12" fillId="0" borderId="1" xfId="14" applyFont="1" applyFill="1" applyBorder="1" applyAlignment="1">
      <alignment horizontal="center" vertical="center" wrapText="1"/>
    </xf>
    <xf numFmtId="49" fontId="22" fillId="0" borderId="58" xfId="14" applyNumberFormat="1" applyFont="1" applyFill="1" applyBorder="1" applyAlignment="1">
      <alignment horizontal="center" vertical="center"/>
    </xf>
    <xf numFmtId="49" fontId="22" fillId="0" borderId="14" xfId="14" applyNumberFormat="1" applyFont="1" applyFill="1" applyBorder="1" applyAlignment="1">
      <alignment horizontal="center" vertical="center" wrapText="1"/>
    </xf>
    <xf numFmtId="0" fontId="22" fillId="0" borderId="60" xfId="14" applyFont="1" applyFill="1" applyBorder="1" applyAlignment="1">
      <alignment horizontal="center" vertical="center" wrapText="1"/>
    </xf>
    <xf numFmtId="0" fontId="22" fillId="0" borderId="58" xfId="14" applyFont="1" applyFill="1" applyBorder="1" applyAlignment="1">
      <alignment horizontal="left" vertical="center"/>
    </xf>
    <xf numFmtId="0" fontId="21" fillId="0" borderId="58" xfId="14" applyFont="1" applyFill="1" applyBorder="1" applyAlignment="1">
      <alignment horizontal="left" vertical="center"/>
    </xf>
    <xf numFmtId="0" fontId="21" fillId="0" borderId="14" xfId="14" applyFont="1" applyFill="1" applyBorder="1" applyAlignment="1">
      <alignment horizontal="left" vertical="center"/>
    </xf>
    <xf numFmtId="1" fontId="22" fillId="0" borderId="60" xfId="14" applyNumberFormat="1" applyFont="1" applyFill="1" applyBorder="1" applyAlignment="1">
      <alignment horizontal="center" vertical="center" wrapText="1"/>
    </xf>
    <xf numFmtId="0" fontId="22" fillId="0" borderId="59" xfId="14" applyFont="1" applyFill="1" applyBorder="1" applyAlignment="1">
      <alignment vertical="center" wrapText="1"/>
    </xf>
    <xf numFmtId="0" fontId="22" fillId="0" borderId="14" xfId="14" applyFont="1" applyFill="1" applyBorder="1" applyAlignment="1">
      <alignment vertical="center" wrapText="1"/>
    </xf>
    <xf numFmtId="4" fontId="21" fillId="0" borderId="1" xfId="14" applyNumberFormat="1" applyFont="1" applyFill="1" applyBorder="1" applyAlignment="1">
      <alignment vertical="center"/>
    </xf>
    <xf numFmtId="49" fontId="22" fillId="0" borderId="0" xfId="14" applyNumberFormat="1" applyFont="1" applyFill="1" applyBorder="1" applyAlignment="1">
      <alignment horizontal="left" wrapText="1"/>
    </xf>
    <xf numFmtId="0" fontId="22" fillId="0" borderId="0" xfId="14" applyFont="1" applyFill="1" applyBorder="1" applyAlignment="1">
      <alignment horizontal="left" wrapText="1"/>
    </xf>
    <xf numFmtId="0" fontId="43" fillId="0" borderId="0" xfId="14" applyFont="1" applyFill="1" applyBorder="1"/>
    <xf numFmtId="49" fontId="22" fillId="0" borderId="0" xfId="14" applyNumberFormat="1" applyFont="1" applyFill="1" applyBorder="1" applyAlignment="1"/>
    <xf numFmtId="0" fontId="22" fillId="0" borderId="0" xfId="14" applyFont="1" applyFill="1" applyBorder="1" applyAlignment="1">
      <alignment wrapText="1"/>
    </xf>
    <xf numFmtId="0" fontId="22" fillId="0" borderId="9" xfId="14" applyFont="1" applyFill="1" applyBorder="1" applyAlignment="1"/>
    <xf numFmtId="0" fontId="22" fillId="0" borderId="0" xfId="14" applyFont="1" applyFill="1" applyAlignment="1"/>
    <xf numFmtId="0" fontId="22" fillId="0" borderId="0" xfId="14" applyFont="1" applyFill="1" applyBorder="1" applyAlignment="1"/>
    <xf numFmtId="0" fontId="22" fillId="0" borderId="0" xfId="14" applyFont="1" applyFill="1" applyAlignment="1">
      <alignment wrapText="1"/>
    </xf>
    <xf numFmtId="0" fontId="22" fillId="0" borderId="0" xfId="14" applyFont="1" applyFill="1"/>
    <xf numFmtId="49" fontId="40" fillId="0" borderId="0" xfId="14" applyNumberFormat="1" applyFont="1" applyFill="1" applyBorder="1"/>
    <xf numFmtId="0" fontId="40" fillId="0" borderId="0" xfId="14" applyFont="1" applyFill="1" applyBorder="1" applyAlignment="1">
      <alignment wrapText="1"/>
    </xf>
    <xf numFmtId="49" fontId="40" fillId="0" borderId="0" xfId="14" applyNumberFormat="1" applyFont="1" applyFill="1"/>
    <xf numFmtId="49" fontId="43" fillId="0" borderId="0" xfId="14" applyNumberFormat="1" applyFont="1" applyFill="1" applyBorder="1"/>
    <xf numFmtId="0" fontId="43" fillId="0" borderId="0" xfId="14" applyFont="1" applyFill="1" applyAlignment="1">
      <alignment wrapText="1"/>
    </xf>
    <xf numFmtId="49" fontId="43" fillId="0" borderId="0" xfId="14" applyNumberFormat="1" applyFont="1" applyFill="1"/>
    <xf numFmtId="0" fontId="2" fillId="0" borderId="0" xfId="14"/>
    <xf numFmtId="0" fontId="22" fillId="0" borderId="0" xfId="14" applyFont="1" applyFill="1" applyBorder="1" applyAlignment="1">
      <alignment horizontal="left" vertical="center"/>
    </xf>
    <xf numFmtId="0" fontId="6" fillId="0" borderId="0" xfId="15" applyNumberFormat="1"/>
    <xf numFmtId="0" fontId="6" fillId="0" borderId="0" xfId="15" applyNumberFormat="1" applyFont="1" applyAlignment="1">
      <alignment wrapText="1"/>
    </xf>
    <xf numFmtId="49" fontId="7" fillId="0" borderId="1" xfId="15" applyNumberFormat="1" applyFont="1" applyBorder="1" applyAlignment="1">
      <alignment horizontal="right" vertical="top" wrapText="1"/>
    </xf>
    <xf numFmtId="0" fontId="7" fillId="0" borderId="1" xfId="15" applyNumberFormat="1" applyFont="1" applyBorder="1" applyAlignment="1">
      <alignment horizontal="left" vertical="top" wrapText="1"/>
    </xf>
    <xf numFmtId="0" fontId="6" fillId="0" borderId="1" xfId="15" applyNumberFormat="1" applyFont="1" applyBorder="1" applyAlignment="1">
      <alignment horizontal="left" vertical="top" wrapText="1"/>
    </xf>
    <xf numFmtId="171" fontId="6" fillId="0" borderId="1" xfId="15" applyNumberFormat="1" applyFont="1" applyBorder="1" applyAlignment="1">
      <alignment horizontal="right" vertical="top" wrapText="1"/>
    </xf>
    <xf numFmtId="49" fontId="7" fillId="0" borderId="10" xfId="15" applyNumberFormat="1" applyFont="1" applyBorder="1" applyAlignment="1">
      <alignment horizontal="right" vertical="top" wrapText="1"/>
    </xf>
    <xf numFmtId="0" fontId="7" fillId="0" borderId="10" xfId="15" applyNumberFormat="1" applyFont="1" applyBorder="1" applyAlignment="1">
      <alignment horizontal="left" vertical="top" wrapText="1"/>
    </xf>
    <xf numFmtId="0" fontId="6" fillId="0" borderId="10" xfId="15" applyNumberFormat="1" applyFont="1" applyBorder="1" applyAlignment="1">
      <alignment horizontal="left" vertical="top" wrapText="1"/>
    </xf>
    <xf numFmtId="171" fontId="6" fillId="0" borderId="10" xfId="15" applyNumberFormat="1" applyFont="1" applyBorder="1" applyAlignment="1">
      <alignment horizontal="right" vertical="top" wrapText="1"/>
    </xf>
    <xf numFmtId="49" fontId="7" fillId="0" borderId="63" xfId="15" applyNumberFormat="1" applyFont="1" applyBorder="1" applyAlignment="1">
      <alignment horizontal="right" vertical="top" wrapText="1"/>
    </xf>
    <xf numFmtId="0" fontId="7" fillId="0" borderId="63" xfId="15" applyNumberFormat="1" applyFont="1" applyBorder="1" applyAlignment="1">
      <alignment horizontal="left" vertical="top" wrapText="1"/>
    </xf>
    <xf numFmtId="0" fontId="7" fillId="0" borderId="63" xfId="15" applyNumberFormat="1" applyFont="1" applyBorder="1" applyAlignment="1">
      <alignment horizontal="right" vertical="top" wrapText="1"/>
    </xf>
    <xf numFmtId="49" fontId="7" fillId="0" borderId="64" xfId="15" applyNumberFormat="1" applyFont="1" applyBorder="1" applyAlignment="1">
      <alignment horizontal="right" vertical="top" wrapText="1"/>
    </xf>
    <xf numFmtId="0" fontId="6" fillId="0" borderId="64" xfId="15" applyNumberFormat="1" applyFont="1" applyBorder="1" applyAlignment="1">
      <alignment horizontal="left" vertical="top" wrapText="1"/>
    </xf>
    <xf numFmtId="0" fontId="6" fillId="0" borderId="64" xfId="15" applyNumberFormat="1" applyFont="1" applyBorder="1" applyAlignment="1">
      <alignment horizontal="right" vertical="top" wrapText="1"/>
    </xf>
    <xf numFmtId="49" fontId="7" fillId="0" borderId="12" xfId="15" applyNumberFormat="1" applyFont="1" applyBorder="1" applyAlignment="1">
      <alignment horizontal="right" vertical="top" wrapText="1"/>
    </xf>
    <xf numFmtId="0" fontId="6" fillId="0" borderId="12" xfId="15" applyNumberFormat="1" applyFont="1" applyBorder="1" applyAlignment="1">
      <alignment horizontal="left" vertical="top" wrapText="1"/>
    </xf>
    <xf numFmtId="0" fontId="6" fillId="0" borderId="12" xfId="15" applyNumberFormat="1" applyFont="1" applyBorder="1" applyAlignment="1">
      <alignment horizontal="right" vertical="top" wrapText="1"/>
    </xf>
    <xf numFmtId="49" fontId="7" fillId="0" borderId="11" xfId="15" applyNumberFormat="1" applyFont="1" applyBorder="1" applyAlignment="1">
      <alignment horizontal="right" vertical="top" wrapText="1"/>
    </xf>
    <xf numFmtId="0" fontId="7" fillId="0" borderId="11" xfId="15" applyNumberFormat="1" applyFont="1" applyBorder="1" applyAlignment="1">
      <alignment horizontal="left" vertical="top" wrapText="1"/>
    </xf>
    <xf numFmtId="0" fontId="6" fillId="0" borderId="11" xfId="15" applyNumberFormat="1" applyFont="1" applyBorder="1" applyAlignment="1">
      <alignment horizontal="left" vertical="top" wrapText="1"/>
    </xf>
    <xf numFmtId="171" fontId="6" fillId="0" borderId="11" xfId="15" applyNumberFormat="1" applyFont="1" applyBorder="1" applyAlignment="1">
      <alignment horizontal="right" vertical="top" wrapText="1"/>
    </xf>
    <xf numFmtId="0" fontId="7" fillId="0" borderId="12" xfId="15" applyNumberFormat="1" applyFont="1" applyBorder="1" applyAlignment="1">
      <alignment horizontal="left" vertical="top" wrapText="1"/>
    </xf>
    <xf numFmtId="171" fontId="7" fillId="0" borderId="12" xfId="15" applyNumberFormat="1" applyFont="1" applyBorder="1" applyAlignment="1">
      <alignment horizontal="right" vertical="top" wrapText="1"/>
    </xf>
    <xf numFmtId="171" fontId="7" fillId="0" borderId="1" xfId="15" applyNumberFormat="1" applyFont="1" applyBorder="1" applyAlignment="1">
      <alignment horizontal="right" vertical="top" wrapText="1"/>
    </xf>
    <xf numFmtId="171" fontId="6" fillId="0" borderId="12" xfId="15" applyNumberFormat="1" applyFont="1" applyBorder="1" applyAlignment="1">
      <alignment horizontal="right" vertical="top" wrapText="1"/>
    </xf>
    <xf numFmtId="0" fontId="46" fillId="0" borderId="0" xfId="6" applyFont="1" applyAlignment="1">
      <alignment vertical="top" wrapText="1"/>
    </xf>
    <xf numFmtId="0" fontId="46" fillId="0" borderId="0" xfId="6" applyFont="1" applyAlignment="1">
      <alignment vertical="top"/>
    </xf>
    <xf numFmtId="4" fontId="46" fillId="0" borderId="0" xfId="6" applyNumberFormat="1" applyFont="1" applyAlignment="1">
      <alignment vertical="top"/>
    </xf>
    <xf numFmtId="0" fontId="7" fillId="0" borderId="0" xfId="6" applyFont="1" applyBorder="1" applyAlignment="1">
      <alignment vertical="top"/>
    </xf>
    <xf numFmtId="0" fontId="6" fillId="0" borderId="0" xfId="6" applyFont="1" applyAlignment="1">
      <alignment vertical="top"/>
    </xf>
    <xf numFmtId="4" fontId="6" fillId="0" borderId="0" xfId="6" applyNumberFormat="1" applyFont="1" applyAlignment="1">
      <alignment vertical="top"/>
    </xf>
    <xf numFmtId="0" fontId="17" fillId="0" borderId="0" xfId="6" applyFont="1" applyAlignment="1">
      <alignment vertical="top"/>
    </xf>
    <xf numFmtId="0" fontId="6" fillId="4" borderId="0" xfId="6" applyFont="1" applyFill="1" applyAlignment="1">
      <alignment vertical="top"/>
    </xf>
    <xf numFmtId="49" fontId="6" fillId="0" borderId="0" xfId="6" applyNumberFormat="1" applyFont="1" applyBorder="1" applyAlignment="1">
      <alignment vertical="top"/>
    </xf>
    <xf numFmtId="0" fontId="47" fillId="0" borderId="0" xfId="6" applyFont="1" applyBorder="1" applyAlignment="1">
      <alignment vertical="top" wrapText="1"/>
    </xf>
    <xf numFmtId="0" fontId="46" fillId="0" borderId="0" xfId="6" applyFont="1" applyBorder="1" applyAlignment="1">
      <alignment horizontal="right" vertical="top"/>
    </xf>
    <xf numFmtId="9" fontId="46" fillId="0" borderId="0" xfId="6" applyNumberFormat="1" applyFont="1" applyBorder="1" applyAlignment="1">
      <alignment horizontal="left" vertical="top"/>
    </xf>
    <xf numFmtId="2" fontId="46" fillId="0" borderId="0" xfId="6" applyNumberFormat="1" applyFont="1" applyBorder="1" applyAlignment="1">
      <alignment horizontal="right" vertical="top"/>
    </xf>
    <xf numFmtId="4" fontId="46" fillId="0" borderId="0" xfId="6" applyNumberFormat="1" applyFont="1" applyBorder="1" applyAlignment="1">
      <alignment horizontal="right" vertical="top"/>
    </xf>
    <xf numFmtId="0" fontId="46" fillId="0" borderId="0" xfId="6" applyFont="1" applyBorder="1" applyAlignment="1">
      <alignment vertical="top" wrapText="1"/>
    </xf>
    <xf numFmtId="10" fontId="46" fillId="0" borderId="0" xfId="6" applyNumberFormat="1" applyFont="1" applyBorder="1" applyAlignment="1">
      <alignment vertical="top"/>
    </xf>
    <xf numFmtId="0" fontId="46" fillId="0" borderId="0" xfId="6" applyFont="1" applyBorder="1" applyAlignment="1">
      <alignment vertical="top"/>
    </xf>
    <xf numFmtId="0" fontId="47" fillId="0" borderId="0" xfId="6" applyFont="1" applyBorder="1" applyAlignment="1">
      <alignment vertical="top"/>
    </xf>
    <xf numFmtId="0" fontId="6" fillId="0" borderId="0" xfId="6" applyFont="1" applyBorder="1" applyAlignment="1">
      <alignment vertical="top"/>
    </xf>
    <xf numFmtId="4" fontId="47" fillId="0" borderId="0" xfId="6" applyNumberFormat="1" applyFont="1" applyBorder="1" applyAlignment="1">
      <alignment horizontal="right" vertical="top"/>
    </xf>
    <xf numFmtId="4" fontId="6" fillId="0" borderId="0" xfId="6" applyNumberFormat="1" applyFont="1" applyBorder="1" applyAlignment="1">
      <alignment vertical="top"/>
    </xf>
    <xf numFmtId="0" fontId="7" fillId="0" borderId="0" xfId="6" applyFont="1" applyBorder="1" applyAlignment="1">
      <alignment vertical="top" wrapText="1"/>
    </xf>
    <xf numFmtId="0" fontId="46" fillId="0" borderId="0" xfId="6" applyFont="1" applyBorder="1" applyAlignment="1">
      <alignment horizontal="left" vertical="top" wrapText="1"/>
    </xf>
    <xf numFmtId="0" fontId="6" fillId="0" borderId="0" xfId="6" applyFont="1" applyFill="1" applyBorder="1" applyAlignment="1">
      <alignment horizontal="right" vertical="top"/>
    </xf>
    <xf numFmtId="9" fontId="6" fillId="0" borderId="0" xfId="6" applyNumberFormat="1" applyFont="1" applyFill="1" applyBorder="1" applyAlignment="1">
      <alignment horizontal="left" vertical="top"/>
    </xf>
    <xf numFmtId="2" fontId="7" fillId="0" borderId="0" xfId="2" applyNumberFormat="1" applyFont="1" applyFill="1" applyBorder="1" applyAlignment="1">
      <alignment horizontal="right" vertical="top"/>
    </xf>
    <xf numFmtId="165" fontId="6" fillId="0" borderId="0" xfId="2" applyNumberFormat="1" applyFont="1" applyBorder="1" applyAlignment="1">
      <alignment vertical="top"/>
    </xf>
    <xf numFmtId="0" fontId="5" fillId="0" borderId="0" xfId="6" applyFont="1"/>
    <xf numFmtId="0" fontId="6" fillId="0" borderId="0" xfId="6" applyFont="1" applyBorder="1" applyAlignment="1">
      <alignment horizontal="right" vertical="top"/>
    </xf>
    <xf numFmtId="0" fontId="6" fillId="0" borderId="0" xfId="6" applyFont="1" applyBorder="1" applyAlignment="1">
      <alignment horizontal="left" vertical="top"/>
    </xf>
    <xf numFmtId="9" fontId="6" fillId="0" borderId="0" xfId="6" applyNumberFormat="1" applyFont="1" applyBorder="1" applyAlignment="1">
      <alignment horizontal="left" vertical="top"/>
    </xf>
    <xf numFmtId="0" fontId="8" fillId="0" borderId="0" xfId="6" applyFont="1" applyFill="1" applyBorder="1" applyAlignment="1">
      <alignment vertical="top" wrapText="1"/>
    </xf>
    <xf numFmtId="4" fontId="6" fillId="0" borderId="0" xfId="2" applyNumberFormat="1" applyFont="1" applyFill="1" applyBorder="1" applyAlignment="1">
      <alignment vertical="top"/>
    </xf>
    <xf numFmtId="0" fontId="6" fillId="0" borderId="0" xfId="6" applyFont="1" applyBorder="1" applyAlignment="1">
      <alignment horizontal="left" vertical="top" wrapText="1"/>
    </xf>
    <xf numFmtId="0" fontId="8" fillId="0" borderId="0" xfId="6" applyFont="1" applyFill="1" applyBorder="1" applyAlignment="1">
      <alignment horizontal="right" vertical="top"/>
    </xf>
    <xf numFmtId="2" fontId="49" fillId="0" borderId="0" xfId="6" applyNumberFormat="1" applyFont="1" applyFill="1" applyBorder="1" applyAlignment="1">
      <alignment horizontal="left" vertical="top"/>
    </xf>
    <xf numFmtId="2" fontId="6" fillId="0" borderId="0" xfId="6" applyNumberFormat="1" applyFont="1" applyBorder="1" applyAlignment="1">
      <alignment horizontal="left" vertical="top"/>
    </xf>
    <xf numFmtId="4" fontId="6" fillId="0" borderId="0" xfId="2" applyNumberFormat="1" applyFont="1" applyBorder="1" applyAlignment="1">
      <alignment vertical="top"/>
    </xf>
    <xf numFmtId="2" fontId="7" fillId="0" borderId="0" xfId="6" applyNumberFormat="1" applyFont="1" applyFill="1" applyBorder="1" applyAlignment="1">
      <alignment horizontal="left" vertical="top"/>
    </xf>
    <xf numFmtId="2" fontId="6" fillId="0" borderId="0" xfId="6" applyNumberFormat="1" applyFont="1" applyFill="1" applyBorder="1" applyAlignment="1">
      <alignment horizontal="left" vertical="top"/>
    </xf>
    <xf numFmtId="0" fontId="6" fillId="0" borderId="0" xfId="6" applyFont="1" applyBorder="1" applyAlignment="1">
      <alignment vertical="top" wrapText="1"/>
    </xf>
    <xf numFmtId="3" fontId="6" fillId="0" borderId="0" xfId="6" applyNumberFormat="1" applyFont="1" applyBorder="1" applyAlignment="1">
      <alignment vertical="top"/>
    </xf>
    <xf numFmtId="2" fontId="6" fillId="0" borderId="0" xfId="6" applyNumberFormat="1" applyFont="1" applyBorder="1" applyAlignment="1">
      <alignment horizontal="right" vertical="top"/>
    </xf>
    <xf numFmtId="49" fontId="46" fillId="0" borderId="0" xfId="6" applyNumberFormat="1" applyFont="1" applyBorder="1" applyAlignment="1">
      <alignment vertical="top"/>
    </xf>
    <xf numFmtId="0" fontId="46" fillId="0" borderId="0" xfId="6" applyFont="1" applyBorder="1" applyAlignment="1">
      <alignment horizontal="center" vertical="top" wrapText="1"/>
    </xf>
    <xf numFmtId="4" fontId="46" fillId="0" borderId="0" xfId="6" applyNumberFormat="1" applyFont="1" applyBorder="1" applyAlignment="1">
      <alignment vertical="top"/>
    </xf>
    <xf numFmtId="0" fontId="46" fillId="0" borderId="0" xfId="6" applyFont="1" applyBorder="1" applyAlignment="1">
      <alignment horizontal="center" wrapText="1"/>
    </xf>
    <xf numFmtId="0" fontId="46" fillId="0" borderId="0" xfId="6" applyFont="1" applyBorder="1" applyAlignment="1"/>
    <xf numFmtId="0" fontId="47" fillId="0" borderId="0" xfId="6" applyFont="1" applyBorder="1" applyAlignment="1">
      <alignment horizontal="center"/>
    </xf>
    <xf numFmtId="49" fontId="6" fillId="0" borderId="0" xfId="6" applyNumberFormat="1" applyFont="1" applyAlignment="1">
      <alignment vertical="top"/>
    </xf>
    <xf numFmtId="0" fontId="6" fillId="0" borderId="0" xfId="6" applyFont="1" applyAlignment="1">
      <alignment vertical="top" wrapText="1"/>
    </xf>
    <xf numFmtId="0" fontId="19" fillId="0" borderId="6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4" fillId="0" borderId="0" xfId="0" applyFont="1"/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 wrapText="1"/>
    </xf>
    <xf numFmtId="0" fontId="50" fillId="0" borderId="0" xfId="0" applyFont="1" applyAlignment="1">
      <alignment vertical="center"/>
    </xf>
    <xf numFmtId="0" fontId="43" fillId="0" borderId="0" xfId="0" applyFont="1"/>
    <xf numFmtId="49" fontId="14" fillId="0" borderId="55" xfId="0" applyNumberFormat="1" applyFont="1" applyBorder="1" applyAlignment="1">
      <alignment horizontal="center"/>
    </xf>
    <xf numFmtId="4" fontId="14" fillId="0" borderId="55" xfId="0" applyNumberFormat="1" applyFont="1" applyBorder="1"/>
    <xf numFmtId="0" fontId="19" fillId="0" borderId="55" xfId="0" applyFont="1" applyBorder="1"/>
    <xf numFmtId="4" fontId="14" fillId="0" borderId="55" xfId="0" applyNumberFormat="1" applyFont="1" applyBorder="1" applyAlignment="1">
      <alignment vertical="center"/>
    </xf>
    <xf numFmtId="4" fontId="14" fillId="0" borderId="56" xfId="0" applyNumberFormat="1" applyFont="1" applyBorder="1" applyAlignment="1">
      <alignment vertical="center"/>
    </xf>
    <xf numFmtId="0" fontId="14" fillId="0" borderId="55" xfId="0" applyFont="1" applyBorder="1" applyAlignment="1">
      <alignment wrapText="1"/>
    </xf>
    <xf numFmtId="0" fontId="19" fillId="0" borderId="65" xfId="0" applyFont="1" applyBorder="1"/>
    <xf numFmtId="49" fontId="14" fillId="0" borderId="55" xfId="0" applyNumberFormat="1" applyFont="1" applyBorder="1" applyAlignment="1">
      <alignment horizontal="center" vertical="top"/>
    </xf>
    <xf numFmtId="4" fontId="19" fillId="0" borderId="15" xfId="0" applyNumberFormat="1" applyFont="1" applyBorder="1"/>
    <xf numFmtId="0" fontId="14" fillId="0" borderId="65" xfId="0" applyFont="1" applyBorder="1" applyAlignment="1">
      <alignment wrapText="1"/>
    </xf>
    <xf numFmtId="0" fontId="19" fillId="0" borderId="16" xfId="0" applyFont="1" applyBorder="1"/>
    <xf numFmtId="0" fontId="19" fillId="0" borderId="0" xfId="0" applyFont="1"/>
    <xf numFmtId="0" fontId="50" fillId="0" borderId="0" xfId="0" applyFont="1"/>
    <xf numFmtId="0" fontId="19" fillId="0" borderId="67" xfId="0" applyFont="1" applyBorder="1" applyAlignment="1">
      <alignment horizontal="center"/>
    </xf>
    <xf numFmtId="0" fontId="19" fillId="0" borderId="67" xfId="0" applyFont="1" applyBorder="1"/>
    <xf numFmtId="4" fontId="19" fillId="0" borderId="67" xfId="0" applyNumberFormat="1" applyFont="1" applyBorder="1"/>
    <xf numFmtId="49" fontId="14" fillId="0" borderId="65" xfId="0" applyNumberFormat="1" applyFont="1" applyBorder="1" applyAlignment="1">
      <alignment horizontal="center" vertical="top"/>
    </xf>
    <xf numFmtId="0" fontId="19" fillId="0" borderId="68" xfId="0" applyFont="1" applyBorder="1"/>
    <xf numFmtId="4" fontId="14" fillId="0" borderId="0" xfId="0" applyNumberFormat="1" applyFont="1"/>
    <xf numFmtId="4" fontId="14" fillId="0" borderId="69" xfId="0" applyNumberFormat="1" applyFont="1" applyBorder="1"/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right" vertical="center" wrapText="1"/>
    </xf>
    <xf numFmtId="0" fontId="14" fillId="0" borderId="10" xfId="0" applyFont="1" applyFill="1" applyBorder="1" applyAlignment="1">
      <alignment horizontal="right" vertical="center" wrapText="1"/>
    </xf>
    <xf numFmtId="0" fontId="14" fillId="0" borderId="1" xfId="0" applyFont="1" applyBorder="1" applyAlignment="1">
      <alignment horizontal="right" vertical="center" wrapText="1"/>
    </xf>
    <xf numFmtId="0" fontId="52" fillId="0" borderId="1" xfId="0" applyFont="1" applyBorder="1" applyAlignment="1">
      <alignment vertical="center" wrapText="1"/>
    </xf>
    <xf numFmtId="0" fontId="52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right" vertical="center" wrapText="1"/>
    </xf>
    <xf numFmtId="0" fontId="14" fillId="0" borderId="1" xfId="0" applyFont="1" applyFill="1" applyBorder="1" applyAlignment="1">
      <alignment horizontal="right" vertical="center" wrapText="1"/>
    </xf>
    <xf numFmtId="0" fontId="14" fillId="0" borderId="2" xfId="0" applyFont="1" applyFill="1" applyBorder="1" applyAlignment="1">
      <alignment horizontal="right" vertical="center" wrapText="1"/>
    </xf>
    <xf numFmtId="0" fontId="14" fillId="0" borderId="12" xfId="0" applyFont="1" applyBorder="1" applyAlignment="1">
      <alignment wrapText="1"/>
    </xf>
    <xf numFmtId="0" fontId="14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2" fontId="14" fillId="0" borderId="1" xfId="0" applyNumberFormat="1" applyFont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right" vertical="center" wrapText="1"/>
    </xf>
    <xf numFmtId="2" fontId="14" fillId="0" borderId="1" xfId="0" applyNumberFormat="1" applyFont="1" applyBorder="1" applyAlignment="1">
      <alignment horizontal="right" vertical="center" wrapText="1"/>
    </xf>
    <xf numFmtId="49" fontId="19" fillId="0" borderId="43" xfId="0" applyNumberFormat="1" applyFont="1" applyBorder="1" applyAlignment="1">
      <alignment horizontal="center" vertical="center"/>
    </xf>
    <xf numFmtId="49" fontId="7" fillId="0" borderId="0" xfId="6" applyNumberFormat="1" applyFont="1" applyFill="1" applyBorder="1" applyAlignment="1">
      <alignment horizontal="center" vertical="top"/>
    </xf>
    <xf numFmtId="0" fontId="6" fillId="0" borderId="0" xfId="6" applyFont="1" applyFill="1" applyBorder="1" applyAlignment="1">
      <alignment horizontal="center" vertical="top" wrapText="1"/>
    </xf>
    <xf numFmtId="4" fontId="7" fillId="0" borderId="0" xfId="6" applyNumberFormat="1" applyFont="1" applyFill="1" applyBorder="1" applyAlignment="1">
      <alignment horizontal="center" vertical="top" wrapText="1"/>
    </xf>
    <xf numFmtId="49" fontId="6" fillId="0" borderId="0" xfId="6" applyNumberFormat="1" applyFont="1" applyFill="1" applyBorder="1" applyAlignment="1">
      <alignment horizontal="center" vertical="top"/>
    </xf>
    <xf numFmtId="0" fontId="6" fillId="0" borderId="0" xfId="6" applyFont="1" applyFill="1" applyBorder="1" applyAlignment="1">
      <alignment vertical="top"/>
    </xf>
    <xf numFmtId="49" fontId="6" fillId="0" borderId="0" xfId="6" applyNumberFormat="1" applyFont="1" applyFill="1" applyBorder="1" applyAlignment="1">
      <alignment vertical="top"/>
    </xf>
    <xf numFmtId="0" fontId="6" fillId="0" borderId="0" xfId="6" applyFont="1" applyFill="1" applyBorder="1" applyAlignment="1">
      <alignment vertical="top" wrapText="1"/>
    </xf>
    <xf numFmtId="2" fontId="6" fillId="0" borderId="0" xfId="6" applyNumberFormat="1" applyFont="1" applyFill="1" applyBorder="1" applyAlignment="1">
      <alignment horizontal="left" vertical="top" wrapText="1"/>
    </xf>
    <xf numFmtId="0" fontId="6" fillId="0" borderId="0" xfId="6" applyFont="1" applyFill="1" applyBorder="1" applyAlignment="1">
      <alignment horizontal="left" vertical="top" wrapText="1"/>
    </xf>
    <xf numFmtId="165" fontId="6" fillId="0" borderId="0" xfId="2" applyNumberFormat="1" applyFont="1" applyFill="1" applyBorder="1" applyAlignment="1">
      <alignment vertical="top"/>
    </xf>
    <xf numFmtId="0" fontId="6" fillId="0" borderId="0" xfId="6" applyFont="1" applyFill="1" applyBorder="1" applyAlignment="1">
      <alignment horizontal="right" vertical="top" wrapText="1"/>
    </xf>
    <xf numFmtId="4" fontId="7" fillId="0" borderId="0" xfId="6" applyNumberFormat="1" applyFont="1" applyFill="1" applyBorder="1" applyAlignment="1">
      <alignment horizontal="right" vertical="top" wrapText="1"/>
    </xf>
    <xf numFmtId="0" fontId="6" fillId="0" borderId="0" xfId="6" applyNumberFormat="1" applyFont="1" applyFill="1" applyBorder="1" applyAlignment="1">
      <alignment horizontal="left" vertical="top"/>
    </xf>
    <xf numFmtId="4" fontId="48" fillId="0" borderId="0" xfId="2" applyNumberFormat="1" applyFont="1" applyFill="1" applyBorder="1" applyAlignment="1">
      <alignment vertical="top"/>
    </xf>
    <xf numFmtId="0" fontId="10" fillId="0" borderId="0" xfId="0" applyFont="1"/>
    <xf numFmtId="0" fontId="12" fillId="0" borderId="0" xfId="0" applyFont="1"/>
    <xf numFmtId="0" fontId="10" fillId="0" borderId="10" xfId="0" applyFont="1" applyBorder="1"/>
    <xf numFmtId="0" fontId="10" fillId="0" borderId="11" xfId="0" applyFont="1" applyBorder="1"/>
    <xf numFmtId="2" fontId="10" fillId="0" borderId="12" xfId="0" applyNumberFormat="1" applyFont="1" applyBorder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" fontId="10" fillId="0" borderId="0" xfId="0" applyNumberFormat="1" applyFont="1" applyBorder="1" applyAlignment="1">
      <alignment horizontal="right" vertical="center"/>
    </xf>
    <xf numFmtId="0" fontId="10" fillId="0" borderId="5" xfId="0" applyFont="1" applyBorder="1" applyAlignment="1">
      <alignment horizontal="right"/>
    </xf>
    <xf numFmtId="4" fontId="10" fillId="0" borderId="0" xfId="0" applyNumberFormat="1" applyFont="1" applyBorder="1"/>
    <xf numFmtId="0" fontId="1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right"/>
    </xf>
    <xf numFmtId="9" fontId="18" fillId="0" borderId="1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4" fontId="18" fillId="0" borderId="11" xfId="0" applyNumberFormat="1" applyFont="1" applyBorder="1" applyAlignment="1">
      <alignment horizontal="right"/>
    </xf>
    <xf numFmtId="4" fontId="10" fillId="0" borderId="12" xfId="0" applyNumberFormat="1" applyFont="1" applyBorder="1" applyAlignment="1">
      <alignment horizontal="right" vertical="center"/>
    </xf>
    <xf numFmtId="2" fontId="10" fillId="0" borderId="11" xfId="0" applyNumberFormat="1" applyFont="1" applyBorder="1"/>
    <xf numFmtId="0" fontId="14" fillId="0" borderId="70" xfId="0" applyFont="1" applyBorder="1"/>
    <xf numFmtId="0" fontId="14" fillId="0" borderId="59" xfId="0" applyFont="1" applyBorder="1"/>
    <xf numFmtId="49" fontId="14" fillId="0" borderId="65" xfId="0" applyNumberFormat="1" applyFont="1" applyBorder="1" applyAlignment="1">
      <alignment horizontal="center"/>
    </xf>
    <xf numFmtId="0" fontId="14" fillId="0" borderId="68" xfId="0" applyFont="1" applyBorder="1"/>
    <xf numFmtId="0" fontId="19" fillId="0" borderId="72" xfId="0" applyFont="1" applyBorder="1" applyAlignment="1">
      <alignment wrapText="1"/>
    </xf>
    <xf numFmtId="49" fontId="19" fillId="0" borderId="56" xfId="0" applyNumberFormat="1" applyFont="1" applyBorder="1" applyAlignment="1">
      <alignment horizontal="center" vertical="center"/>
    </xf>
    <xf numFmtId="0" fontId="14" fillId="0" borderId="70" xfId="0" applyFont="1" applyBorder="1" applyAlignment="1">
      <alignment wrapText="1"/>
    </xf>
    <xf numFmtId="0" fontId="19" fillId="0" borderId="59" xfId="0" applyFont="1" applyBorder="1"/>
    <xf numFmtId="0" fontId="14" fillId="0" borderId="6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14" fillId="0" borderId="70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 wrapText="1"/>
    </xf>
    <xf numFmtId="0" fontId="14" fillId="0" borderId="71" xfId="0" applyFont="1" applyBorder="1"/>
    <xf numFmtId="9" fontId="19" fillId="0" borderId="16" xfId="0" applyNumberFormat="1" applyFont="1" applyBorder="1"/>
    <xf numFmtId="4" fontId="14" fillId="0" borderId="65" xfId="0" applyNumberFormat="1" applyFont="1" applyBorder="1"/>
    <xf numFmtId="4" fontId="19" fillId="0" borderId="43" xfId="0" applyNumberFormat="1" applyFont="1" applyBorder="1" applyAlignment="1">
      <alignment vertical="center"/>
    </xf>
    <xf numFmtId="0" fontId="14" fillId="0" borderId="73" xfId="0" applyFont="1" applyBorder="1" applyAlignment="1">
      <alignment horizontal="center" vertical="center"/>
    </xf>
    <xf numFmtId="0" fontId="19" fillId="0" borderId="72" xfId="0" applyFont="1" applyBorder="1" applyAlignment="1">
      <alignment horizontal="center" vertical="center"/>
    </xf>
    <xf numFmtId="0" fontId="19" fillId="5" borderId="15" xfId="0" applyFont="1" applyFill="1" applyBorder="1" applyAlignment="1">
      <alignment horizontal="center" wrapText="1"/>
    </xf>
    <xf numFmtId="0" fontId="19" fillId="5" borderId="15" xfId="0" applyFont="1" applyFill="1" applyBorder="1" applyAlignment="1">
      <alignment horizontal="center" vertical="center" wrapText="1"/>
    </xf>
    <xf numFmtId="0" fontId="19" fillId="5" borderId="69" xfId="0" applyFont="1" applyFill="1" applyBorder="1" applyAlignment="1">
      <alignment horizontal="center"/>
    </xf>
    <xf numFmtId="0" fontId="19" fillId="5" borderId="71" xfId="0" applyFont="1" applyFill="1" applyBorder="1"/>
    <xf numFmtId="0" fontId="14" fillId="5" borderId="40" xfId="0" applyFont="1" applyFill="1" applyBorder="1"/>
    <xf numFmtId="4" fontId="19" fillId="5" borderId="66" xfId="0" applyNumberFormat="1" applyFont="1" applyFill="1" applyBorder="1"/>
    <xf numFmtId="0" fontId="19" fillId="5" borderId="65" xfId="0" applyFont="1" applyFill="1" applyBorder="1" applyAlignment="1">
      <alignment horizontal="center"/>
    </xf>
    <xf numFmtId="0" fontId="19" fillId="5" borderId="68" xfId="0" applyFont="1" applyFill="1" applyBorder="1"/>
    <xf numFmtId="0" fontId="14" fillId="5" borderId="68" xfId="0" applyFont="1" applyFill="1" applyBorder="1"/>
    <xf numFmtId="4" fontId="19" fillId="5" borderId="65" xfId="0" applyNumberFormat="1" applyFont="1" applyFill="1" applyBorder="1"/>
    <xf numFmtId="0" fontId="22" fillId="5" borderId="13" xfId="11" applyFont="1" applyFill="1" applyBorder="1" applyAlignment="1">
      <alignment horizontal="center" vertical="center" wrapText="1"/>
    </xf>
    <xf numFmtId="0" fontId="23" fillId="5" borderId="1" xfId="13" applyFont="1" applyFill="1" applyBorder="1" applyAlignment="1">
      <alignment horizontal="center" vertical="center" wrapText="1"/>
    </xf>
    <xf numFmtId="0" fontId="31" fillId="5" borderId="1" xfId="13" applyFont="1" applyFill="1" applyBorder="1" applyAlignment="1">
      <alignment horizontal="center" vertical="center"/>
    </xf>
    <xf numFmtId="49" fontId="26" fillId="5" borderId="1" xfId="11" applyNumberFormat="1" applyFont="1" applyFill="1" applyBorder="1" applyAlignment="1">
      <alignment horizontal="center" vertical="center"/>
    </xf>
    <xf numFmtId="0" fontId="26" fillId="5" borderId="1" xfId="11" applyFont="1" applyFill="1" applyBorder="1" applyAlignment="1">
      <alignment horizontal="center" vertical="center" wrapText="1"/>
    </xf>
    <xf numFmtId="0" fontId="26" fillId="5" borderId="1" xfId="11" applyFont="1" applyFill="1" applyBorder="1" applyAlignment="1">
      <alignment horizontal="center" vertical="center"/>
    </xf>
    <xf numFmtId="0" fontId="22" fillId="5" borderId="13" xfId="14" applyFont="1" applyFill="1" applyBorder="1" applyAlignment="1">
      <alignment horizontal="center" vertical="center" wrapText="1"/>
    </xf>
    <xf numFmtId="49" fontId="26" fillId="5" borderId="1" xfId="14" applyNumberFormat="1" applyFont="1" applyFill="1" applyBorder="1" applyAlignment="1">
      <alignment horizontal="center" vertical="center"/>
    </xf>
    <xf numFmtId="0" fontId="26" fillId="5" borderId="1" xfId="14" applyFont="1" applyFill="1" applyBorder="1" applyAlignment="1">
      <alignment horizontal="center" vertical="center" wrapText="1"/>
    </xf>
    <xf numFmtId="0" fontId="26" fillId="5" borderId="1" xfId="14" applyFont="1" applyFill="1" applyBorder="1" applyAlignment="1">
      <alignment horizontal="center" vertical="center"/>
    </xf>
    <xf numFmtId="0" fontId="22" fillId="5" borderId="1" xfId="14" applyNumberFormat="1" applyFont="1" applyFill="1" applyBorder="1" applyAlignment="1">
      <alignment horizontal="center" vertical="center"/>
    </xf>
    <xf numFmtId="0" fontId="37" fillId="5" borderId="14" xfId="14" applyFont="1" applyFill="1" applyBorder="1" applyAlignment="1">
      <alignment vertical="center"/>
    </xf>
    <xf numFmtId="4" fontId="22" fillId="5" borderId="1" xfId="14" applyNumberFormat="1" applyFont="1" applyFill="1" applyBorder="1" applyAlignment="1">
      <alignment horizontal="center" vertical="center"/>
    </xf>
    <xf numFmtId="0" fontId="0" fillId="5" borderId="0" xfId="0" applyFill="1"/>
    <xf numFmtId="0" fontId="14" fillId="5" borderId="1" xfId="0" applyFont="1" applyFill="1" applyBorder="1" applyAlignment="1">
      <alignment vertical="center" textRotation="90" wrapText="1"/>
    </xf>
    <xf numFmtId="0" fontId="14" fillId="5" borderId="1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6" fillId="5" borderId="62" xfId="15" applyNumberFormat="1" applyFont="1" applyFill="1" applyBorder="1" applyAlignment="1">
      <alignment horizontal="center" vertical="top" wrapText="1"/>
    </xf>
    <xf numFmtId="0" fontId="6" fillId="5" borderId="62" xfId="15" applyNumberFormat="1" applyFill="1" applyBorder="1" applyAlignment="1">
      <alignment horizontal="center" vertical="top" wrapText="1"/>
    </xf>
    <xf numFmtId="49" fontId="6" fillId="5" borderId="62" xfId="15" applyNumberFormat="1" applyFont="1" applyFill="1" applyBorder="1" applyAlignment="1">
      <alignment horizontal="center" wrapText="1"/>
    </xf>
    <xf numFmtId="0" fontId="6" fillId="5" borderId="62" xfId="15" applyNumberFormat="1" applyFont="1" applyFill="1" applyBorder="1" applyAlignment="1">
      <alignment horizontal="center" wrapText="1"/>
    </xf>
    <xf numFmtId="49" fontId="7" fillId="5" borderId="1" xfId="15" applyNumberFormat="1" applyFont="1" applyFill="1" applyBorder="1" applyAlignment="1">
      <alignment horizontal="right" vertical="top" wrapText="1"/>
    </xf>
    <xf numFmtId="0" fontId="7" fillId="5" borderId="1" xfId="15" applyNumberFormat="1" applyFont="1" applyFill="1" applyBorder="1" applyAlignment="1">
      <alignment horizontal="left" vertical="top" wrapText="1"/>
    </xf>
    <xf numFmtId="0" fontId="7" fillId="5" borderId="1" xfId="15" applyNumberFormat="1" applyFont="1" applyFill="1" applyBorder="1" applyAlignment="1">
      <alignment horizontal="right" vertical="top" wrapText="1"/>
    </xf>
    <xf numFmtId="0" fontId="14" fillId="5" borderId="1" xfId="0" applyFont="1" applyFill="1" applyBorder="1" applyAlignment="1">
      <alignment horizontal="center" vertical="center"/>
    </xf>
    <xf numFmtId="0" fontId="12" fillId="0" borderId="0" xfId="0" applyFont="1" applyAlignment="1" applyProtection="1">
      <alignment vertical="center" wrapText="1"/>
      <protection locked="0" hidden="1"/>
    </xf>
    <xf numFmtId="49" fontId="12" fillId="5" borderId="10" xfId="1" applyNumberFormat="1" applyFont="1" applyFill="1" applyBorder="1" applyAlignment="1">
      <alignment vertical="top"/>
    </xf>
    <xf numFmtId="0" fontId="12" fillId="5" borderId="10" xfId="1" applyFont="1" applyFill="1" applyBorder="1" applyAlignment="1">
      <alignment horizontal="center" vertical="top" wrapText="1"/>
    </xf>
    <xf numFmtId="49" fontId="11" fillId="5" borderId="28" xfId="1" applyNumberFormat="1" applyFont="1" applyFill="1" applyBorder="1" applyAlignment="1">
      <alignment horizontal="center" vertical="top"/>
    </xf>
    <xf numFmtId="0" fontId="11" fillId="5" borderId="18" xfId="1" applyFont="1" applyFill="1" applyBorder="1" applyAlignment="1">
      <alignment vertical="top" wrapText="1"/>
    </xf>
    <xf numFmtId="49" fontId="11" fillId="5" borderId="44" xfId="1" applyNumberFormat="1" applyFont="1" applyFill="1" applyBorder="1" applyAlignment="1">
      <alignment horizontal="center" vertical="top"/>
    </xf>
    <xf numFmtId="0" fontId="11" fillId="5" borderId="45" xfId="1" applyFont="1" applyFill="1" applyBorder="1" applyAlignment="1">
      <alignment horizontal="center" vertical="top" wrapText="1"/>
    </xf>
    <xf numFmtId="0" fontId="12" fillId="5" borderId="31" xfId="1" applyFont="1" applyFill="1" applyBorder="1" applyAlignment="1">
      <alignment horizontal="center" vertical="top" wrapText="1"/>
    </xf>
    <xf numFmtId="4" fontId="11" fillId="5" borderId="27" xfId="2" applyNumberFormat="1" applyFont="1" applyFill="1" applyBorder="1" applyAlignment="1">
      <alignment vertical="top"/>
    </xf>
    <xf numFmtId="49" fontId="11" fillId="5" borderId="19" xfId="0" applyNumberFormat="1" applyFont="1" applyFill="1" applyBorder="1" applyAlignment="1">
      <alignment horizontal="center" vertical="top"/>
    </xf>
    <xf numFmtId="4" fontId="12" fillId="5" borderId="21" xfId="2" applyNumberFormat="1" applyFont="1" applyFill="1" applyBorder="1" applyAlignment="1">
      <alignment vertical="top"/>
    </xf>
    <xf numFmtId="49" fontId="11" fillId="5" borderId="19" xfId="0" applyNumberFormat="1" applyFont="1" applyFill="1" applyBorder="1" applyAlignment="1">
      <alignment horizontal="center" vertical="center"/>
    </xf>
    <xf numFmtId="166" fontId="12" fillId="5" borderId="38" xfId="2" applyNumberFormat="1" applyFont="1" applyFill="1" applyBorder="1" applyAlignment="1">
      <alignment vertical="top"/>
    </xf>
    <xf numFmtId="165" fontId="12" fillId="5" borderId="38" xfId="2" applyNumberFormat="1" applyFont="1" applyFill="1" applyBorder="1" applyAlignment="1">
      <alignment vertical="top"/>
    </xf>
    <xf numFmtId="49" fontId="11" fillId="5" borderId="19" xfId="1" applyNumberFormat="1" applyFont="1" applyFill="1" applyBorder="1" applyAlignment="1">
      <alignment horizontal="center" vertical="top"/>
    </xf>
    <xf numFmtId="165" fontId="12" fillId="5" borderId="21" xfId="2" applyNumberFormat="1" applyFont="1" applyFill="1" applyBorder="1" applyAlignment="1">
      <alignment vertical="top"/>
    </xf>
    <xf numFmtId="49" fontId="12" fillId="5" borderId="28" xfId="1" applyNumberFormat="1" applyFont="1" applyFill="1" applyBorder="1" applyAlignment="1">
      <alignment vertical="top"/>
    </xf>
    <xf numFmtId="0" fontId="12" fillId="5" borderId="27" xfId="1" applyFont="1" applyFill="1" applyBorder="1" applyAlignment="1">
      <alignment horizontal="center" vertical="top" wrapText="1"/>
    </xf>
    <xf numFmtId="49" fontId="7" fillId="5" borderId="44" xfId="0" applyNumberFormat="1" applyFont="1" applyFill="1" applyBorder="1" applyAlignment="1">
      <alignment horizontal="center" vertical="top"/>
    </xf>
    <xf numFmtId="0" fontId="7" fillId="5" borderId="54" xfId="0" applyFont="1" applyFill="1" applyBorder="1" applyAlignment="1">
      <alignment vertical="top" wrapText="1"/>
    </xf>
    <xf numFmtId="0" fontId="6" fillId="5" borderId="45" xfId="0" applyFont="1" applyFill="1" applyBorder="1" applyAlignment="1">
      <alignment horizontal="center" vertical="top" wrapText="1"/>
    </xf>
    <xf numFmtId="0" fontId="6" fillId="5" borderId="46" xfId="0" applyFont="1" applyFill="1" applyBorder="1" applyAlignment="1">
      <alignment horizontal="center" vertical="top" wrapText="1"/>
    </xf>
    <xf numFmtId="0" fontId="6" fillId="5" borderId="54" xfId="0" applyFont="1" applyFill="1" applyBorder="1" applyAlignment="1">
      <alignment horizontal="center" vertical="top" wrapText="1"/>
    </xf>
    <xf numFmtId="0" fontId="0" fillId="5" borderId="18" xfId="0" applyFill="1" applyBorder="1" applyAlignment="1">
      <alignment horizontal="center" vertical="top" wrapText="1"/>
    </xf>
    <xf numFmtId="49" fontId="7" fillId="5" borderId="48" xfId="0" applyNumberFormat="1" applyFont="1" applyFill="1" applyBorder="1" applyAlignment="1">
      <alignment horizontal="center" vertical="top"/>
    </xf>
    <xf numFmtId="0" fontId="7" fillId="5" borderId="0" xfId="0" applyFont="1" applyFill="1" applyBorder="1" applyAlignment="1">
      <alignment horizontal="left" vertical="top" wrapText="1"/>
    </xf>
    <xf numFmtId="0" fontId="6" fillId="5" borderId="7" xfId="0" applyFont="1" applyFill="1" applyBorder="1" applyAlignment="1">
      <alignment horizontal="right" vertical="top"/>
    </xf>
    <xf numFmtId="9" fontId="6" fillId="5" borderId="3" xfId="0" applyNumberFormat="1" applyFont="1" applyFill="1" applyBorder="1" applyAlignment="1">
      <alignment horizontal="left" vertical="top"/>
    </xf>
    <xf numFmtId="2" fontId="6" fillId="5" borderId="0" xfId="2" applyNumberFormat="1" applyFont="1" applyFill="1" applyBorder="1" applyAlignment="1">
      <alignment horizontal="right" vertical="top"/>
    </xf>
    <xf numFmtId="165" fontId="6" fillId="5" borderId="38" xfId="2" applyNumberFormat="1" applyFont="1" applyFill="1" applyBorder="1" applyAlignment="1">
      <alignment vertical="top"/>
    </xf>
    <xf numFmtId="0" fontId="7" fillId="5" borderId="45" xfId="0" applyFont="1" applyFill="1" applyBorder="1" applyAlignment="1">
      <alignment horizontal="left" vertical="top" wrapText="1"/>
    </xf>
    <xf numFmtId="0" fontId="6" fillId="5" borderId="45" xfId="0" applyFont="1" applyFill="1" applyBorder="1" applyAlignment="1">
      <alignment horizontal="right" vertical="top"/>
    </xf>
    <xf numFmtId="9" fontId="6" fillId="5" borderId="46" xfId="0" applyNumberFormat="1" applyFont="1" applyFill="1" applyBorder="1" applyAlignment="1">
      <alignment horizontal="left" vertical="top"/>
    </xf>
    <xf numFmtId="2" fontId="6" fillId="5" borderId="17" xfId="2" applyNumberFormat="1" applyFont="1" applyFill="1" applyBorder="1" applyAlignment="1">
      <alignment horizontal="right" vertical="top"/>
    </xf>
    <xf numFmtId="165" fontId="6" fillId="5" borderId="52" xfId="2" applyNumberFormat="1" applyFont="1" applyFill="1" applyBorder="1" applyAlignment="1">
      <alignment vertical="top"/>
    </xf>
    <xf numFmtId="0" fontId="7" fillId="5" borderId="17" xfId="0" applyFont="1" applyFill="1" applyBorder="1" applyAlignment="1">
      <alignment horizontal="left" vertical="top"/>
    </xf>
    <xf numFmtId="0" fontId="6" fillId="5" borderId="50" xfId="0" applyFont="1" applyFill="1" applyBorder="1" applyAlignment="1">
      <alignment horizontal="right" vertical="top"/>
    </xf>
    <xf numFmtId="4" fontId="14" fillId="0" borderId="55" xfId="0" applyNumberFormat="1" applyFont="1" applyBorder="1" applyAlignment="1">
      <alignment horizontal="right" vertical="center"/>
    </xf>
    <xf numFmtId="4" fontId="19" fillId="0" borderId="43" xfId="0" applyNumberFormat="1" applyFont="1" applyBorder="1"/>
    <xf numFmtId="0" fontId="14" fillId="0" borderId="0" xfId="0" applyFont="1" applyAlignment="1">
      <alignment vertical="center"/>
    </xf>
    <xf numFmtId="0" fontId="6" fillId="0" borderId="36" xfId="0" applyFont="1" applyFill="1" applyBorder="1" applyAlignment="1">
      <alignment horizontal="left" vertical="top" wrapText="1"/>
    </xf>
    <xf numFmtId="0" fontId="8" fillId="0" borderId="42" xfId="0" applyFont="1" applyFill="1" applyBorder="1" applyAlignment="1">
      <alignment horizontal="left" vertical="top" wrapText="1"/>
    </xf>
    <xf numFmtId="2" fontId="6" fillId="0" borderId="36" xfId="0" applyNumberFormat="1" applyFont="1" applyFill="1" applyBorder="1" applyAlignment="1">
      <alignment horizontal="right"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2" fontId="6" fillId="0" borderId="7" xfId="0" applyNumberFormat="1" applyFont="1" applyFill="1" applyBorder="1" applyAlignment="1">
      <alignment horizontal="left" vertical="top"/>
    </xf>
    <xf numFmtId="0" fontId="6" fillId="0" borderId="50" xfId="0" applyFont="1" applyFill="1" applyBorder="1" applyAlignment="1">
      <alignment horizontal="right" vertical="top"/>
    </xf>
    <xf numFmtId="9" fontId="6" fillId="0" borderId="51" xfId="0" applyNumberFormat="1" applyFont="1" applyFill="1" applyBorder="1" applyAlignment="1">
      <alignment horizontal="left" vertical="top"/>
    </xf>
    <xf numFmtId="2" fontId="6" fillId="0" borderId="51" xfId="2" applyNumberFormat="1" applyFont="1" applyFill="1" applyBorder="1" applyAlignment="1">
      <alignment horizontal="right" vertical="top"/>
    </xf>
    <xf numFmtId="2" fontId="6" fillId="0" borderId="50" xfId="2" applyNumberFormat="1" applyFont="1" applyFill="1" applyBorder="1" applyAlignment="1">
      <alignment horizontal="right" vertical="top"/>
    </xf>
    <xf numFmtId="49" fontId="11" fillId="0" borderId="1" xfId="1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9" fontId="6" fillId="0" borderId="1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4" fontId="6" fillId="0" borderId="1" xfId="2" applyNumberFormat="1" applyFont="1" applyFill="1" applyBorder="1" applyAlignment="1">
      <alignment vertical="top"/>
    </xf>
    <xf numFmtId="2" fontId="6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2" fontId="7" fillId="0" borderId="1" xfId="0" applyNumberFormat="1" applyFont="1" applyFill="1" applyBorder="1" applyAlignment="1">
      <alignment horizontal="left" vertical="top"/>
    </xf>
    <xf numFmtId="2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right" vertical="top" wrapText="1"/>
    </xf>
    <xf numFmtId="2" fontId="6" fillId="0" borderId="1" xfId="2" applyNumberFormat="1" applyFont="1" applyFill="1" applyBorder="1" applyAlignment="1">
      <alignment horizontal="right" vertical="top"/>
    </xf>
    <xf numFmtId="0" fontId="6" fillId="0" borderId="42" xfId="0" applyFont="1" applyFill="1" applyBorder="1" applyAlignment="1">
      <alignment horizontal="left" vertical="top" wrapText="1"/>
    </xf>
    <xf numFmtId="2" fontId="7" fillId="0" borderId="36" xfId="0" applyNumberFormat="1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4" fontId="6" fillId="0" borderId="11" xfId="0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top" wrapText="1"/>
    </xf>
    <xf numFmtId="0" fontId="6" fillId="0" borderId="11" xfId="0" applyFont="1" applyFill="1" applyBorder="1" applyAlignment="1">
      <alignment horizontal="left" vertical="center"/>
    </xf>
    <xf numFmtId="0" fontId="6" fillId="0" borderId="49" xfId="0" applyFont="1" applyFill="1" applyBorder="1" applyAlignment="1">
      <alignment horizontal="right" vertical="center"/>
    </xf>
    <xf numFmtId="4" fontId="6" fillId="0" borderId="49" xfId="0" applyNumberFormat="1" applyFont="1" applyFill="1" applyBorder="1" applyAlignment="1">
      <alignment horizontal="right" vertical="center"/>
    </xf>
    <xf numFmtId="0" fontId="6" fillId="0" borderId="50" xfId="0" applyFont="1" applyFill="1" applyBorder="1" applyAlignment="1">
      <alignment horizontal="center" vertical="top" wrapText="1"/>
    </xf>
    <xf numFmtId="49" fontId="6" fillId="0" borderId="47" xfId="0" applyNumberFormat="1" applyFont="1" applyFill="1" applyBorder="1" applyAlignment="1">
      <alignment horizontal="center" vertical="center"/>
    </xf>
    <xf numFmtId="49" fontId="6" fillId="0" borderId="48" xfId="0" applyNumberFormat="1" applyFont="1" applyFill="1" applyBorder="1" applyAlignment="1">
      <alignment horizontal="center" vertical="center"/>
    </xf>
    <xf numFmtId="49" fontId="7" fillId="0" borderId="47" xfId="0" applyNumberFormat="1" applyFont="1" applyFill="1" applyBorder="1" applyAlignment="1">
      <alignment horizontal="center" vertical="top"/>
    </xf>
    <xf numFmtId="0" fontId="8" fillId="0" borderId="42" xfId="0" applyFont="1" applyFill="1" applyBorder="1" applyAlignment="1">
      <alignment vertical="top" wrapText="1"/>
    </xf>
    <xf numFmtId="2" fontId="6" fillId="0" borderId="3" xfId="0" applyNumberFormat="1" applyFont="1" applyFill="1" applyBorder="1" applyAlignment="1">
      <alignment horizontal="left"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left" vertical="top"/>
    </xf>
    <xf numFmtId="2" fontId="7" fillId="0" borderId="50" xfId="2" applyNumberFormat="1" applyFont="1" applyFill="1" applyBorder="1" applyAlignment="1">
      <alignment horizontal="right" vertical="top"/>
    </xf>
    <xf numFmtId="0" fontId="6" fillId="0" borderId="42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49" fontId="6" fillId="0" borderId="44" xfId="0" applyNumberFormat="1" applyFont="1" applyFill="1" applyBorder="1" applyAlignment="1">
      <alignment horizontal="center" vertical="top"/>
    </xf>
    <xf numFmtId="0" fontId="6" fillId="0" borderId="17" xfId="0" applyFont="1" applyFill="1" applyBorder="1" applyAlignment="1">
      <alignment vertical="top" wrapText="1"/>
    </xf>
    <xf numFmtId="0" fontId="6" fillId="0" borderId="45" xfId="0" applyFont="1" applyFill="1" applyBorder="1" applyAlignment="1">
      <alignment horizontal="right" vertical="top"/>
    </xf>
    <xf numFmtId="9" fontId="6" fillId="0" borderId="46" xfId="0" applyNumberFormat="1" applyFont="1" applyFill="1" applyBorder="1" applyAlignment="1">
      <alignment horizontal="left" vertical="top"/>
    </xf>
    <xf numFmtId="2" fontId="6" fillId="0" borderId="46" xfId="2" applyNumberFormat="1" applyFont="1" applyFill="1" applyBorder="1" applyAlignment="1">
      <alignment horizontal="right" vertical="top"/>
    </xf>
    <xf numFmtId="2" fontId="7" fillId="0" borderId="45" xfId="2" applyNumberFormat="1" applyFont="1" applyFill="1" applyBorder="1" applyAlignment="1">
      <alignment horizontal="right" vertical="top"/>
    </xf>
    <xf numFmtId="0" fontId="6" fillId="0" borderId="3" xfId="0" applyFont="1" applyFill="1" applyBorder="1" applyAlignment="1">
      <alignment vertical="top" wrapText="1"/>
    </xf>
    <xf numFmtId="0" fontId="11" fillId="5" borderId="52" xfId="1" applyFont="1" applyFill="1" applyBorder="1" applyAlignment="1">
      <alignment horizontal="center" vertical="top" wrapText="1"/>
    </xf>
    <xf numFmtId="49" fontId="19" fillId="0" borderId="69" xfId="0" applyNumberFormat="1" applyFont="1" applyBorder="1" applyAlignment="1">
      <alignment horizontal="center" vertical="center"/>
    </xf>
    <xf numFmtId="4" fontId="14" fillId="0" borderId="56" xfId="0" applyNumberFormat="1" applyFont="1" applyBorder="1"/>
    <xf numFmtId="0" fontId="19" fillId="0" borderId="16" xfId="0" applyFont="1" applyBorder="1" applyAlignment="1">
      <alignment wrapText="1"/>
    </xf>
    <xf numFmtId="0" fontId="19" fillId="0" borderId="16" xfId="0" applyFont="1" applyBorder="1" applyAlignment="1">
      <alignment horizontal="center" vertical="center"/>
    </xf>
    <xf numFmtId="4" fontId="19" fillId="0" borderId="15" xfId="0" applyNumberFormat="1" applyFont="1" applyBorder="1" applyAlignment="1">
      <alignment vertical="center"/>
    </xf>
    <xf numFmtId="0" fontId="14" fillId="0" borderId="70" xfId="0" applyFont="1" applyBorder="1" applyAlignment="1">
      <alignment vertical="top" wrapText="1"/>
    </xf>
    <xf numFmtId="0" fontId="12" fillId="0" borderId="0" xfId="0" applyFont="1" applyAlignment="1" applyProtection="1">
      <alignment horizontal="left" vertical="center" wrapText="1"/>
      <protection locked="0" hidden="1"/>
    </xf>
    <xf numFmtId="0" fontId="21" fillId="5" borderId="1" xfId="11" applyFont="1" applyFill="1" applyBorder="1" applyAlignment="1">
      <alignment horizontal="center" vertical="center"/>
    </xf>
    <xf numFmtId="0" fontId="21" fillId="5" borderId="10" xfId="11" applyFont="1" applyFill="1" applyBorder="1" applyAlignment="1">
      <alignment horizontal="center" vertical="center"/>
    </xf>
    <xf numFmtId="0" fontId="21" fillId="0" borderId="0" xfId="11" applyFont="1" applyBorder="1" applyAlignment="1">
      <alignment horizontal="center"/>
    </xf>
    <xf numFmtId="0" fontId="21" fillId="0" borderId="0" xfId="11" applyFont="1" applyBorder="1" applyAlignment="1">
      <alignment horizontal="center" vertical="center"/>
    </xf>
    <xf numFmtId="0" fontId="12" fillId="0" borderId="0" xfId="1" applyFont="1" applyBorder="1" applyAlignment="1">
      <alignment horizontal="left" vertical="top" wrapText="1"/>
    </xf>
    <xf numFmtId="0" fontId="24" fillId="0" borderId="9" xfId="11" applyFont="1" applyFill="1" applyBorder="1" applyAlignment="1">
      <alignment horizontal="left" vertical="center" wrapText="1"/>
    </xf>
    <xf numFmtId="0" fontId="25" fillId="0" borderId="9" xfId="11" applyFont="1" applyFill="1" applyBorder="1" applyAlignment="1">
      <alignment horizontal="left" vertical="center" wrapText="1"/>
    </xf>
    <xf numFmtId="49" fontId="22" fillId="5" borderId="10" xfId="11" applyNumberFormat="1" applyFont="1" applyFill="1" applyBorder="1" applyAlignment="1">
      <alignment horizontal="center" vertical="center" wrapText="1"/>
    </xf>
    <xf numFmtId="49" fontId="22" fillId="5" borderId="12" xfId="11" applyNumberFormat="1" applyFont="1" applyFill="1" applyBorder="1" applyAlignment="1">
      <alignment horizontal="center" vertical="center" wrapText="1"/>
    </xf>
    <xf numFmtId="0" fontId="22" fillId="5" borderId="10" xfId="11" applyFont="1" applyFill="1" applyBorder="1" applyAlignment="1">
      <alignment horizontal="center" vertical="center" wrapText="1"/>
    </xf>
    <xf numFmtId="0" fontId="22" fillId="5" borderId="12" xfId="11" applyFont="1" applyFill="1" applyBorder="1" applyAlignment="1">
      <alignment horizontal="center" vertical="center" wrapText="1"/>
    </xf>
    <xf numFmtId="0" fontId="22" fillId="5" borderId="13" xfId="11" applyFont="1" applyFill="1" applyBorder="1" applyAlignment="1">
      <alignment horizontal="center" vertical="center" wrapText="1"/>
    </xf>
    <xf numFmtId="0" fontId="22" fillId="5" borderId="58" xfId="11" applyFont="1" applyFill="1" applyBorder="1" applyAlignment="1">
      <alignment horizontal="center" vertical="center" wrapText="1"/>
    </xf>
    <xf numFmtId="0" fontId="22" fillId="5" borderId="14" xfId="11" applyFont="1" applyFill="1" applyBorder="1" applyAlignment="1">
      <alignment horizontal="center" vertical="center" wrapText="1"/>
    </xf>
    <xf numFmtId="0" fontId="26" fillId="5" borderId="13" xfId="11" applyFont="1" applyFill="1" applyBorder="1" applyAlignment="1">
      <alignment horizontal="center" vertical="center"/>
    </xf>
    <xf numFmtId="0" fontId="26" fillId="5" borderId="58" xfId="11" applyFont="1" applyFill="1" applyBorder="1" applyAlignment="1">
      <alignment horizontal="center" vertical="center"/>
    </xf>
    <xf numFmtId="0" fontId="26" fillId="5" borderId="14" xfId="11" applyFont="1" applyFill="1" applyBorder="1" applyAlignment="1">
      <alignment horizontal="center" vertical="center"/>
    </xf>
    <xf numFmtId="0" fontId="21" fillId="0" borderId="13" xfId="11" applyFont="1" applyFill="1" applyBorder="1" applyAlignment="1">
      <alignment horizontal="left" vertical="center" wrapText="1"/>
    </xf>
    <xf numFmtId="0" fontId="21" fillId="0" borderId="58" xfId="11" applyFont="1" applyFill="1" applyBorder="1" applyAlignment="1">
      <alignment horizontal="left" vertical="center" wrapText="1"/>
    </xf>
    <xf numFmtId="0" fontId="21" fillId="0" borderId="14" xfId="11" applyFont="1" applyFill="1" applyBorder="1" applyAlignment="1">
      <alignment horizontal="left" vertical="center" wrapText="1"/>
    </xf>
    <xf numFmtId="0" fontId="22" fillId="0" borderId="13" xfId="11" quotePrefix="1" applyFont="1" applyFill="1" applyBorder="1" applyAlignment="1">
      <alignment horizontal="left" vertical="center" wrapText="1"/>
    </xf>
    <xf numFmtId="0" fontId="22" fillId="0" borderId="58" xfId="11" quotePrefix="1" applyFont="1" applyFill="1" applyBorder="1" applyAlignment="1">
      <alignment horizontal="left" vertical="center" wrapText="1"/>
    </xf>
    <xf numFmtId="0" fontId="22" fillId="0" borderId="60" xfId="11" quotePrefix="1" applyFont="1" applyFill="1" applyBorder="1" applyAlignment="1">
      <alignment horizontal="left" vertical="center" wrapText="1"/>
    </xf>
    <xf numFmtId="0" fontId="22" fillId="0" borderId="13" xfId="11" applyFont="1" applyFill="1" applyBorder="1" applyAlignment="1">
      <alignment horizontal="left" vertical="center" wrapText="1"/>
    </xf>
    <xf numFmtId="0" fontId="22" fillId="0" borderId="58" xfId="11" applyFont="1" applyFill="1" applyBorder="1" applyAlignment="1">
      <alignment horizontal="left" vertical="center" wrapText="1"/>
    </xf>
    <xf numFmtId="0" fontId="22" fillId="0" borderId="14" xfId="11" applyFont="1" applyFill="1" applyBorder="1" applyAlignment="1">
      <alignment horizontal="left" vertical="center" wrapText="1"/>
    </xf>
    <xf numFmtId="4" fontId="22" fillId="0" borderId="58" xfId="11" applyNumberFormat="1" applyFont="1" applyFill="1" applyBorder="1" applyAlignment="1">
      <alignment horizontal="left" vertical="center" wrapText="1"/>
    </xf>
    <xf numFmtId="0" fontId="22" fillId="0" borderId="58" xfId="11" applyFont="1" applyFill="1" applyBorder="1" applyAlignment="1">
      <alignment horizontal="center" vertical="center"/>
    </xf>
    <xf numFmtId="0" fontId="22" fillId="0" borderId="14" xfId="11" applyFont="1" applyFill="1" applyBorder="1" applyAlignment="1">
      <alignment horizontal="center" vertical="center"/>
    </xf>
    <xf numFmtId="0" fontId="21" fillId="0" borderId="9" xfId="11" applyFont="1" applyFill="1" applyBorder="1" applyAlignment="1">
      <alignment horizontal="left" vertical="center" wrapText="1"/>
    </xf>
    <xf numFmtId="0" fontId="21" fillId="0" borderId="4" xfId="11" applyFont="1" applyFill="1" applyBorder="1" applyAlignment="1">
      <alignment horizontal="left" vertical="center" wrapText="1"/>
    </xf>
    <xf numFmtId="0" fontId="28" fillId="0" borderId="0" xfId="11" applyFont="1" applyFill="1" applyBorder="1" applyAlignment="1">
      <alignment horizontal="center" vertical="top"/>
    </xf>
    <xf numFmtId="0" fontId="21" fillId="0" borderId="1" xfId="11" applyFont="1" applyFill="1" applyBorder="1" applyAlignment="1">
      <alignment horizontal="left" vertical="center"/>
    </xf>
    <xf numFmtId="0" fontId="22" fillId="0" borderId="13" xfId="11" applyFont="1" applyFill="1" applyBorder="1" applyAlignment="1">
      <alignment horizontal="center" vertical="center" wrapText="1"/>
    </xf>
    <xf numFmtId="0" fontId="22" fillId="0" borderId="58" xfId="11" applyFont="1" applyFill="1" applyBorder="1" applyAlignment="1">
      <alignment horizontal="center" vertical="center" wrapText="1"/>
    </xf>
    <xf numFmtId="0" fontId="22" fillId="0" borderId="14" xfId="11" applyFont="1" applyFill="1" applyBorder="1" applyAlignment="1">
      <alignment horizontal="center" vertical="center" wrapText="1"/>
    </xf>
    <xf numFmtId="0" fontId="21" fillId="0" borderId="1" xfId="11" applyFont="1" applyFill="1" applyBorder="1" applyAlignment="1">
      <alignment horizontal="left" vertical="center" wrapText="1"/>
    </xf>
    <xf numFmtId="0" fontId="21" fillId="5" borderId="1" xfId="13" applyFont="1" applyFill="1" applyBorder="1" applyAlignment="1">
      <alignment horizontal="center" vertical="center"/>
    </xf>
    <xf numFmtId="0" fontId="29" fillId="0" borderId="0" xfId="13" applyFont="1" applyFill="1" applyAlignment="1">
      <alignment horizontal="center"/>
    </xf>
    <xf numFmtId="0" fontId="29" fillId="0" borderId="0" xfId="13" applyFont="1" applyFill="1" applyBorder="1" applyAlignment="1">
      <alignment horizontal="center" vertical="center"/>
    </xf>
    <xf numFmtId="0" fontId="29" fillId="5" borderId="1" xfId="13" applyFont="1" applyFill="1" applyBorder="1" applyAlignment="1">
      <alignment horizontal="center" vertical="center"/>
    </xf>
    <xf numFmtId="0" fontId="28" fillId="0" borderId="0" xfId="13" applyFont="1" applyFill="1" applyBorder="1" applyAlignment="1">
      <alignment horizontal="center" vertical="top"/>
    </xf>
    <xf numFmtId="0" fontId="10" fillId="0" borderId="0" xfId="13" applyFont="1" applyFill="1" applyAlignment="1">
      <alignment horizontal="center" vertical="center" wrapText="1"/>
    </xf>
    <xf numFmtId="0" fontId="10" fillId="0" borderId="0" xfId="13" applyFont="1" applyAlignment="1">
      <alignment horizontal="center" vertical="center" wrapText="1"/>
    </xf>
    <xf numFmtId="0" fontId="21" fillId="0" borderId="1" xfId="13" applyFont="1" applyFill="1" applyBorder="1" applyAlignment="1">
      <alignment horizontal="left" vertical="center"/>
    </xf>
    <xf numFmtId="0" fontId="22" fillId="0" borderId="13" xfId="13" applyFont="1" applyFill="1" applyBorder="1" applyAlignment="1">
      <alignment horizontal="left" vertical="center" wrapText="1"/>
    </xf>
    <xf numFmtId="0" fontId="22" fillId="0" borderId="14" xfId="13" applyFont="1" applyFill="1" applyBorder="1" applyAlignment="1">
      <alignment horizontal="left" vertical="center" wrapText="1"/>
    </xf>
    <xf numFmtId="0" fontId="22" fillId="0" borderId="1" xfId="13" applyFont="1" applyFill="1" applyBorder="1" applyAlignment="1">
      <alignment horizontal="left" vertical="center"/>
    </xf>
    <xf numFmtId="0" fontId="21" fillId="0" borderId="0" xfId="14" applyFont="1" applyFill="1" applyBorder="1" applyAlignment="1">
      <alignment horizontal="center"/>
    </xf>
    <xf numFmtId="0" fontId="21" fillId="0" borderId="0" xfId="14" applyFont="1" applyFill="1" applyBorder="1" applyAlignment="1">
      <alignment horizontal="center" vertical="center"/>
    </xf>
    <xf numFmtId="0" fontId="24" fillId="0" borderId="0" xfId="14" applyFont="1" applyFill="1" applyBorder="1" applyAlignment="1">
      <alignment horizontal="left" vertical="center" wrapText="1"/>
    </xf>
    <xf numFmtId="0" fontId="22" fillId="5" borderId="58" xfId="14" applyFont="1" applyFill="1" applyBorder="1" applyAlignment="1">
      <alignment horizontal="center" vertical="center" wrapText="1"/>
    </xf>
    <xf numFmtId="0" fontId="22" fillId="5" borderId="14" xfId="14" applyFont="1" applyFill="1" applyBorder="1" applyAlignment="1">
      <alignment horizontal="center" vertical="center" wrapText="1"/>
    </xf>
    <xf numFmtId="0" fontId="26" fillId="5" borderId="13" xfId="14" applyFont="1" applyFill="1" applyBorder="1" applyAlignment="1">
      <alignment horizontal="center" vertical="center"/>
    </xf>
    <xf numFmtId="0" fontId="26" fillId="5" borderId="58" xfId="14" applyFont="1" applyFill="1" applyBorder="1" applyAlignment="1">
      <alignment horizontal="center" vertical="center"/>
    </xf>
    <xf numFmtId="0" fontId="26" fillId="5" borderId="14" xfId="14" applyFont="1" applyFill="1" applyBorder="1" applyAlignment="1">
      <alignment horizontal="center" vertical="center"/>
    </xf>
    <xf numFmtId="0" fontId="21" fillId="5" borderId="1" xfId="14" applyFont="1" applyFill="1" applyBorder="1" applyAlignment="1">
      <alignment horizontal="center" vertical="center"/>
    </xf>
    <xf numFmtId="0" fontId="21" fillId="0" borderId="13" xfId="14" applyFont="1" applyFill="1" applyBorder="1" applyAlignment="1">
      <alignment horizontal="left" vertical="center" wrapText="1"/>
    </xf>
    <xf numFmtId="0" fontId="21" fillId="0" borderId="58" xfId="14" applyFont="1" applyFill="1" applyBorder="1" applyAlignment="1">
      <alignment horizontal="left" vertical="center" wrapText="1"/>
    </xf>
    <xf numFmtId="0" fontId="21" fillId="0" borderId="14" xfId="14" applyFont="1" applyFill="1" applyBorder="1" applyAlignment="1">
      <alignment horizontal="left" vertical="center" wrapText="1"/>
    </xf>
    <xf numFmtId="0" fontId="21" fillId="5" borderId="10" xfId="14" applyFont="1" applyFill="1" applyBorder="1" applyAlignment="1">
      <alignment horizontal="center" vertical="center"/>
    </xf>
    <xf numFmtId="49" fontId="22" fillId="5" borderId="10" xfId="14" applyNumberFormat="1" applyFont="1" applyFill="1" applyBorder="1" applyAlignment="1">
      <alignment horizontal="center" vertical="center" wrapText="1"/>
    </xf>
    <xf numFmtId="49" fontId="22" fillId="5" borderId="12" xfId="14" applyNumberFormat="1" applyFont="1" applyFill="1" applyBorder="1" applyAlignment="1">
      <alignment horizontal="center" vertical="center" wrapText="1"/>
    </xf>
    <xf numFmtId="0" fontId="22" fillId="5" borderId="10" xfId="14" applyFont="1" applyFill="1" applyBorder="1" applyAlignment="1">
      <alignment horizontal="center" vertical="center" wrapText="1"/>
    </xf>
    <xf numFmtId="0" fontId="22" fillId="5" borderId="12" xfId="14" applyFont="1" applyFill="1" applyBorder="1" applyAlignment="1">
      <alignment horizontal="center" vertical="center" wrapText="1"/>
    </xf>
    <xf numFmtId="0" fontId="22" fillId="5" borderId="13" xfId="14" applyFont="1" applyFill="1" applyBorder="1" applyAlignment="1">
      <alignment horizontal="center" vertical="center" wrapText="1"/>
    </xf>
    <xf numFmtId="0" fontId="22" fillId="0" borderId="58" xfId="14" applyFont="1" applyFill="1" applyBorder="1" applyAlignment="1">
      <alignment horizontal="left" vertical="center" wrapText="1"/>
    </xf>
    <xf numFmtId="0" fontId="37" fillId="5" borderId="13" xfId="14" applyFont="1" applyFill="1" applyBorder="1" applyAlignment="1">
      <alignment horizontal="left" vertical="center"/>
    </xf>
    <xf numFmtId="0" fontId="37" fillId="5" borderId="58" xfId="14" applyFont="1" applyFill="1" applyBorder="1" applyAlignment="1">
      <alignment horizontal="left" vertical="center"/>
    </xf>
    <xf numFmtId="0" fontId="37" fillId="0" borderId="13" xfId="14" applyFont="1" applyFill="1" applyBorder="1" applyAlignment="1">
      <alignment horizontal="left" vertical="center"/>
    </xf>
    <xf numFmtId="0" fontId="37" fillId="0" borderId="58" xfId="14" applyFont="1" applyFill="1" applyBorder="1" applyAlignment="1">
      <alignment horizontal="left" vertical="center"/>
    </xf>
    <xf numFmtId="0" fontId="40" fillId="0" borderId="58" xfId="14" applyFont="1" applyFill="1" applyBorder="1"/>
    <xf numFmtId="0" fontId="40" fillId="0" borderId="14" xfId="14" applyFont="1" applyFill="1" applyBorder="1"/>
    <xf numFmtId="0" fontId="21" fillId="0" borderId="1" xfId="14" applyFont="1" applyFill="1" applyBorder="1" applyAlignment="1">
      <alignment horizontal="left" vertical="center"/>
    </xf>
    <xf numFmtId="0" fontId="18" fillId="0" borderId="0" xfId="14" applyFont="1" applyAlignment="1">
      <alignment horizontal="center" wrapText="1"/>
    </xf>
    <xf numFmtId="0" fontId="45" fillId="0" borderId="9" xfId="14" applyFont="1" applyBorder="1" applyAlignment="1">
      <alignment horizont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51" fillId="5" borderId="10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left" wrapText="1"/>
    </xf>
    <xf numFmtId="0" fontId="14" fillId="0" borderId="58" xfId="0" applyFont="1" applyBorder="1" applyAlignment="1">
      <alignment horizontal="left" wrapText="1"/>
    </xf>
    <xf numFmtId="0" fontId="14" fillId="0" borderId="14" xfId="0" applyFont="1" applyBorder="1" applyAlignment="1">
      <alignment horizontal="left" wrapText="1"/>
    </xf>
    <xf numFmtId="0" fontId="51" fillId="5" borderId="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6" fillId="0" borderId="13" xfId="15" applyNumberFormat="1" applyFont="1" applyBorder="1" applyAlignment="1">
      <alignment horizontal="left" vertical="top" wrapText="1"/>
    </xf>
    <xf numFmtId="0" fontId="0" fillId="0" borderId="58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0" xfId="6" applyFont="1" applyBorder="1" applyAlignment="1">
      <alignment horizontal="left" vertical="center"/>
    </xf>
    <xf numFmtId="0" fontId="5" fillId="0" borderId="0" xfId="6" applyBorder="1" applyAlignment="1">
      <alignment horizontal="left" vertical="center"/>
    </xf>
    <xf numFmtId="0" fontId="7" fillId="0" borderId="0" xfId="6" applyFont="1" applyFill="1" applyBorder="1" applyAlignment="1">
      <alignment vertical="top" wrapText="1"/>
    </xf>
    <xf numFmtId="0" fontId="5" fillId="0" borderId="0" xfId="6" applyBorder="1" applyAlignment="1">
      <alignment vertical="top" wrapText="1"/>
    </xf>
    <xf numFmtId="0" fontId="19" fillId="0" borderId="0" xfId="0" applyFont="1" applyAlignment="1">
      <alignment wrapText="1"/>
    </xf>
    <xf numFmtId="0" fontId="10" fillId="0" borderId="7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4" fillId="5" borderId="1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0" xfId="0" applyAlignment="1"/>
    <xf numFmtId="0" fontId="10" fillId="0" borderId="6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18" fillId="0" borderId="13" xfId="0" applyFont="1" applyBorder="1" applyAlignment="1">
      <alignment horizontal="left"/>
    </xf>
    <xf numFmtId="0" fontId="53" fillId="0" borderId="58" xfId="0" applyFont="1" applyBorder="1" applyAlignment="1">
      <alignment horizontal="left"/>
    </xf>
    <xf numFmtId="0" fontId="53" fillId="0" borderId="14" xfId="0" applyFont="1" applyBorder="1" applyAlignment="1">
      <alignment horizontal="left"/>
    </xf>
    <xf numFmtId="0" fontId="10" fillId="0" borderId="8" xfId="0" applyFont="1" applyBorder="1" applyAlignment="1">
      <alignment wrapText="1"/>
    </xf>
    <xf numFmtId="0" fontId="10" fillId="0" borderId="4" xfId="0" applyFont="1" applyBorder="1" applyAlignment="1">
      <alignment wrapText="1"/>
    </xf>
    <xf numFmtId="49" fontId="10" fillId="0" borderId="10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7" xfId="0" applyFont="1" applyBorder="1" applyAlignment="1">
      <alignment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36" xfId="0" applyFont="1" applyBorder="1" applyAlignment="1">
      <alignment horizontal="left" vertical="center" wrapText="1"/>
    </xf>
    <xf numFmtId="0" fontId="10" fillId="0" borderId="40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4" fontId="18" fillId="0" borderId="31" xfId="0" applyNumberFormat="1" applyFont="1" applyBorder="1" applyAlignment="1">
      <alignment horizontal="center" vertical="center"/>
    </xf>
    <xf numFmtId="4" fontId="18" fillId="0" borderId="11" xfId="0" applyNumberFormat="1" applyFont="1" applyBorder="1" applyAlignment="1">
      <alignment horizontal="center" vertical="center"/>
    </xf>
    <xf numFmtId="4" fontId="18" fillId="0" borderId="12" xfId="0" applyNumberFormat="1" applyFont="1" applyBorder="1" applyAlignment="1">
      <alignment horizontal="center" vertical="center"/>
    </xf>
    <xf numFmtId="0" fontId="11" fillId="5" borderId="45" xfId="1" applyFont="1" applyFill="1" applyBorder="1" applyAlignment="1">
      <alignment horizontal="center" vertical="top" wrapText="1"/>
    </xf>
    <xf numFmtId="0" fontId="11" fillId="5" borderId="17" xfId="1" applyFont="1" applyFill="1" applyBorder="1" applyAlignment="1">
      <alignment horizontal="center" vertical="top" wrapText="1"/>
    </xf>
    <xf numFmtId="0" fontId="12" fillId="2" borderId="33" xfId="1" applyFont="1" applyFill="1" applyBorder="1" applyAlignment="1">
      <alignment horizontal="center" vertical="top" wrapText="1"/>
    </xf>
    <xf numFmtId="0" fontId="12" fillId="2" borderId="34" xfId="1" applyFont="1" applyFill="1" applyBorder="1" applyAlignment="1">
      <alignment horizontal="center" vertical="top" wrapText="1"/>
    </xf>
    <xf numFmtId="0" fontId="12" fillId="0" borderId="33" xfId="0" applyFont="1" applyFill="1" applyBorder="1" applyAlignment="1">
      <alignment horizontal="center" vertical="top"/>
    </xf>
    <xf numFmtId="0" fontId="12" fillId="0" borderId="34" xfId="0" applyFont="1" applyFill="1" applyBorder="1" applyAlignment="1">
      <alignment horizontal="center" vertical="top"/>
    </xf>
    <xf numFmtId="0" fontId="12" fillId="0" borderId="6" xfId="1" applyFont="1" applyFill="1" applyBorder="1" applyAlignment="1">
      <alignment horizontal="center" vertical="top" wrapText="1"/>
    </xf>
    <xf numFmtId="0" fontId="12" fillId="0" borderId="2" xfId="1" applyFont="1" applyFill="1" applyBorder="1" applyAlignment="1">
      <alignment horizontal="center" vertical="top" wrapText="1"/>
    </xf>
    <xf numFmtId="0" fontId="12" fillId="0" borderId="36" xfId="1" applyFont="1" applyFill="1" applyBorder="1" applyAlignment="1">
      <alignment horizontal="center" vertical="top" wrapText="1"/>
    </xf>
    <xf numFmtId="0" fontId="12" fillId="0" borderId="42" xfId="1" applyFont="1" applyFill="1" applyBorder="1" applyAlignment="1">
      <alignment horizontal="center" vertical="top" wrapText="1"/>
    </xf>
    <xf numFmtId="0" fontId="12" fillId="0" borderId="8" xfId="1" applyFont="1" applyFill="1" applyBorder="1" applyAlignment="1">
      <alignment horizontal="center" vertical="top" wrapText="1"/>
    </xf>
    <xf numFmtId="0" fontId="12" fillId="0" borderId="4" xfId="1" applyFont="1" applyFill="1" applyBorder="1" applyAlignment="1">
      <alignment horizontal="center" vertical="top" wrapText="1"/>
    </xf>
    <xf numFmtId="0" fontId="12" fillId="0" borderId="13" xfId="1" applyFont="1" applyFill="1" applyBorder="1" applyAlignment="1">
      <alignment horizontal="center" vertical="top" wrapText="1"/>
    </xf>
    <xf numFmtId="0" fontId="12" fillId="0" borderId="14" xfId="1" applyFont="1" applyFill="1" applyBorder="1" applyAlignment="1">
      <alignment horizontal="center" vertical="top" wrapText="1"/>
    </xf>
    <xf numFmtId="0" fontId="12" fillId="2" borderId="8" xfId="1" applyFont="1" applyFill="1" applyBorder="1" applyAlignment="1">
      <alignment horizontal="center" vertical="top" wrapText="1"/>
    </xf>
    <xf numFmtId="0" fontId="12" fillId="2" borderId="4" xfId="1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center"/>
    </xf>
    <xf numFmtId="0" fontId="12" fillId="2" borderId="6" xfId="1" applyFont="1" applyFill="1" applyBorder="1" applyAlignment="1">
      <alignment horizontal="center" vertical="top" wrapText="1"/>
    </xf>
    <xf numFmtId="0" fontId="12" fillId="2" borderId="2" xfId="1" applyFont="1" applyFill="1" applyBorder="1" applyAlignment="1">
      <alignment horizontal="center" vertical="top" wrapText="1"/>
    </xf>
    <xf numFmtId="0" fontId="12" fillId="2" borderId="7" xfId="1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 wrapText="1"/>
    </xf>
    <xf numFmtId="0" fontId="12" fillId="2" borderId="36" xfId="1" applyFont="1" applyFill="1" applyBorder="1" applyAlignment="1">
      <alignment horizontal="center" vertical="top" wrapText="1"/>
    </xf>
    <xf numFmtId="0" fontId="12" fillId="2" borderId="42" xfId="1" applyFont="1" applyFill="1" applyBorder="1" applyAlignment="1">
      <alignment horizontal="center" vertical="top" wrapText="1"/>
    </xf>
    <xf numFmtId="0" fontId="12" fillId="0" borderId="7" xfId="1" applyFont="1" applyFill="1" applyBorder="1" applyAlignment="1">
      <alignment horizontal="center" vertical="top" wrapText="1"/>
    </xf>
    <xf numFmtId="0" fontId="12" fillId="0" borderId="3" xfId="1" applyFont="1" applyFill="1" applyBorder="1" applyAlignment="1">
      <alignment horizontal="center" vertical="top" wrapText="1"/>
    </xf>
    <xf numFmtId="0" fontId="12" fillId="5" borderId="37" xfId="1" applyFont="1" applyFill="1" applyBorder="1" applyAlignment="1">
      <alignment horizontal="center" vertical="top" wrapText="1"/>
    </xf>
    <xf numFmtId="0" fontId="12" fillId="5" borderId="41" xfId="1" applyFont="1" applyFill="1" applyBorder="1" applyAlignment="1">
      <alignment horizontal="center" vertical="top" wrapText="1"/>
    </xf>
    <xf numFmtId="0" fontId="12" fillId="0" borderId="36" xfId="1" quotePrefix="1" applyFont="1" applyFill="1" applyBorder="1" applyAlignment="1">
      <alignment horizontal="center" vertical="top" wrapText="1"/>
    </xf>
    <xf numFmtId="0" fontId="12" fillId="2" borderId="13" xfId="1" applyFont="1" applyFill="1" applyBorder="1" applyAlignment="1">
      <alignment horizontal="center" vertical="top" wrapText="1"/>
    </xf>
    <xf numFmtId="0" fontId="12" fillId="2" borderId="14" xfId="1" applyFont="1" applyFill="1" applyBorder="1" applyAlignment="1">
      <alignment horizontal="center" vertical="top" wrapText="1"/>
    </xf>
    <xf numFmtId="0" fontId="12" fillId="0" borderId="13" xfId="1" applyFont="1" applyFill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2" fillId="0" borderId="33" xfId="1" applyFont="1" applyFill="1" applyBorder="1" applyAlignment="1">
      <alignment horizontal="center" vertical="top" wrapText="1"/>
    </xf>
    <xf numFmtId="0" fontId="12" fillId="0" borderId="34" xfId="1" applyFont="1" applyFill="1" applyBorder="1" applyAlignment="1">
      <alignment horizontal="center" vertical="top" wrapText="1"/>
    </xf>
    <xf numFmtId="0" fontId="12" fillId="0" borderId="33" xfId="1" applyFont="1" applyFill="1" applyBorder="1" applyAlignment="1">
      <alignment vertical="top" wrapText="1"/>
    </xf>
    <xf numFmtId="0" fontId="10" fillId="0" borderId="34" xfId="0" applyFont="1" applyBorder="1" applyAlignment="1">
      <alignment vertical="top" wrapText="1"/>
    </xf>
    <xf numFmtId="0" fontId="12" fillId="0" borderId="8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2" fillId="0" borderId="37" xfId="1" applyFont="1" applyBorder="1" applyAlignment="1">
      <alignment horizontal="center" vertical="top" wrapText="1"/>
    </xf>
    <xf numFmtId="0" fontId="12" fillId="0" borderId="41" xfId="1" applyFont="1" applyBorder="1" applyAlignment="1">
      <alignment horizontal="center" vertical="top" wrapText="1"/>
    </xf>
    <xf numFmtId="0" fontId="12" fillId="5" borderId="31" xfId="1" applyFont="1" applyFill="1" applyBorder="1" applyAlignment="1">
      <alignment horizontal="center" vertical="top" wrapText="1"/>
    </xf>
    <xf numFmtId="0" fontId="7" fillId="5" borderId="45" xfId="0" applyFont="1" applyFill="1" applyBorder="1" applyAlignment="1">
      <alignment horizontal="left" vertical="top" wrapText="1"/>
    </xf>
    <xf numFmtId="0" fontId="7" fillId="5" borderId="17" xfId="0" applyFont="1" applyFill="1" applyBorder="1" applyAlignment="1">
      <alignment horizontal="left" vertical="top" wrapText="1"/>
    </xf>
  </cellXfs>
  <cellStyles count="19">
    <cellStyle name="Обычный" xfId="0" builtinId="0"/>
    <cellStyle name="Обычный 2" xfId="3" xr:uid="{00000000-0005-0000-0000-000001000000}"/>
    <cellStyle name="Обычный 2 2" xfId="5" xr:uid="{00000000-0005-0000-0000-000002000000}"/>
    <cellStyle name="Обычный 2 2 2" xfId="14" xr:uid="{00000000-0005-0000-0000-000003000000}"/>
    <cellStyle name="Обычный 2 2 3" xfId="17" xr:uid="{00000000-0005-0000-0000-000004000000}"/>
    <cellStyle name="Обычный 2 3" xfId="6" xr:uid="{00000000-0005-0000-0000-000005000000}"/>
    <cellStyle name="Обычный 3" xfId="1" xr:uid="{00000000-0005-0000-0000-000006000000}"/>
    <cellStyle name="Обычный 3 2" xfId="7" xr:uid="{00000000-0005-0000-0000-000007000000}"/>
    <cellStyle name="Обычный 4" xfId="4" xr:uid="{00000000-0005-0000-0000-000008000000}"/>
    <cellStyle name="Обычный 4 2" xfId="13" xr:uid="{00000000-0005-0000-0000-000009000000}"/>
    <cellStyle name="Обычный 4 3" xfId="16" xr:uid="{00000000-0005-0000-0000-00000A000000}"/>
    <cellStyle name="Обычный 5" xfId="10" xr:uid="{00000000-0005-0000-0000-00000B000000}"/>
    <cellStyle name="Обычный 5 2" xfId="11" xr:uid="{00000000-0005-0000-0000-00000C000000}"/>
    <cellStyle name="Обычный 5 3" xfId="18" xr:uid="{00000000-0005-0000-0000-00000D000000}"/>
    <cellStyle name="Обычный 6" xfId="15" xr:uid="{00000000-0005-0000-0000-00000E000000}"/>
    <cellStyle name="Обычный_Итог по 2 скв" xfId="12" xr:uid="{00000000-0005-0000-0000-00000F000000}"/>
    <cellStyle name="Процентный 2" xfId="8" xr:uid="{00000000-0005-0000-0000-000010000000}"/>
    <cellStyle name="Процентный 2 2" xfId="9" xr:uid="{00000000-0005-0000-0000-000011000000}"/>
    <cellStyle name="Финансовый 2" xfId="2" xr:uid="{00000000-0005-0000-0000-000012000000}"/>
  </cellStyles>
  <dxfs count="1">
    <dxf>
      <font>
        <condense val="0"/>
        <extend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70" name="Text Box 702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71" name="Text Box 703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72" name="Text Box 704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73" name="Text Box 705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74" name="Text Box 706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75" name="Text Box 707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76" name="Text Box 708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77" name="Text Box 709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78" name="Text Box 734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79" name="Text Box 735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80" name="Text Box 736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81" name="Text Box 737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82" name="Text Box 738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83" name="Text Box 739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84" name="Text Box 740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85" name="Text Box 74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86" name="Text Box 758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87" name="Text Box 759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88" name="Text Box 760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89" name="Text Box 761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90" name="Text Box 762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91" name="Text Box 763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  <xdr:twoCellAnchor>
    <xdr:from>
      <xdr:col>3</xdr:col>
      <xdr:colOff>19050</xdr:colOff>
      <xdr:row>79</xdr:row>
      <xdr:rowOff>0</xdr:rowOff>
    </xdr:from>
    <xdr:to>
      <xdr:col>5</xdr:col>
      <xdr:colOff>0</xdr:colOff>
      <xdr:row>79</xdr:row>
      <xdr:rowOff>0</xdr:rowOff>
    </xdr:to>
    <xdr:sp macro="" textlink="">
      <xdr:nvSpPr>
        <xdr:cNvPr id="92" name="Text Box 764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 txBox="1">
          <a:spLocks noChangeArrowheads="1"/>
        </xdr:cNvSpPr>
      </xdr:nvSpPr>
      <xdr:spPr bwMode="auto">
        <a:xfrm>
          <a:off x="4002985" y="41106587"/>
          <a:ext cx="202675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№№ частей, глав, таблиц, наименования сборника цен на проектные работы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view="pageBreakPreview" topLeftCell="A10" zoomScale="115" zoomScaleNormal="115" zoomScaleSheetLayoutView="115" workbookViewId="0">
      <selection activeCell="E30" sqref="E30"/>
    </sheetView>
  </sheetViews>
  <sheetFormatPr baseColWidth="10" defaultColWidth="9.1640625" defaultRowHeight="16"/>
  <cols>
    <col min="1" max="1" width="6.6640625" style="557" customWidth="1"/>
    <col min="2" max="2" width="66.33203125" style="557" customWidth="1"/>
    <col min="3" max="4" width="20.5" style="557" customWidth="1"/>
    <col min="5" max="5" width="18.5" style="580" customWidth="1"/>
    <col min="6" max="6" width="17.33203125" style="557" customWidth="1"/>
    <col min="7" max="7" width="16.33203125" style="557" customWidth="1"/>
    <col min="8" max="16384" width="9.1640625" style="557"/>
  </cols>
  <sheetData>
    <row r="1" spans="1:7" ht="29.25" customHeight="1">
      <c r="B1" s="731" t="s">
        <v>925</v>
      </c>
    </row>
    <row r="2" spans="1:7">
      <c r="B2" s="731" t="s">
        <v>136</v>
      </c>
    </row>
    <row r="3" spans="1:7">
      <c r="B3" s="731" t="s">
        <v>7</v>
      </c>
    </row>
    <row r="4" spans="1:7" ht="46.5" customHeight="1">
      <c r="B4" s="791" t="s">
        <v>916</v>
      </c>
      <c r="C4" s="791"/>
      <c r="D4" s="791"/>
      <c r="E4" s="791"/>
      <c r="F4" s="791"/>
      <c r="G4" s="791"/>
    </row>
    <row r="5" spans="1:7">
      <c r="A5" s="559"/>
      <c r="B5" s="558" t="s">
        <v>782</v>
      </c>
      <c r="C5" s="559"/>
      <c r="D5" s="559"/>
    </row>
    <row r="6" spans="1:7">
      <c r="A6" s="558"/>
      <c r="B6" s="558" t="s">
        <v>783</v>
      </c>
      <c r="C6" s="560"/>
      <c r="D6" s="560"/>
    </row>
    <row r="7" spans="1:7">
      <c r="A7" s="558"/>
      <c r="B7" s="558" t="s">
        <v>922</v>
      </c>
      <c r="C7" s="558"/>
      <c r="D7" s="558"/>
    </row>
    <row r="8" spans="1:7" ht="17" thickBot="1"/>
    <row r="9" spans="1:7" ht="52" thickBot="1">
      <c r="A9" s="657" t="s">
        <v>8</v>
      </c>
      <c r="B9" s="658" t="s">
        <v>9</v>
      </c>
      <c r="C9" s="658" t="s">
        <v>10</v>
      </c>
      <c r="D9" s="658" t="s">
        <v>11</v>
      </c>
    </row>
    <row r="10" spans="1:7" ht="17" thickBot="1">
      <c r="A10" s="659">
        <v>1</v>
      </c>
      <c r="B10" s="660" t="s">
        <v>677</v>
      </c>
      <c r="C10" s="661"/>
      <c r="D10" s="662"/>
    </row>
    <row r="11" spans="1:7">
      <c r="A11" s="640" t="s">
        <v>18</v>
      </c>
      <c r="B11" s="641" t="s">
        <v>678</v>
      </c>
      <c r="C11" s="646" t="s">
        <v>679</v>
      </c>
      <c r="D11" s="653">
        <f>геология!L65</f>
        <v>941519.91</v>
      </c>
    </row>
    <row r="12" spans="1:7">
      <c r="A12" s="562" t="s">
        <v>16</v>
      </c>
      <c r="B12" s="639" t="s">
        <v>680</v>
      </c>
      <c r="C12" s="647" t="s">
        <v>681</v>
      </c>
      <c r="D12" s="563">
        <f>'геодезия СБЦ'!G29</f>
        <v>382304.54450000002</v>
      </c>
    </row>
    <row r="13" spans="1:7">
      <c r="A13" s="562" t="s">
        <v>27</v>
      </c>
      <c r="B13" s="639" t="s">
        <v>682</v>
      </c>
      <c r="C13" s="647" t="s">
        <v>683</v>
      </c>
      <c r="D13" s="563">
        <f>экология!L167</f>
        <v>763952.68</v>
      </c>
    </row>
    <row r="14" spans="1:7">
      <c r="A14" s="562" t="s">
        <v>17</v>
      </c>
      <c r="B14" s="639" t="s">
        <v>684</v>
      </c>
      <c r="C14" s="647" t="s">
        <v>685</v>
      </c>
      <c r="D14" s="563">
        <f>ИГМИ!H58</f>
        <v>135682.48959693749</v>
      </c>
    </row>
    <row r="15" spans="1:7">
      <c r="A15" s="562" t="s">
        <v>769</v>
      </c>
      <c r="B15" s="639" t="s">
        <v>767</v>
      </c>
      <c r="C15" s="647" t="s">
        <v>768</v>
      </c>
      <c r="D15" s="563">
        <f>геофизика!G46*1000</f>
        <v>214267.64999999997</v>
      </c>
    </row>
    <row r="16" spans="1:7" ht="18" customHeight="1">
      <c r="A16" s="562" t="s">
        <v>719</v>
      </c>
      <c r="B16" s="638" t="s">
        <v>787</v>
      </c>
      <c r="C16" s="639"/>
      <c r="D16" s="565">
        <f>SUM(D11:D15)</f>
        <v>2437727.2740969374</v>
      </c>
    </row>
    <row r="17" spans="1:4">
      <c r="A17" s="562" t="s">
        <v>770</v>
      </c>
      <c r="B17" s="639" t="s">
        <v>904</v>
      </c>
      <c r="C17" s="655">
        <v>1.266</v>
      </c>
      <c r="D17" s="581">
        <f>D16/C17</f>
        <v>1925534.9716405508</v>
      </c>
    </row>
    <row r="18" spans="1:4" ht="35" thickBot="1">
      <c r="A18" s="604" t="s">
        <v>786</v>
      </c>
      <c r="B18" s="642" t="s">
        <v>788</v>
      </c>
      <c r="C18" s="656">
        <v>4.96</v>
      </c>
      <c r="D18" s="654">
        <f>D16*C18</f>
        <v>12091127.27952081</v>
      </c>
    </row>
    <row r="19" spans="1:4">
      <c r="A19" s="663">
        <v>2</v>
      </c>
      <c r="B19" s="664" t="s">
        <v>687</v>
      </c>
      <c r="C19" s="665"/>
      <c r="D19" s="666"/>
    </row>
    <row r="20" spans="1:4" ht="17">
      <c r="A20" s="569" t="s">
        <v>19</v>
      </c>
      <c r="B20" s="644" t="s">
        <v>964</v>
      </c>
      <c r="C20" s="648" t="s">
        <v>137</v>
      </c>
      <c r="D20" s="566">
        <f>'Проект планировки территории'!I12</f>
        <v>6832961.2800000003</v>
      </c>
    </row>
    <row r="21" spans="1:4" ht="68">
      <c r="A21" s="569" t="s">
        <v>12</v>
      </c>
      <c r="B21" s="790" t="s">
        <v>965</v>
      </c>
      <c r="C21" s="649" t="s">
        <v>906</v>
      </c>
      <c r="D21" s="565">
        <f>(ПД!I48)*1.17</f>
        <v>1817892.6677495996</v>
      </c>
    </row>
    <row r="22" spans="1:4" ht="85">
      <c r="A22" s="569" t="s">
        <v>13</v>
      </c>
      <c r="B22" s="790" t="s">
        <v>966</v>
      </c>
      <c r="C22" s="648" t="s">
        <v>907</v>
      </c>
      <c r="D22" s="566">
        <f>('ПС ФСБ'!F149+ФТС!F128+РСН!F63+РПН!F53)*1.23</f>
        <v>11185690.876290001</v>
      </c>
    </row>
    <row r="23" spans="1:4" ht="28.5" customHeight="1">
      <c r="A23" s="569" t="s">
        <v>775</v>
      </c>
      <c r="B23" s="644" t="s">
        <v>686</v>
      </c>
      <c r="C23" s="650" t="s">
        <v>784</v>
      </c>
      <c r="D23" s="566">
        <f>(D21+D22+D20)*0.04</f>
        <v>793461.79296158405</v>
      </c>
    </row>
    <row r="24" spans="1:4" ht="18" customHeight="1">
      <c r="A24" s="569" t="s">
        <v>776</v>
      </c>
      <c r="B24" s="639" t="s">
        <v>914</v>
      </c>
      <c r="C24" s="645"/>
      <c r="D24" s="565">
        <f>SUM(D20:D23)</f>
        <v>20630006.617001183</v>
      </c>
    </row>
    <row r="25" spans="1:4" ht="17" thickBot="1">
      <c r="A25" s="569" t="s">
        <v>777</v>
      </c>
      <c r="B25" s="638" t="s">
        <v>903</v>
      </c>
      <c r="C25" s="648">
        <v>1.19</v>
      </c>
      <c r="D25" s="786">
        <f>D24/C25</f>
        <v>17336140.014286708</v>
      </c>
    </row>
    <row r="26" spans="1:4" ht="35" thickBot="1">
      <c r="A26" s="643" t="s">
        <v>778</v>
      </c>
      <c r="B26" s="787" t="s">
        <v>905</v>
      </c>
      <c r="C26" s="788">
        <v>4.91</v>
      </c>
      <c r="D26" s="789">
        <f>D24*C26</f>
        <v>101293332.48947582</v>
      </c>
    </row>
    <row r="27" spans="1:4" ht="17" thickBot="1">
      <c r="A27" s="785"/>
      <c r="B27" s="787"/>
      <c r="C27" s="788"/>
      <c r="D27" s="789"/>
    </row>
    <row r="28" spans="1:4" ht="17" thickBot="1">
      <c r="A28" s="575">
        <v>4</v>
      </c>
      <c r="B28" s="576" t="s">
        <v>780</v>
      </c>
      <c r="C28" s="651"/>
      <c r="D28" s="577"/>
    </row>
    <row r="29" spans="1:4" ht="34">
      <c r="A29" s="578" t="s">
        <v>42</v>
      </c>
      <c r="B29" s="571" t="s">
        <v>875</v>
      </c>
      <c r="C29" s="579"/>
      <c r="D29" s="729">
        <v>5887669</v>
      </c>
    </row>
    <row r="30" spans="1:4" ht="17">
      <c r="A30" s="569" t="s">
        <v>46</v>
      </c>
      <c r="B30" s="567" t="s">
        <v>779</v>
      </c>
      <c r="C30" s="645"/>
      <c r="D30" s="729">
        <v>1177533</v>
      </c>
    </row>
    <row r="31" spans="1:4" ht="17" thickBot="1">
      <c r="A31" s="569" t="s">
        <v>50</v>
      </c>
      <c r="B31" s="564" t="s">
        <v>781</v>
      </c>
      <c r="C31" s="645"/>
      <c r="D31" s="730">
        <f>SUM(D29:D30)</f>
        <v>7065202</v>
      </c>
    </row>
    <row r="32" spans="1:4" ht="17" thickBot="1">
      <c r="A32" s="555">
        <v>6</v>
      </c>
      <c r="B32" s="568" t="s">
        <v>785</v>
      </c>
      <c r="C32" s="572"/>
      <c r="D32" s="570">
        <f>D18+D26+D31</f>
        <v>120449661.76899663</v>
      </c>
    </row>
    <row r="33" spans="1:7" ht="17" thickBot="1">
      <c r="A33" s="556">
        <v>8</v>
      </c>
      <c r="B33" s="572" t="s">
        <v>284</v>
      </c>
      <c r="C33" s="652">
        <v>0.2</v>
      </c>
      <c r="D33" s="570">
        <f>D32*C33</f>
        <v>24089932.353799328</v>
      </c>
    </row>
    <row r="34" spans="1:7" ht="17" thickBot="1">
      <c r="A34" s="556">
        <v>9</v>
      </c>
      <c r="B34" s="572" t="s">
        <v>287</v>
      </c>
      <c r="C34" s="652"/>
      <c r="D34" s="570">
        <f>D32+D33</f>
        <v>144539594.12279594</v>
      </c>
    </row>
    <row r="36" spans="1:7">
      <c r="B36" s="561"/>
    </row>
    <row r="38" spans="1:7">
      <c r="B38" s="574"/>
      <c r="C38" s="573"/>
      <c r="G38" s="580"/>
    </row>
    <row r="39" spans="1:7">
      <c r="B39" s="561"/>
    </row>
  </sheetData>
  <mergeCells count="1">
    <mergeCell ref="B4:G4"/>
  </mergeCells>
  <pageMargins left="0.7" right="0.7" top="0.75" bottom="0.75" header="0.3" footer="0.3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8"/>
  <sheetViews>
    <sheetView view="pageBreakPreview" topLeftCell="A7" zoomScale="130" zoomScaleSheetLayoutView="130" workbookViewId="0">
      <selection activeCell="F128" sqref="F128"/>
    </sheetView>
  </sheetViews>
  <sheetFormatPr baseColWidth="10" defaultColWidth="9.1640625" defaultRowHeight="14"/>
  <cols>
    <col min="1" max="1" width="4.83203125" style="1" customWidth="1"/>
    <col min="2" max="2" width="34" style="1" customWidth="1"/>
    <col min="3" max="3" width="16.83203125" style="1" customWidth="1"/>
    <col min="4" max="4" width="9.1640625" style="1" customWidth="1"/>
    <col min="5" max="5" width="26" style="1" customWidth="1"/>
    <col min="6" max="6" width="14.5" style="1" customWidth="1"/>
    <col min="7" max="16384" width="9.1640625" style="1"/>
  </cols>
  <sheetData>
    <row r="1" spans="1:7">
      <c r="A1" s="9"/>
      <c r="B1" s="10"/>
      <c r="C1" s="11" t="s">
        <v>909</v>
      </c>
      <c r="D1" s="12"/>
      <c r="E1" s="13"/>
      <c r="F1" s="14"/>
    </row>
    <row r="2" spans="1:7">
      <c r="A2" s="9"/>
      <c r="B2" s="10"/>
      <c r="C2" s="15" t="s">
        <v>20</v>
      </c>
      <c r="D2" s="15"/>
      <c r="E2" s="13"/>
      <c r="F2" s="14"/>
    </row>
    <row r="3" spans="1:7" ht="33" customHeight="1">
      <c r="A3" s="791" t="s">
        <v>916</v>
      </c>
      <c r="B3" s="791"/>
      <c r="C3" s="791"/>
      <c r="D3" s="791"/>
      <c r="E3" s="791"/>
      <c r="F3" s="791"/>
    </row>
    <row r="4" spans="1:7" ht="26.25" customHeight="1">
      <c r="A4" s="796" t="s">
        <v>151</v>
      </c>
      <c r="B4" s="796"/>
      <c r="C4" s="796"/>
      <c r="D4" s="796"/>
      <c r="E4" s="796"/>
      <c r="F4" s="796"/>
    </row>
    <row r="5" spans="1:7">
      <c r="A5" s="16" t="s">
        <v>291</v>
      </c>
      <c r="B5" s="17"/>
      <c r="C5" s="17"/>
      <c r="D5" s="17"/>
      <c r="E5" s="17"/>
      <c r="F5" s="17"/>
    </row>
    <row r="6" spans="1:7">
      <c r="A6" s="16" t="s">
        <v>149</v>
      </c>
      <c r="B6" s="16"/>
      <c r="C6" s="18"/>
      <c r="D6" s="18"/>
      <c r="E6" s="18"/>
      <c r="F6" s="4"/>
      <c r="G6" s="121"/>
    </row>
    <row r="7" spans="1:7">
      <c r="A7" s="16" t="s">
        <v>924</v>
      </c>
      <c r="B7" s="16"/>
      <c r="C7" s="19"/>
      <c r="D7" s="16"/>
      <c r="E7" s="16"/>
      <c r="F7" s="4"/>
    </row>
    <row r="8" spans="1:7">
      <c r="A8" s="15"/>
      <c r="B8" s="20"/>
      <c r="C8" s="13"/>
      <c r="D8" s="13"/>
      <c r="E8" s="13"/>
      <c r="F8" s="2"/>
    </row>
    <row r="9" spans="1:7" ht="40.5" customHeight="1" thickBot="1">
      <c r="A9" s="97" t="s">
        <v>21</v>
      </c>
      <c r="B9" s="98" t="s">
        <v>22</v>
      </c>
      <c r="C9" s="997" t="s">
        <v>147</v>
      </c>
      <c r="D9" s="998"/>
      <c r="E9" s="98" t="s">
        <v>23</v>
      </c>
      <c r="F9" s="123"/>
    </row>
    <row r="10" spans="1:7" ht="15.75" customHeight="1" thickBot="1">
      <c r="A10" s="695" t="s">
        <v>24</v>
      </c>
      <c r="B10" s="959" t="s">
        <v>86</v>
      </c>
      <c r="C10" s="960"/>
      <c r="D10" s="960"/>
      <c r="E10" s="699"/>
      <c r="F10" s="700"/>
    </row>
    <row r="11" spans="1:7" ht="28">
      <c r="A11" s="141" t="s">
        <v>18</v>
      </c>
      <c r="B11" s="60" t="s">
        <v>245</v>
      </c>
      <c r="C11" s="993" t="s">
        <v>87</v>
      </c>
      <c r="D11" s="994"/>
      <c r="E11" s="142" t="s">
        <v>900</v>
      </c>
      <c r="F11" s="61">
        <f>E15</f>
        <v>34.369999999999997</v>
      </c>
    </row>
    <row r="12" spans="1:7">
      <c r="A12" s="21"/>
      <c r="B12" s="22" t="s">
        <v>203</v>
      </c>
      <c r="C12" s="27"/>
      <c r="D12" s="28"/>
      <c r="E12" s="29">
        <f>49.2+0.49*B13</f>
        <v>98.2</v>
      </c>
      <c r="F12" s="64"/>
    </row>
    <row r="13" spans="1:7">
      <c r="A13" s="21"/>
      <c r="B13" s="99">
        <v>100</v>
      </c>
      <c r="C13" s="27"/>
      <c r="D13" s="28"/>
      <c r="E13" s="29" t="s">
        <v>246</v>
      </c>
      <c r="F13" s="64"/>
    </row>
    <row r="14" spans="1:7">
      <c r="A14" s="72"/>
      <c r="B14" s="25"/>
      <c r="C14" s="70" t="s">
        <v>63</v>
      </c>
      <c r="D14" s="71">
        <v>0.7</v>
      </c>
      <c r="E14" s="81">
        <f>E12*D14</f>
        <v>68.739999999999995</v>
      </c>
      <c r="F14" s="76"/>
    </row>
    <row r="15" spans="1:7" ht="15" thickBot="1">
      <c r="A15" s="88"/>
      <c r="B15" s="89" t="s">
        <v>89</v>
      </c>
      <c r="C15" s="57" t="s">
        <v>292</v>
      </c>
      <c r="D15" s="58">
        <v>0.5</v>
      </c>
      <c r="E15" s="59">
        <f>E14*D15</f>
        <v>34.369999999999997</v>
      </c>
      <c r="F15" s="90"/>
    </row>
    <row r="16" spans="1:7" ht="28">
      <c r="A16" s="141" t="s">
        <v>16</v>
      </c>
      <c r="B16" s="188" t="s">
        <v>95</v>
      </c>
      <c r="C16" s="993" t="s">
        <v>90</v>
      </c>
      <c r="D16" s="994"/>
      <c r="E16" s="142" t="s">
        <v>900</v>
      </c>
      <c r="F16" s="61">
        <f>E18</f>
        <v>49.1</v>
      </c>
    </row>
    <row r="17" spans="1:6">
      <c r="A17" s="21"/>
      <c r="B17" s="22" t="s">
        <v>203</v>
      </c>
      <c r="C17" s="27"/>
      <c r="D17" s="28"/>
      <c r="E17" s="29">
        <f>49.2+0.49*B18</f>
        <v>98.2</v>
      </c>
      <c r="F17" s="64"/>
    </row>
    <row r="18" spans="1:6" ht="15" thickBot="1">
      <c r="A18" s="88"/>
      <c r="B18" s="200">
        <v>100</v>
      </c>
      <c r="C18" s="57" t="s">
        <v>292</v>
      </c>
      <c r="D18" s="58">
        <v>0.5</v>
      </c>
      <c r="E18" s="59">
        <f>E17*D18</f>
        <v>49.1</v>
      </c>
      <c r="F18" s="201"/>
    </row>
    <row r="19" spans="1:6" ht="28">
      <c r="A19" s="141" t="s">
        <v>27</v>
      </c>
      <c r="B19" s="142" t="s">
        <v>91</v>
      </c>
      <c r="C19" s="993" t="s">
        <v>92</v>
      </c>
      <c r="D19" s="994"/>
      <c r="E19" s="142" t="s">
        <v>93</v>
      </c>
      <c r="F19" s="61">
        <f>E21</f>
        <v>4.9050000000000002</v>
      </c>
    </row>
    <row r="20" spans="1:6">
      <c r="A20" s="21"/>
      <c r="B20" s="22" t="s">
        <v>247</v>
      </c>
      <c r="C20" s="27"/>
      <c r="D20" s="28"/>
      <c r="E20" s="29">
        <f>2.45+3.68*2</f>
        <v>9.81</v>
      </c>
      <c r="F20" s="64"/>
    </row>
    <row r="21" spans="1:6" ht="15" thickBot="1">
      <c r="A21" s="88"/>
      <c r="B21" s="89" t="s">
        <v>94</v>
      </c>
      <c r="C21" s="57" t="s">
        <v>292</v>
      </c>
      <c r="D21" s="58">
        <v>0.5</v>
      </c>
      <c r="E21" s="203">
        <f>E20*D21</f>
        <v>4.9050000000000002</v>
      </c>
      <c r="F21" s="90"/>
    </row>
    <row r="22" spans="1:6" ht="30">
      <c r="A22" s="140" t="s">
        <v>17</v>
      </c>
      <c r="B22" s="202" t="s">
        <v>95</v>
      </c>
      <c r="C22" s="995" t="s">
        <v>92</v>
      </c>
      <c r="D22" s="996"/>
      <c r="E22" s="92" t="s">
        <v>93</v>
      </c>
      <c r="F22" s="51">
        <f>E26</f>
        <v>3.4335</v>
      </c>
    </row>
    <row r="23" spans="1:6">
      <c r="A23" s="21"/>
      <c r="B23" s="22" t="s">
        <v>69</v>
      </c>
      <c r="C23" s="27"/>
      <c r="D23" s="28"/>
      <c r="E23" s="29">
        <f>2.45+3.68*B24</f>
        <v>9.81</v>
      </c>
      <c r="F23" s="64"/>
    </row>
    <row r="24" spans="1:6">
      <c r="A24" s="21"/>
      <c r="B24" s="99">
        <v>2</v>
      </c>
      <c r="C24" s="27"/>
      <c r="D24" s="28"/>
      <c r="E24" s="29" t="s">
        <v>248</v>
      </c>
      <c r="F24" s="64"/>
    </row>
    <row r="25" spans="1:6">
      <c r="A25" s="72"/>
      <c r="B25" s="25"/>
      <c r="C25" s="70" t="s">
        <v>63</v>
      </c>
      <c r="D25" s="71">
        <v>0.7</v>
      </c>
      <c r="E25" s="81">
        <f>E23*D25</f>
        <v>6.867</v>
      </c>
      <c r="F25" s="76"/>
    </row>
    <row r="26" spans="1:6" ht="15" thickBot="1">
      <c r="A26" s="21"/>
      <c r="B26" s="30" t="s">
        <v>96</v>
      </c>
      <c r="C26" s="27" t="s">
        <v>292</v>
      </c>
      <c r="D26" s="26">
        <v>0.5</v>
      </c>
      <c r="E26" s="101">
        <f>E25*D26</f>
        <v>3.4335</v>
      </c>
      <c r="F26" s="32"/>
    </row>
    <row r="27" spans="1:6" ht="15" thickBot="1">
      <c r="A27" s="701" t="s">
        <v>29</v>
      </c>
      <c r="B27" s="959" t="s">
        <v>33</v>
      </c>
      <c r="C27" s="960"/>
      <c r="D27" s="960"/>
      <c r="E27" s="960"/>
      <c r="F27" s="702"/>
    </row>
    <row r="28" spans="1:6" ht="28">
      <c r="A28" s="62" t="s">
        <v>19</v>
      </c>
      <c r="B28" s="34" t="s">
        <v>34</v>
      </c>
      <c r="C28" s="989" t="s">
        <v>35</v>
      </c>
      <c r="D28" s="990"/>
      <c r="E28" s="34" t="s">
        <v>249</v>
      </c>
      <c r="F28" s="23">
        <f>E30</f>
        <v>0.19991999999999999</v>
      </c>
    </row>
    <row r="29" spans="1:6">
      <c r="A29" s="62"/>
      <c r="B29" s="63">
        <v>15</v>
      </c>
      <c r="C29" s="25"/>
      <c r="D29" s="26"/>
      <c r="E29" s="53">
        <f>0.364+0.0035*B29</f>
        <v>0.41649999999999998</v>
      </c>
      <c r="F29" s="23"/>
    </row>
    <row r="30" spans="1:6">
      <c r="A30" s="21"/>
      <c r="B30" s="35"/>
      <c r="C30" s="27" t="s">
        <v>292</v>
      </c>
      <c r="D30" s="26">
        <v>0.48</v>
      </c>
      <c r="E30" s="44">
        <f>E29*D30</f>
        <v>0.19991999999999999</v>
      </c>
      <c r="F30" s="32"/>
    </row>
    <row r="31" spans="1:6" ht="42">
      <c r="A31" s="21" t="s">
        <v>12</v>
      </c>
      <c r="B31" s="34" t="s">
        <v>31</v>
      </c>
      <c r="C31" s="989" t="s">
        <v>37</v>
      </c>
      <c r="D31" s="990"/>
      <c r="E31" s="37" t="s">
        <v>250</v>
      </c>
      <c r="F31" s="23">
        <f>E33</f>
        <v>0.73009999999999997</v>
      </c>
    </row>
    <row r="32" spans="1:6">
      <c r="A32" s="21"/>
      <c r="B32" s="52">
        <v>15</v>
      </c>
      <c r="C32" s="25"/>
      <c r="D32" s="26"/>
      <c r="E32" s="36">
        <f>0.98+0.034*B32</f>
        <v>1.49</v>
      </c>
      <c r="F32" s="23"/>
    </row>
    <row r="33" spans="1:6">
      <c r="A33" s="21"/>
      <c r="B33" s="35"/>
      <c r="C33" s="27" t="s">
        <v>292</v>
      </c>
      <c r="D33" s="26">
        <v>0.49</v>
      </c>
      <c r="E33" s="66">
        <f>E32*D33</f>
        <v>0.73009999999999997</v>
      </c>
      <c r="F33" s="32"/>
    </row>
    <row r="34" spans="1:6" ht="28">
      <c r="A34" s="21" t="s">
        <v>13</v>
      </c>
      <c r="B34" s="35" t="s">
        <v>26</v>
      </c>
      <c r="C34" s="989" t="s">
        <v>37</v>
      </c>
      <c r="D34" s="990"/>
      <c r="E34" s="65" t="s">
        <v>251</v>
      </c>
      <c r="F34" s="23">
        <f>E36</f>
        <v>0.29693999999999998</v>
      </c>
    </row>
    <row r="35" spans="1:6">
      <c r="A35" s="21"/>
      <c r="B35" s="35">
        <v>15</v>
      </c>
      <c r="C35" s="25"/>
      <c r="D35" s="26"/>
      <c r="E35" s="65">
        <f>0.381+0.015*B35</f>
        <v>0.60599999999999998</v>
      </c>
      <c r="F35" s="23"/>
    </row>
    <row r="36" spans="1:6" ht="15" thickBot="1">
      <c r="A36" s="67"/>
      <c r="B36" s="68"/>
      <c r="C36" s="57" t="s">
        <v>292</v>
      </c>
      <c r="D36" s="58">
        <v>0.49</v>
      </c>
      <c r="E36" s="59">
        <f>E35*D36</f>
        <v>0.29693999999999998</v>
      </c>
      <c r="F36" s="204">
        <f>SUM(F34,F31,F28)</f>
        <v>1.2269600000000001</v>
      </c>
    </row>
    <row r="37" spans="1:6" ht="15" thickBot="1">
      <c r="A37" s="703" t="s">
        <v>40</v>
      </c>
      <c r="B37" s="959" t="s">
        <v>97</v>
      </c>
      <c r="C37" s="960"/>
      <c r="D37" s="960"/>
      <c r="E37" s="960"/>
      <c r="F37" s="704"/>
    </row>
    <row r="38" spans="1:6">
      <c r="A38" s="102"/>
      <c r="B38" s="103"/>
      <c r="C38" s="967" t="s">
        <v>98</v>
      </c>
      <c r="D38" s="968"/>
      <c r="E38" s="46"/>
      <c r="F38" s="47"/>
    </row>
    <row r="39" spans="1:6" ht="70">
      <c r="A39" s="104" t="s">
        <v>42</v>
      </c>
      <c r="B39" s="34" t="s">
        <v>30</v>
      </c>
      <c r="C39" s="969"/>
      <c r="D39" s="970"/>
      <c r="E39" s="34" t="s">
        <v>901</v>
      </c>
      <c r="F39" s="51">
        <f>E41</f>
        <v>5.8828000000000005</v>
      </c>
    </row>
    <row r="40" spans="1:6">
      <c r="A40" s="62"/>
      <c r="B40" s="35">
        <v>100</v>
      </c>
      <c r="C40" s="25"/>
      <c r="D40" s="26"/>
      <c r="E40" s="53">
        <f>7.57+0.058*B40</f>
        <v>13.370000000000001</v>
      </c>
      <c r="F40" s="23"/>
    </row>
    <row r="41" spans="1:6" ht="15" thickBot="1">
      <c r="A41" s="62"/>
      <c r="B41" s="105"/>
      <c r="C41" s="42" t="s">
        <v>292</v>
      </c>
      <c r="D41" s="43">
        <v>0.44</v>
      </c>
      <c r="E41" s="44">
        <f>E40*D41</f>
        <v>5.8828000000000005</v>
      </c>
      <c r="F41" s="45"/>
    </row>
    <row r="42" spans="1:6" ht="15" thickBot="1">
      <c r="A42" s="703" t="s">
        <v>64</v>
      </c>
      <c r="B42" s="959" t="s">
        <v>99</v>
      </c>
      <c r="C42" s="960"/>
      <c r="D42" s="960"/>
      <c r="E42" s="960"/>
      <c r="F42" s="705"/>
    </row>
    <row r="43" spans="1:6">
      <c r="A43" s="102"/>
      <c r="B43" s="205"/>
      <c r="C43" s="991" t="s">
        <v>188</v>
      </c>
      <c r="D43" s="992"/>
      <c r="E43" s="206"/>
      <c r="F43" s="207"/>
    </row>
    <row r="44" spans="1:6" ht="15" customHeight="1">
      <c r="A44" s="21" t="s">
        <v>19</v>
      </c>
      <c r="B44" s="34" t="s">
        <v>187</v>
      </c>
      <c r="C44" s="971"/>
      <c r="D44" s="972"/>
      <c r="E44" s="34" t="s">
        <v>890</v>
      </c>
      <c r="F44" s="23">
        <f>SUM(E46:E46)</f>
        <v>12.844000000000001</v>
      </c>
    </row>
    <row r="45" spans="1:6">
      <c r="A45" s="21"/>
      <c r="B45" s="35">
        <v>10</v>
      </c>
      <c r="C45" s="971"/>
      <c r="D45" s="972"/>
      <c r="E45" s="145">
        <f>4.9+2.89*10</f>
        <v>33.800000000000004</v>
      </c>
      <c r="F45" s="23"/>
    </row>
    <row r="46" spans="1:6" ht="15" thickBot="1">
      <c r="A46" s="88"/>
      <c r="B46" s="144"/>
      <c r="C46" s="57" t="s">
        <v>292</v>
      </c>
      <c r="D46" s="58">
        <v>0.38</v>
      </c>
      <c r="E46" s="59">
        <f>E45*D46</f>
        <v>12.844000000000001</v>
      </c>
      <c r="F46" s="90"/>
    </row>
    <row r="47" spans="1:6" ht="15" thickBot="1">
      <c r="A47" s="706" t="s">
        <v>76</v>
      </c>
      <c r="B47" s="959" t="s">
        <v>41</v>
      </c>
      <c r="C47" s="960"/>
      <c r="D47" s="960"/>
      <c r="E47" s="960"/>
      <c r="F47" s="707"/>
    </row>
    <row r="48" spans="1:6" ht="42">
      <c r="A48" s="21" t="s">
        <v>77</v>
      </c>
      <c r="B48" s="22" t="s">
        <v>100</v>
      </c>
      <c r="C48" s="971" t="s">
        <v>101</v>
      </c>
      <c r="D48" s="972"/>
      <c r="E48" s="24" t="s">
        <v>928</v>
      </c>
      <c r="F48" s="23">
        <f>E51</f>
        <v>522.83550000000002</v>
      </c>
    </row>
    <row r="49" spans="1:6">
      <c r="A49" s="106"/>
      <c r="B49" s="107">
        <v>200</v>
      </c>
      <c r="C49" s="108"/>
      <c r="D49" s="109"/>
      <c r="E49" s="110">
        <f>36.61+4.57*B49</f>
        <v>950.61</v>
      </c>
      <c r="F49" s="111"/>
    </row>
    <row r="50" spans="1:6">
      <c r="A50" s="72"/>
      <c r="B50" s="25"/>
      <c r="C50" s="70" t="s">
        <v>52</v>
      </c>
      <c r="D50" s="71">
        <v>1.1000000000000001</v>
      </c>
      <c r="E50" s="81">
        <f>E49*D50</f>
        <v>1045.671</v>
      </c>
      <c r="F50" s="76"/>
    </row>
    <row r="51" spans="1:6" ht="15" thickBot="1">
      <c r="A51" s="208"/>
      <c r="B51" s="209" t="s">
        <v>102</v>
      </c>
      <c r="C51" s="57" t="s">
        <v>292</v>
      </c>
      <c r="D51" s="58">
        <v>0.5</v>
      </c>
      <c r="E51" s="210">
        <f>E50*D51</f>
        <v>522.83550000000002</v>
      </c>
      <c r="F51" s="211"/>
    </row>
    <row r="52" spans="1:6" ht="54" customHeight="1">
      <c r="A52" s="141" t="s">
        <v>103</v>
      </c>
      <c r="B52" s="142" t="s">
        <v>213</v>
      </c>
      <c r="C52" s="961" t="s">
        <v>211</v>
      </c>
      <c r="D52" s="962"/>
      <c r="E52" s="188">
        <v>2.6960000000000002</v>
      </c>
      <c r="F52" s="61">
        <f>E58</f>
        <v>7.7948100000000009</v>
      </c>
    </row>
    <row r="53" spans="1:6">
      <c r="A53" s="21"/>
      <c r="B53" s="22" t="s">
        <v>285</v>
      </c>
      <c r="C53" s="70"/>
      <c r="D53" s="71"/>
      <c r="E53" s="24" t="s">
        <v>286</v>
      </c>
      <c r="F53" s="23"/>
    </row>
    <row r="54" spans="1:6">
      <c r="A54" s="72"/>
      <c r="B54" s="24"/>
      <c r="C54" s="73" t="s">
        <v>43</v>
      </c>
      <c r="D54" s="74">
        <v>1.2</v>
      </c>
      <c r="E54" s="75">
        <f>2.696*(1.2+0.2+0.1)</f>
        <v>4.0440000000000005</v>
      </c>
      <c r="F54" s="76"/>
    </row>
    <row r="55" spans="1:6">
      <c r="A55" s="72"/>
      <c r="B55" s="25"/>
      <c r="C55" s="73" t="s">
        <v>44</v>
      </c>
      <c r="D55" s="74">
        <v>1.2</v>
      </c>
      <c r="E55" s="75"/>
      <c r="F55" s="76"/>
    </row>
    <row r="56" spans="1:6">
      <c r="A56" s="72"/>
      <c r="B56" s="22"/>
      <c r="C56" s="73" t="s">
        <v>45</v>
      </c>
      <c r="D56" s="74">
        <v>1.1000000000000001</v>
      </c>
      <c r="E56" s="75"/>
      <c r="F56" s="77"/>
    </row>
    <row r="57" spans="1:6">
      <c r="A57" s="72"/>
      <c r="B57" s="78"/>
      <c r="C57" s="27" t="s">
        <v>144</v>
      </c>
      <c r="D57" s="79">
        <v>7.71</v>
      </c>
      <c r="E57" s="75">
        <f>E54*D57</f>
        <v>31.179240000000004</v>
      </c>
      <c r="F57" s="76"/>
    </row>
    <row r="58" spans="1:6" ht="15" thickBot="1">
      <c r="A58" s="172"/>
      <c r="B58" s="189"/>
      <c r="C58" s="57" t="s">
        <v>292</v>
      </c>
      <c r="D58" s="58">
        <v>0.25</v>
      </c>
      <c r="E58" s="124">
        <f>E57*D58</f>
        <v>7.7948100000000009</v>
      </c>
      <c r="F58" s="175"/>
    </row>
    <row r="59" spans="1:6" ht="25.5" customHeight="1">
      <c r="A59" s="141" t="s">
        <v>104</v>
      </c>
      <c r="B59" s="142" t="s">
        <v>47</v>
      </c>
      <c r="C59" s="991" t="s">
        <v>101</v>
      </c>
      <c r="D59" s="992"/>
      <c r="E59" s="188" t="s">
        <v>929</v>
      </c>
      <c r="F59" s="61">
        <f>E62</f>
        <v>223.95500000000001</v>
      </c>
    </row>
    <row r="60" spans="1:6">
      <c r="A60" s="106"/>
      <c r="B60" s="107" t="s">
        <v>105</v>
      </c>
      <c r="C60" s="114" t="s">
        <v>49</v>
      </c>
      <c r="D60" s="109"/>
      <c r="E60" s="110">
        <f>36.61+4.57*B61</f>
        <v>447.91</v>
      </c>
      <c r="F60" s="111"/>
    </row>
    <row r="61" spans="1:6">
      <c r="A61" s="106"/>
      <c r="B61" s="107">
        <v>90</v>
      </c>
      <c r="C61" s="27"/>
      <c r="D61" s="28"/>
      <c r="E61" s="29"/>
      <c r="F61" s="111"/>
    </row>
    <row r="62" spans="1:6" ht="15" thickBot="1">
      <c r="A62" s="208"/>
      <c r="B62" s="209" t="s">
        <v>106</v>
      </c>
      <c r="C62" s="57" t="s">
        <v>292</v>
      </c>
      <c r="D62" s="58">
        <v>0.5</v>
      </c>
      <c r="E62" s="59">
        <f>E60*D62</f>
        <v>223.95500000000001</v>
      </c>
      <c r="F62" s="211"/>
    </row>
    <row r="63" spans="1:6" ht="25.5" customHeight="1">
      <c r="A63" s="190" t="s">
        <v>107</v>
      </c>
      <c r="B63" s="142" t="s">
        <v>53</v>
      </c>
      <c r="C63" s="991" t="s">
        <v>54</v>
      </c>
      <c r="D63" s="992"/>
      <c r="E63" s="188">
        <v>85.45</v>
      </c>
      <c r="F63" s="61">
        <f>E65</f>
        <v>42.725000000000001</v>
      </c>
    </row>
    <row r="64" spans="1:6">
      <c r="A64" s="72"/>
      <c r="B64" s="22" t="s">
        <v>55</v>
      </c>
      <c r="C64" s="27"/>
      <c r="D64" s="28"/>
      <c r="E64" s="81"/>
      <c r="F64" s="111"/>
    </row>
    <row r="65" spans="1:6" ht="15" thickBot="1">
      <c r="A65" s="172"/>
      <c r="B65" s="191"/>
      <c r="C65" s="57" t="s">
        <v>292</v>
      </c>
      <c r="D65" s="58">
        <v>0.5</v>
      </c>
      <c r="E65" s="124">
        <f>E63*D65</f>
        <v>42.725000000000001</v>
      </c>
      <c r="F65" s="175"/>
    </row>
    <row r="66" spans="1:6" ht="28">
      <c r="A66" s="141" t="s">
        <v>108</v>
      </c>
      <c r="B66" s="142" t="s">
        <v>56</v>
      </c>
      <c r="C66" s="991" t="s">
        <v>109</v>
      </c>
      <c r="D66" s="992"/>
      <c r="E66" s="188" t="s">
        <v>215</v>
      </c>
      <c r="F66" s="61">
        <f>E69</f>
        <v>6</v>
      </c>
    </row>
    <row r="67" spans="1:6">
      <c r="A67" s="21"/>
      <c r="B67" s="107" t="s">
        <v>58</v>
      </c>
      <c r="C67" s="25"/>
      <c r="D67" s="26"/>
      <c r="E67" s="24">
        <f>2.4*B68</f>
        <v>12</v>
      </c>
      <c r="F67" s="23"/>
    </row>
    <row r="68" spans="1:6">
      <c r="A68" s="106"/>
      <c r="B68" s="115">
        <v>5</v>
      </c>
      <c r="C68" s="27"/>
      <c r="D68" s="28"/>
      <c r="E68" s="113"/>
      <c r="F68" s="111"/>
    </row>
    <row r="69" spans="1:6" ht="15" thickBot="1">
      <c r="A69" s="208"/>
      <c r="B69" s="209" t="s">
        <v>111</v>
      </c>
      <c r="C69" s="57" t="s">
        <v>292</v>
      </c>
      <c r="D69" s="58">
        <v>0.5</v>
      </c>
      <c r="E69" s="210">
        <f>E67*D69</f>
        <v>6</v>
      </c>
      <c r="F69" s="211"/>
    </row>
    <row r="70" spans="1:6" ht="28">
      <c r="A70" s="141" t="s">
        <v>112</v>
      </c>
      <c r="B70" s="142" t="s">
        <v>91</v>
      </c>
      <c r="C70" s="993" t="s">
        <v>113</v>
      </c>
      <c r="D70" s="994"/>
      <c r="E70" s="142" t="s">
        <v>900</v>
      </c>
      <c r="F70" s="61">
        <f>E74</f>
        <v>49.1</v>
      </c>
    </row>
    <row r="71" spans="1:6">
      <c r="A71" s="21"/>
      <c r="B71" s="22" t="s">
        <v>203</v>
      </c>
      <c r="C71" s="25"/>
      <c r="D71" s="26"/>
      <c r="E71" s="29">
        <f>49.2+0.49*B72</f>
        <v>98.2</v>
      </c>
      <c r="F71" s="23"/>
    </row>
    <row r="72" spans="1:6">
      <c r="A72" s="72"/>
      <c r="B72" s="212">
        <v>100</v>
      </c>
      <c r="C72" s="70"/>
      <c r="D72" s="71"/>
      <c r="E72" s="81"/>
      <c r="F72" s="76"/>
    </row>
    <row r="73" spans="1:6">
      <c r="A73" s="33"/>
      <c r="B73" s="99"/>
      <c r="C73" s="27"/>
      <c r="D73" s="28"/>
      <c r="E73" s="29">
        <f>E71</f>
        <v>98.2</v>
      </c>
      <c r="F73" s="111"/>
    </row>
    <row r="74" spans="1:6" ht="15" thickBot="1">
      <c r="A74" s="55"/>
      <c r="B74" s="89"/>
      <c r="C74" s="57" t="s">
        <v>292</v>
      </c>
      <c r="D74" s="58">
        <v>0.5</v>
      </c>
      <c r="E74" s="59">
        <f>E73*D74</f>
        <v>49.1</v>
      </c>
      <c r="F74" s="90"/>
    </row>
    <row r="75" spans="1:6" ht="25.5" customHeight="1">
      <c r="A75" s="21" t="s">
        <v>114</v>
      </c>
      <c r="B75" s="22" t="s">
        <v>59</v>
      </c>
      <c r="C75" s="987" t="s">
        <v>115</v>
      </c>
      <c r="D75" s="988"/>
      <c r="E75" s="142" t="s">
        <v>252</v>
      </c>
      <c r="F75" s="23">
        <f>E77</f>
        <v>42.24</v>
      </c>
    </row>
    <row r="76" spans="1:6">
      <c r="A76" s="21"/>
      <c r="B76" s="22" t="s">
        <v>203</v>
      </c>
      <c r="C76" s="25"/>
      <c r="D76" s="26"/>
      <c r="E76" s="29">
        <f>49.2+0.49*B77</f>
        <v>84.48</v>
      </c>
      <c r="F76" s="23"/>
    </row>
    <row r="77" spans="1:6" ht="15" thickBot="1">
      <c r="A77" s="33"/>
      <c r="B77" s="22">
        <v>72</v>
      </c>
      <c r="C77" s="27" t="s">
        <v>292</v>
      </c>
      <c r="D77" s="26">
        <v>0.5</v>
      </c>
      <c r="E77" s="31">
        <f>E76*D77</f>
        <v>42.24</v>
      </c>
      <c r="F77" s="116"/>
    </row>
    <row r="78" spans="1:6" ht="15" customHeight="1" thickBot="1">
      <c r="A78" s="706" t="s">
        <v>80</v>
      </c>
      <c r="B78" s="959" t="s">
        <v>116</v>
      </c>
      <c r="C78" s="960"/>
      <c r="D78" s="960"/>
      <c r="E78" s="960"/>
      <c r="F78" s="707"/>
    </row>
    <row r="79" spans="1:6" ht="25.5" customHeight="1">
      <c r="A79" s="741"/>
      <c r="B79" s="742" t="s">
        <v>931</v>
      </c>
      <c r="C79" s="743" t="s">
        <v>932</v>
      </c>
      <c r="D79" s="744"/>
      <c r="E79" s="745" t="s">
        <v>936</v>
      </c>
      <c r="F79" s="746">
        <f>E82</f>
        <v>601.76159999999993</v>
      </c>
    </row>
    <row r="80" spans="1:6">
      <c r="A80" s="741"/>
      <c r="B80" s="742">
        <v>12</v>
      </c>
      <c r="C80" s="743"/>
      <c r="D80" s="744"/>
      <c r="E80" s="745">
        <f>86.46*B80</f>
        <v>1037.52</v>
      </c>
      <c r="F80" s="747"/>
    </row>
    <row r="81" spans="1:6">
      <c r="A81" s="741"/>
      <c r="B81" s="742"/>
      <c r="C81" s="748"/>
      <c r="D81" s="749"/>
      <c r="E81" s="750"/>
      <c r="F81" s="750"/>
    </row>
    <row r="82" spans="1:6" ht="15" thickBot="1">
      <c r="A82" s="741"/>
      <c r="B82" s="751"/>
      <c r="C82" s="748" t="s">
        <v>934</v>
      </c>
      <c r="D82" s="744">
        <v>0.57999999999999996</v>
      </c>
      <c r="E82" s="752">
        <f>E80*D82</f>
        <v>601.76159999999993</v>
      </c>
      <c r="F82" s="752"/>
    </row>
    <row r="83" spans="1:6" ht="25.5" customHeight="1">
      <c r="A83" s="126"/>
      <c r="B83" s="127" t="s">
        <v>53</v>
      </c>
      <c r="C83" s="128" t="s">
        <v>937</v>
      </c>
      <c r="D83" s="130"/>
      <c r="E83" s="753" t="s">
        <v>938</v>
      </c>
      <c r="F83" s="754">
        <f>E86</f>
        <v>42.725000000000001</v>
      </c>
    </row>
    <row r="84" spans="1:6">
      <c r="A84" s="763"/>
      <c r="B84" s="149" t="s">
        <v>939</v>
      </c>
      <c r="C84" s="755" t="s">
        <v>49</v>
      </c>
      <c r="D84" s="756"/>
      <c r="E84" s="757">
        <f>85.45*B85</f>
        <v>85.45</v>
      </c>
      <c r="F84" s="758"/>
    </row>
    <row r="85" spans="1:6">
      <c r="A85" s="763"/>
      <c r="B85" s="759">
        <v>1</v>
      </c>
      <c r="C85" s="129"/>
      <c r="D85" s="151"/>
      <c r="E85" s="757"/>
      <c r="F85" s="758"/>
    </row>
    <row r="86" spans="1:6" ht="15" thickBot="1">
      <c r="A86" s="764"/>
      <c r="B86" s="760" t="s">
        <v>940</v>
      </c>
      <c r="C86" s="737" t="s">
        <v>934</v>
      </c>
      <c r="D86" s="738">
        <v>0.5</v>
      </c>
      <c r="E86" s="761">
        <f>E84*D86</f>
        <v>42.725000000000001</v>
      </c>
      <c r="F86" s="762"/>
    </row>
    <row r="87" spans="1:6" ht="25.5" customHeight="1">
      <c r="A87" s="21" t="s">
        <v>82</v>
      </c>
      <c r="B87" s="22" t="s">
        <v>66</v>
      </c>
      <c r="C87" s="987" t="s">
        <v>48</v>
      </c>
      <c r="D87" s="988"/>
      <c r="E87" s="24" t="s">
        <v>935</v>
      </c>
      <c r="F87" s="23">
        <f>E90</f>
        <v>73.14500000000001</v>
      </c>
    </row>
    <row r="88" spans="1:6" ht="28">
      <c r="A88" s="21"/>
      <c r="B88" s="107" t="s">
        <v>67</v>
      </c>
      <c r="C88" s="108"/>
      <c r="D88" s="109"/>
      <c r="E88" s="110">
        <f>36.61+4.57*B89</f>
        <v>146.29000000000002</v>
      </c>
      <c r="F88" s="111"/>
    </row>
    <row r="89" spans="1:6">
      <c r="A89" s="117"/>
      <c r="B89" s="115">
        <v>24</v>
      </c>
      <c r="C89" s="27"/>
      <c r="D89" s="28"/>
      <c r="E89" s="24"/>
      <c r="F89" s="111"/>
    </row>
    <row r="90" spans="1:6" ht="43" thickBot="1">
      <c r="A90" s="213"/>
      <c r="B90" s="214" t="s">
        <v>930</v>
      </c>
      <c r="C90" s="57" t="s">
        <v>292</v>
      </c>
      <c r="D90" s="58">
        <v>0.5</v>
      </c>
      <c r="E90" s="59">
        <f>E88*D90</f>
        <v>73.14500000000001</v>
      </c>
      <c r="F90" s="211"/>
    </row>
    <row r="91" spans="1:6" ht="28">
      <c r="A91" s="141" t="s">
        <v>117</v>
      </c>
      <c r="B91" s="142" t="s">
        <v>56</v>
      </c>
      <c r="C91" s="961" t="s">
        <v>118</v>
      </c>
      <c r="D91" s="962"/>
      <c r="E91" s="188" t="s">
        <v>110</v>
      </c>
      <c r="F91" s="61">
        <f>E94</f>
        <v>2.4</v>
      </c>
    </row>
    <row r="92" spans="1:6" ht="25.5" customHeight="1">
      <c r="A92" s="21"/>
      <c r="B92" s="107" t="s">
        <v>58</v>
      </c>
      <c r="C92" s="25"/>
      <c r="D92" s="26"/>
      <c r="E92" s="24">
        <f>2.4*B93</f>
        <v>4.8</v>
      </c>
      <c r="F92" s="23"/>
    </row>
    <row r="93" spans="1:6">
      <c r="A93" s="106"/>
      <c r="B93" s="115">
        <v>2</v>
      </c>
      <c r="C93" s="27"/>
      <c r="D93" s="28"/>
      <c r="E93" s="113"/>
      <c r="F93" s="111"/>
    </row>
    <row r="94" spans="1:6" ht="15" thickBot="1">
      <c r="A94" s="208"/>
      <c r="B94" s="209" t="s">
        <v>111</v>
      </c>
      <c r="C94" s="57" t="s">
        <v>292</v>
      </c>
      <c r="D94" s="58">
        <v>0.5</v>
      </c>
      <c r="E94" s="210">
        <f>E92*D94</f>
        <v>2.4</v>
      </c>
      <c r="F94" s="211"/>
    </row>
    <row r="95" spans="1:6" ht="28">
      <c r="A95" s="141" t="s">
        <v>119</v>
      </c>
      <c r="B95" s="142" t="s">
        <v>91</v>
      </c>
      <c r="C95" s="961" t="s">
        <v>92</v>
      </c>
      <c r="D95" s="962"/>
      <c r="E95" s="142" t="s">
        <v>120</v>
      </c>
      <c r="F95" s="61">
        <f>E99</f>
        <v>12.449500000000002</v>
      </c>
    </row>
    <row r="96" spans="1:6">
      <c r="A96" s="21"/>
      <c r="B96" s="22" t="s">
        <v>69</v>
      </c>
      <c r="C96" s="27"/>
      <c r="D96" s="28"/>
      <c r="E96" s="29">
        <f>2.45+3.68*B97</f>
        <v>35.570000000000007</v>
      </c>
      <c r="F96" s="64"/>
    </row>
    <row r="97" spans="1:6" ht="25.5" customHeight="1">
      <c r="A97" s="21"/>
      <c r="B97" s="99">
        <v>9</v>
      </c>
      <c r="C97" s="27"/>
      <c r="D97" s="28"/>
      <c r="E97" s="29" t="s">
        <v>253</v>
      </c>
      <c r="F97" s="64"/>
    </row>
    <row r="98" spans="1:6">
      <c r="A98" s="72"/>
      <c r="B98" s="25"/>
      <c r="C98" s="70" t="s">
        <v>63</v>
      </c>
      <c r="D98" s="71">
        <v>0.7</v>
      </c>
      <c r="E98" s="81">
        <f>E96*D98</f>
        <v>24.899000000000004</v>
      </c>
      <c r="F98" s="76"/>
    </row>
    <row r="99" spans="1:6" ht="15" thickBot="1">
      <c r="A99" s="88"/>
      <c r="B99" s="89"/>
      <c r="C99" s="57" t="s">
        <v>292</v>
      </c>
      <c r="D99" s="58">
        <v>0.5</v>
      </c>
      <c r="E99" s="59">
        <f>E98*D99</f>
        <v>12.449500000000002</v>
      </c>
      <c r="F99" s="90"/>
    </row>
    <row r="100" spans="1:6" ht="28">
      <c r="A100" s="140" t="s">
        <v>121</v>
      </c>
      <c r="B100" s="92" t="s">
        <v>59</v>
      </c>
      <c r="C100" s="973" t="s">
        <v>122</v>
      </c>
      <c r="D100" s="974"/>
      <c r="E100" s="92" t="s">
        <v>120</v>
      </c>
      <c r="F100" s="51">
        <f>E103</f>
        <v>17.785000000000004</v>
      </c>
    </row>
    <row r="101" spans="1:6">
      <c r="A101" s="33"/>
      <c r="B101" s="22" t="s">
        <v>69</v>
      </c>
      <c r="C101" s="27"/>
      <c r="D101" s="28"/>
      <c r="E101" s="29">
        <f>2.45+3.68*B102</f>
        <v>35.570000000000007</v>
      </c>
      <c r="F101" s="64"/>
    </row>
    <row r="102" spans="1:6">
      <c r="A102" s="33"/>
      <c r="B102" s="99">
        <v>9</v>
      </c>
      <c r="C102" s="27"/>
      <c r="D102" s="28"/>
      <c r="E102" s="29"/>
      <c r="F102" s="100"/>
    </row>
    <row r="103" spans="1:6" ht="15" thickBot="1">
      <c r="A103" s="21"/>
      <c r="B103" s="30"/>
      <c r="C103" s="27" t="s">
        <v>292</v>
      </c>
      <c r="D103" s="26">
        <v>0.5</v>
      </c>
      <c r="E103" s="44">
        <f>E101*D103</f>
        <v>17.785000000000004</v>
      </c>
      <c r="F103" s="45"/>
    </row>
    <row r="104" spans="1:6" ht="15" thickBot="1">
      <c r="A104" s="706" t="s">
        <v>123</v>
      </c>
      <c r="B104" s="959" t="s">
        <v>124</v>
      </c>
      <c r="C104" s="960"/>
      <c r="D104" s="960"/>
      <c r="E104" s="960"/>
      <c r="F104" s="707"/>
    </row>
    <row r="105" spans="1:6" ht="56">
      <c r="A105" s="126" t="s">
        <v>163</v>
      </c>
      <c r="B105" s="732" t="s">
        <v>931</v>
      </c>
      <c r="C105" s="128" t="s">
        <v>932</v>
      </c>
      <c r="D105" s="130"/>
      <c r="E105" s="733" t="s">
        <v>941</v>
      </c>
      <c r="F105" s="734">
        <f>E108</f>
        <v>300.88079999999997</v>
      </c>
    </row>
    <row r="106" spans="1:6" s="125" customFormat="1" ht="13">
      <c r="A106" s="148"/>
      <c r="B106" s="154">
        <v>6</v>
      </c>
      <c r="C106" s="156"/>
      <c r="D106" s="150"/>
      <c r="E106" s="157">
        <f>86.46*B106</f>
        <v>518.76</v>
      </c>
      <c r="F106" s="735"/>
    </row>
    <row r="107" spans="1:6" s="125" customFormat="1" ht="13">
      <c r="A107" s="765"/>
      <c r="B107" s="154"/>
      <c r="C107" s="129"/>
      <c r="D107" s="151"/>
      <c r="E107" s="152"/>
      <c r="F107" s="736"/>
    </row>
    <row r="108" spans="1:6" ht="15" thickBot="1">
      <c r="A108" s="229"/>
      <c r="B108" s="30" t="s">
        <v>126</v>
      </c>
      <c r="C108" s="737" t="s">
        <v>934</v>
      </c>
      <c r="D108" s="738">
        <v>0.57999999999999996</v>
      </c>
      <c r="E108" s="739">
        <f>E106*D108</f>
        <v>300.88079999999997</v>
      </c>
      <c r="F108" s="740"/>
    </row>
    <row r="109" spans="1:6" ht="28">
      <c r="A109" s="21" t="s">
        <v>125</v>
      </c>
      <c r="B109" s="22" t="s">
        <v>78</v>
      </c>
      <c r="C109" s="987" t="s">
        <v>79</v>
      </c>
      <c r="D109" s="988"/>
      <c r="E109" s="24" t="s">
        <v>902</v>
      </c>
      <c r="F109" s="23">
        <f>E112</f>
        <v>8.6399999999999988</v>
      </c>
    </row>
    <row r="110" spans="1:6">
      <c r="A110" s="21"/>
      <c r="B110" s="24">
        <v>6</v>
      </c>
      <c r="C110" s="25"/>
      <c r="D110" s="26"/>
      <c r="E110" s="24">
        <f>2.4*B110</f>
        <v>14.399999999999999</v>
      </c>
      <c r="F110" s="23"/>
    </row>
    <row r="111" spans="1:6">
      <c r="A111" s="21"/>
      <c r="B111" s="112"/>
      <c r="C111" s="27" t="s">
        <v>25</v>
      </c>
      <c r="D111" s="28">
        <v>1.2</v>
      </c>
      <c r="E111" s="29">
        <f>E110*D111</f>
        <v>17.279999999999998</v>
      </c>
      <c r="F111" s="23"/>
    </row>
    <row r="112" spans="1:6" ht="15" thickBot="1">
      <c r="A112" s="117"/>
      <c r="B112" s="30"/>
      <c r="C112" s="27" t="s">
        <v>292</v>
      </c>
      <c r="D112" s="26">
        <v>0.5</v>
      </c>
      <c r="E112" s="31">
        <f>E111*D112</f>
        <v>8.6399999999999988</v>
      </c>
      <c r="F112" s="32"/>
    </row>
    <row r="113" spans="1:6" ht="15" thickBot="1">
      <c r="A113" s="706" t="s">
        <v>127</v>
      </c>
      <c r="B113" s="959" t="s">
        <v>81</v>
      </c>
      <c r="C113" s="960"/>
      <c r="D113" s="960"/>
      <c r="E113" s="960"/>
      <c r="F113" s="707"/>
    </row>
    <row r="114" spans="1:6" ht="28">
      <c r="A114" s="21" t="s">
        <v>128</v>
      </c>
      <c r="B114" s="22" t="s">
        <v>78</v>
      </c>
      <c r="C114" s="987" t="s">
        <v>79</v>
      </c>
      <c r="D114" s="988"/>
      <c r="E114" s="24" t="s">
        <v>254</v>
      </c>
      <c r="F114" s="23">
        <f>E116</f>
        <v>58.8</v>
      </c>
    </row>
    <row r="115" spans="1:6">
      <c r="A115" s="21"/>
      <c r="B115" s="24">
        <v>49</v>
      </c>
      <c r="C115" s="25"/>
      <c r="D115" s="26"/>
      <c r="E115" s="24">
        <f>2.4*B115</f>
        <v>117.6</v>
      </c>
      <c r="F115" s="23"/>
    </row>
    <row r="116" spans="1:6" ht="29" thickBot="1">
      <c r="A116" s="40"/>
      <c r="B116" s="215" t="s">
        <v>85</v>
      </c>
      <c r="C116" s="42" t="s">
        <v>292</v>
      </c>
      <c r="D116" s="43">
        <v>0.5</v>
      </c>
      <c r="E116" s="44">
        <f>E115*D116</f>
        <v>58.8</v>
      </c>
      <c r="F116" s="45"/>
    </row>
    <row r="117" spans="1:6" ht="56">
      <c r="A117" s="126" t="s">
        <v>119</v>
      </c>
      <c r="B117" s="127" t="s">
        <v>942</v>
      </c>
      <c r="C117" s="128" t="s">
        <v>239</v>
      </c>
      <c r="D117" s="130"/>
      <c r="E117" s="766" t="s">
        <v>944</v>
      </c>
      <c r="F117" s="734">
        <f>E120</f>
        <v>933.92</v>
      </c>
    </row>
    <row r="118" spans="1:6">
      <c r="A118" s="155"/>
      <c r="B118" s="227">
        <v>51</v>
      </c>
      <c r="C118" s="129"/>
      <c r="D118" s="223"/>
      <c r="E118" s="767">
        <f>77.93+68.39*(0.4*6+0.6*B118)</f>
        <v>2334.7999999999997</v>
      </c>
      <c r="F118" s="768"/>
    </row>
    <row r="119" spans="1:6">
      <c r="A119" s="155"/>
      <c r="B119" s="769"/>
      <c r="C119" s="129"/>
      <c r="D119" s="151"/>
      <c r="E119" s="152"/>
      <c r="F119" s="770"/>
    </row>
    <row r="120" spans="1:6" ht="15" thickBot="1">
      <c r="A120" s="158"/>
      <c r="B120" s="161" t="s">
        <v>943</v>
      </c>
      <c r="C120" s="737" t="s">
        <v>934</v>
      </c>
      <c r="D120" s="738">
        <v>0.4</v>
      </c>
      <c r="E120" s="739">
        <f>E118*D120</f>
        <v>933.92</v>
      </c>
      <c r="F120" s="771"/>
    </row>
    <row r="121" spans="1:6" ht="15" thickBot="1">
      <c r="A121" s="697" t="s">
        <v>138</v>
      </c>
      <c r="B121" s="959" t="s">
        <v>198</v>
      </c>
      <c r="C121" s="960"/>
      <c r="D121" s="960"/>
      <c r="E121" s="960"/>
      <c r="F121" s="698"/>
    </row>
    <row r="122" spans="1:6" ht="28">
      <c r="A122" s="162" t="s">
        <v>160</v>
      </c>
      <c r="B122" s="163" t="s">
        <v>199</v>
      </c>
      <c r="C122" s="164" t="s">
        <v>200</v>
      </c>
      <c r="D122" s="165"/>
      <c r="E122" s="63">
        <v>109.85</v>
      </c>
      <c r="F122" s="170">
        <f>E123</f>
        <v>49.432499999999997</v>
      </c>
    </row>
    <row r="123" spans="1:6" ht="15" thickBot="1">
      <c r="A123" s="162"/>
      <c r="B123" s="169" t="s">
        <v>201</v>
      </c>
      <c r="C123" s="167" t="s">
        <v>292</v>
      </c>
      <c r="D123" s="168">
        <v>0.45</v>
      </c>
      <c r="E123" s="166">
        <f>109.85*D123</f>
        <v>49.432499999999997</v>
      </c>
      <c r="F123" s="171"/>
    </row>
    <row r="124" spans="1:6" ht="15" thickBot="1">
      <c r="A124" s="697" t="s">
        <v>139</v>
      </c>
      <c r="B124" s="959" t="s">
        <v>227</v>
      </c>
      <c r="C124" s="960"/>
      <c r="D124" s="960"/>
      <c r="E124" s="960"/>
      <c r="F124" s="698"/>
    </row>
    <row r="125" spans="1:6" ht="28">
      <c r="A125" s="140" t="s">
        <v>161</v>
      </c>
      <c r="B125" s="142" t="s">
        <v>59</v>
      </c>
      <c r="C125" s="973" t="s">
        <v>60</v>
      </c>
      <c r="D125" s="974"/>
      <c r="E125" s="92" t="s">
        <v>255</v>
      </c>
      <c r="F125" s="51">
        <f>E127</f>
        <v>36.605000000000004</v>
      </c>
    </row>
    <row r="126" spans="1:6">
      <c r="A126" s="21"/>
      <c r="B126" s="22" t="s">
        <v>61</v>
      </c>
      <c r="C126" s="25" t="s">
        <v>154</v>
      </c>
      <c r="D126" s="26"/>
      <c r="E126" s="29">
        <f>49.2+0.49*B127</f>
        <v>73.210000000000008</v>
      </c>
      <c r="F126" s="23"/>
    </row>
    <row r="127" spans="1:6" ht="15" thickBot="1">
      <c r="A127" s="172"/>
      <c r="B127" s="192">
        <v>49</v>
      </c>
      <c r="C127" s="57" t="s">
        <v>292</v>
      </c>
      <c r="D127" s="58">
        <v>0.5</v>
      </c>
      <c r="E127" s="174">
        <f>E126*D127</f>
        <v>36.605000000000004</v>
      </c>
      <c r="F127" s="175"/>
    </row>
    <row r="128" spans="1:6" ht="29" thickBot="1">
      <c r="A128" s="216"/>
      <c r="B128" s="217" t="s">
        <v>148</v>
      </c>
      <c r="C128" s="218"/>
      <c r="D128" s="219"/>
      <c r="E128" s="220"/>
      <c r="F128" s="221">
        <f>SUM(F11:F127)*1000</f>
        <v>3146183.93</v>
      </c>
    </row>
  </sheetData>
  <mergeCells count="36">
    <mergeCell ref="C19:D19"/>
    <mergeCell ref="C22:D22"/>
    <mergeCell ref="C9:D9"/>
    <mergeCell ref="C31:D31"/>
    <mergeCell ref="C34:D34"/>
    <mergeCell ref="B27:E27"/>
    <mergeCell ref="A3:F3"/>
    <mergeCell ref="A4:F4"/>
    <mergeCell ref="B10:D10"/>
    <mergeCell ref="C11:D11"/>
    <mergeCell ref="C16:D16"/>
    <mergeCell ref="B124:E124"/>
    <mergeCell ref="C125:D125"/>
    <mergeCell ref="C52:D52"/>
    <mergeCell ref="B121:E121"/>
    <mergeCell ref="B113:E113"/>
    <mergeCell ref="B104:E104"/>
    <mergeCell ref="C63:D63"/>
    <mergeCell ref="C66:D66"/>
    <mergeCell ref="C70:D70"/>
    <mergeCell ref="C109:D109"/>
    <mergeCell ref="C75:D75"/>
    <mergeCell ref="B78:E78"/>
    <mergeCell ref="C87:D87"/>
    <mergeCell ref="C91:D91"/>
    <mergeCell ref="C95:D95"/>
    <mergeCell ref="C100:D100"/>
    <mergeCell ref="B37:E37"/>
    <mergeCell ref="B42:E42"/>
    <mergeCell ref="C114:D114"/>
    <mergeCell ref="C28:D28"/>
    <mergeCell ref="B47:E47"/>
    <mergeCell ref="C48:D48"/>
    <mergeCell ref="C38:D39"/>
    <mergeCell ref="C43:D45"/>
    <mergeCell ref="C59:D59"/>
  </mergeCells>
  <pageMargins left="0.7" right="0.7" top="0.75" bottom="0.75" header="0.3" footer="0.3"/>
  <pageSetup paperSize="9" scale="7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3"/>
  <sheetViews>
    <sheetView view="pageBreakPreview" topLeftCell="A40" zoomScale="130" zoomScaleSheetLayoutView="130" workbookViewId="0">
      <selection activeCell="A8" sqref="A8"/>
    </sheetView>
  </sheetViews>
  <sheetFormatPr baseColWidth="10" defaultColWidth="9.1640625" defaultRowHeight="14"/>
  <cols>
    <col min="1" max="1" width="5" style="1" bestFit="1" customWidth="1"/>
    <col min="2" max="2" width="31.33203125" style="1" customWidth="1"/>
    <col min="3" max="3" width="18.5" style="1" customWidth="1"/>
    <col min="4" max="4" width="15" style="1" customWidth="1"/>
    <col min="5" max="5" width="16" style="1" customWidth="1"/>
    <col min="6" max="6" width="16.5" style="1" customWidth="1"/>
    <col min="7" max="16384" width="9.1640625" style="1"/>
  </cols>
  <sheetData>
    <row r="1" spans="1:6">
      <c r="A1" s="9"/>
      <c r="B1" s="10"/>
      <c r="C1" s="11" t="s">
        <v>910</v>
      </c>
      <c r="D1" s="12"/>
      <c r="E1" s="13"/>
      <c r="F1" s="14"/>
    </row>
    <row r="2" spans="1:6">
      <c r="A2" s="9"/>
      <c r="B2" s="10"/>
      <c r="C2" s="15" t="s">
        <v>20</v>
      </c>
      <c r="D2" s="15"/>
      <c r="E2" s="13"/>
      <c r="F2" s="14"/>
    </row>
    <row r="3" spans="1:6" ht="30.75" customHeight="1">
      <c r="A3" s="791" t="s">
        <v>916</v>
      </c>
      <c r="B3" s="791"/>
      <c r="C3" s="791"/>
      <c r="D3" s="791"/>
      <c r="E3" s="791"/>
      <c r="F3" s="791"/>
    </row>
    <row r="4" spans="1:6" ht="25.5" customHeight="1">
      <c r="A4" s="796" t="s">
        <v>153</v>
      </c>
      <c r="B4" s="796"/>
      <c r="C4" s="796"/>
      <c r="D4" s="796"/>
      <c r="E4" s="796"/>
      <c r="F4" s="796"/>
    </row>
    <row r="5" spans="1:6">
      <c r="A5" s="16" t="s">
        <v>291</v>
      </c>
      <c r="B5" s="17"/>
      <c r="C5" s="17"/>
      <c r="D5" s="17"/>
      <c r="E5" s="17"/>
      <c r="F5" s="17"/>
    </row>
    <row r="6" spans="1:6">
      <c r="A6" s="16" t="s">
        <v>149</v>
      </c>
      <c r="B6" s="16"/>
      <c r="C6" s="18"/>
      <c r="D6" s="18"/>
      <c r="E6" s="18"/>
      <c r="F6" s="4"/>
    </row>
    <row r="7" spans="1:6">
      <c r="A7" s="16" t="s">
        <v>924</v>
      </c>
      <c r="B7" s="16"/>
      <c r="C7" s="19"/>
      <c r="D7" s="16"/>
      <c r="E7" s="16"/>
      <c r="F7" s="4"/>
    </row>
    <row r="8" spans="1:6" ht="15" thickBot="1">
      <c r="A8" s="15"/>
      <c r="B8" s="20"/>
      <c r="C8" s="13"/>
      <c r="D8" s="13"/>
      <c r="E8" s="13"/>
      <c r="F8" s="2"/>
    </row>
    <row r="9" spans="1:6" ht="26.25" customHeight="1" thickBot="1">
      <c r="A9" s="708" t="s">
        <v>21</v>
      </c>
      <c r="B9" s="699" t="s">
        <v>22</v>
      </c>
      <c r="C9" s="999" t="s">
        <v>147</v>
      </c>
      <c r="D9" s="999"/>
      <c r="E9" s="699" t="s">
        <v>23</v>
      </c>
      <c r="F9" s="709"/>
    </row>
    <row r="10" spans="1:6" s="125" customFormat="1" ht="16" thickBot="1">
      <c r="A10" s="710" t="s">
        <v>29</v>
      </c>
      <c r="B10" s="711" t="s">
        <v>256</v>
      </c>
      <c r="C10" s="712"/>
      <c r="D10" s="713"/>
      <c r="E10" s="714"/>
      <c r="F10" s="715"/>
    </row>
    <row r="11" spans="1:6" s="125" customFormat="1" ht="28">
      <c r="A11" s="126" t="s">
        <v>19</v>
      </c>
      <c r="B11" s="222" t="s">
        <v>91</v>
      </c>
      <c r="C11" s="128" t="s">
        <v>257</v>
      </c>
      <c r="D11" s="130"/>
      <c r="E11" s="230" t="s">
        <v>133</v>
      </c>
      <c r="F11" s="238">
        <f>E14</f>
        <v>22.564999999999998</v>
      </c>
    </row>
    <row r="12" spans="1:6" s="125" customFormat="1">
      <c r="A12" s="155"/>
      <c r="B12" s="149" t="s">
        <v>134</v>
      </c>
      <c r="C12" s="129" t="s">
        <v>258</v>
      </c>
      <c r="D12" s="223">
        <v>0.7</v>
      </c>
      <c r="E12" s="231">
        <f>29.45+0.98*16</f>
        <v>45.129999999999995</v>
      </c>
      <c r="F12" s="239"/>
    </row>
    <row r="13" spans="1:6" s="125" customFormat="1" ht="13">
      <c r="A13" s="155"/>
      <c r="B13" s="159">
        <v>12</v>
      </c>
      <c r="C13" s="129"/>
      <c r="D13" s="151"/>
      <c r="E13" s="152"/>
      <c r="F13" s="240"/>
    </row>
    <row r="14" spans="1:6" s="125" customFormat="1" thickBot="1">
      <c r="A14" s="158"/>
      <c r="B14" s="161"/>
      <c r="C14" s="193" t="s">
        <v>292</v>
      </c>
      <c r="D14" s="194">
        <v>0.5</v>
      </c>
      <c r="E14" s="232">
        <f>E12*D14</f>
        <v>22.564999999999998</v>
      </c>
      <c r="F14" s="241"/>
    </row>
    <row r="15" spans="1:6" s="125" customFormat="1" ht="28">
      <c r="A15" s="126" t="s">
        <v>12</v>
      </c>
      <c r="B15" s="127" t="s">
        <v>59</v>
      </c>
      <c r="C15" s="128" t="s">
        <v>135</v>
      </c>
      <c r="D15" s="130"/>
      <c r="E15" s="230" t="s">
        <v>133</v>
      </c>
      <c r="F15" s="238">
        <f>E18</f>
        <v>22.564999999999998</v>
      </c>
    </row>
    <row r="16" spans="1:6" s="125" customFormat="1">
      <c r="A16" s="148"/>
      <c r="B16" s="149" t="s">
        <v>134</v>
      </c>
      <c r="C16" s="129"/>
      <c r="D16" s="223"/>
      <c r="E16" s="231">
        <f>29.45+0.98*16</f>
        <v>45.129999999999995</v>
      </c>
      <c r="F16" s="239"/>
    </row>
    <row r="17" spans="1:6" s="125" customFormat="1" ht="13">
      <c r="A17" s="148"/>
      <c r="B17" s="159">
        <v>12</v>
      </c>
      <c r="C17" s="129"/>
      <c r="D17" s="151"/>
      <c r="E17" s="152"/>
      <c r="F17" s="240"/>
    </row>
    <row r="18" spans="1:6" s="125" customFormat="1" thickBot="1">
      <c r="A18" s="153"/>
      <c r="B18" s="161"/>
      <c r="C18" s="193" t="s">
        <v>292</v>
      </c>
      <c r="D18" s="194">
        <v>0.5</v>
      </c>
      <c r="E18" s="232">
        <f>E16*D18</f>
        <v>22.564999999999998</v>
      </c>
      <c r="F18" s="241"/>
    </row>
    <row r="19" spans="1:6" s="125" customFormat="1" ht="15" thickBot="1">
      <c r="A19" s="716" t="s">
        <v>32</v>
      </c>
      <c r="B19" s="717" t="s">
        <v>259</v>
      </c>
      <c r="C19" s="718"/>
      <c r="D19" s="719"/>
      <c r="E19" s="720"/>
      <c r="F19" s="721"/>
    </row>
    <row r="20" spans="1:6" s="125" customFormat="1" ht="28">
      <c r="A20" s="126" t="s">
        <v>14</v>
      </c>
      <c r="B20" s="222" t="s">
        <v>91</v>
      </c>
      <c r="C20" s="128" t="s">
        <v>260</v>
      </c>
      <c r="D20" s="130"/>
      <c r="E20" s="230" t="s">
        <v>93</v>
      </c>
      <c r="F20" s="238">
        <f>E23</f>
        <v>4.9050000000000002</v>
      </c>
    </row>
    <row r="21" spans="1:6" s="125" customFormat="1">
      <c r="A21" s="148"/>
      <c r="B21" s="149" t="s">
        <v>69</v>
      </c>
      <c r="C21" s="129"/>
      <c r="D21" s="223"/>
      <c r="E21" s="231">
        <f>2.45+3.68*B22</f>
        <v>9.81</v>
      </c>
      <c r="F21" s="239"/>
    </row>
    <row r="22" spans="1:6" s="125" customFormat="1" ht="13">
      <c r="A22" s="148"/>
      <c r="B22" s="159">
        <v>2</v>
      </c>
      <c r="C22" s="129"/>
      <c r="D22" s="151"/>
      <c r="E22" s="152"/>
      <c r="F22" s="240"/>
    </row>
    <row r="23" spans="1:6" s="125" customFormat="1" ht="29" thickBot="1">
      <c r="A23" s="153"/>
      <c r="B23" s="161" t="s">
        <v>261</v>
      </c>
      <c r="C23" s="233" t="s">
        <v>292</v>
      </c>
      <c r="D23" s="234">
        <v>0.5</v>
      </c>
      <c r="E23" s="232">
        <f>E21*D23</f>
        <v>4.9050000000000002</v>
      </c>
      <c r="F23" s="241"/>
    </row>
    <row r="24" spans="1:6" s="125" customFormat="1" ht="28">
      <c r="A24" s="126" t="s">
        <v>15</v>
      </c>
      <c r="B24" s="225" t="s">
        <v>59</v>
      </c>
      <c r="C24" s="128" t="s">
        <v>262</v>
      </c>
      <c r="D24" s="130"/>
      <c r="E24" s="230" t="s">
        <v>93</v>
      </c>
      <c r="F24" s="238">
        <f>E27</f>
        <v>4.9050000000000002</v>
      </c>
    </row>
    <row r="25" spans="1:6" s="125" customFormat="1">
      <c r="A25" s="155"/>
      <c r="B25" s="149" t="s">
        <v>69</v>
      </c>
      <c r="C25" s="129"/>
      <c r="D25" s="223"/>
      <c r="E25" s="231">
        <f>2.45+3.68*B26</f>
        <v>9.81</v>
      </c>
      <c r="F25" s="239"/>
    </row>
    <row r="26" spans="1:6" s="125" customFormat="1" ht="13.5" customHeight="1">
      <c r="A26" s="155"/>
      <c r="B26" s="224">
        <v>2</v>
      </c>
      <c r="C26" s="129"/>
      <c r="D26" s="151"/>
      <c r="E26" s="152"/>
      <c r="F26" s="240"/>
    </row>
    <row r="27" spans="1:6" s="125" customFormat="1" ht="29" thickBot="1">
      <c r="A27" s="158"/>
      <c r="B27" s="161" t="s">
        <v>261</v>
      </c>
      <c r="C27" s="233" t="s">
        <v>292</v>
      </c>
      <c r="D27" s="234">
        <v>0.5</v>
      </c>
      <c r="E27" s="232">
        <f>E25*D27</f>
        <v>4.9050000000000002</v>
      </c>
      <c r="F27" s="241"/>
    </row>
    <row r="28" spans="1:6" s="125" customFormat="1" ht="15" thickBot="1">
      <c r="A28" s="710" t="s">
        <v>40</v>
      </c>
      <c r="B28" s="722" t="s">
        <v>263</v>
      </c>
      <c r="C28" s="723"/>
      <c r="D28" s="724"/>
      <c r="E28" s="725"/>
      <c r="F28" s="726"/>
    </row>
    <row r="29" spans="1:6" s="125" customFormat="1" ht="28">
      <c r="A29" s="148" t="s">
        <v>42</v>
      </c>
      <c r="B29" s="225" t="s">
        <v>264</v>
      </c>
      <c r="C29" s="156" t="s">
        <v>265</v>
      </c>
      <c r="D29" s="150"/>
      <c r="E29" s="236" t="s">
        <v>36</v>
      </c>
      <c r="F29" s="242">
        <f>E32</f>
        <v>0.17976</v>
      </c>
    </row>
    <row r="30" spans="1:6" s="125" customFormat="1" ht="28">
      <c r="A30" s="148"/>
      <c r="B30" s="149" t="s">
        <v>266</v>
      </c>
      <c r="C30" s="129"/>
      <c r="D30" s="223"/>
      <c r="E30" s="231">
        <f>0.364+0.0035*B31</f>
        <v>0.3745</v>
      </c>
      <c r="F30" s="239"/>
    </row>
    <row r="31" spans="1:6" s="125" customFormat="1" ht="13">
      <c r="A31" s="148"/>
      <c r="B31" s="154">
        <v>3</v>
      </c>
      <c r="C31" s="129"/>
      <c r="D31" s="151"/>
      <c r="E31" s="152"/>
      <c r="F31" s="240"/>
    </row>
    <row r="32" spans="1:6" s="125" customFormat="1" thickBot="1">
      <c r="A32" s="153"/>
      <c r="B32" s="160"/>
      <c r="C32" s="233" t="s">
        <v>292</v>
      </c>
      <c r="D32" s="234">
        <v>0.48</v>
      </c>
      <c r="E32" s="232">
        <f>E30*D32</f>
        <v>0.17976</v>
      </c>
      <c r="F32" s="241"/>
    </row>
    <row r="33" spans="1:6" s="125" customFormat="1" ht="28">
      <c r="A33" s="148" t="s">
        <v>46</v>
      </c>
      <c r="B33" s="225" t="s">
        <v>267</v>
      </c>
      <c r="C33" s="156" t="s">
        <v>268</v>
      </c>
      <c r="D33" s="150"/>
      <c r="E33" s="236" t="s">
        <v>38</v>
      </c>
      <c r="F33" s="242">
        <f>E36</f>
        <v>0.53017999999999998</v>
      </c>
    </row>
    <row r="34" spans="1:6" s="125" customFormat="1" ht="42">
      <c r="A34" s="148"/>
      <c r="B34" s="149" t="s">
        <v>269</v>
      </c>
      <c r="C34" s="129"/>
      <c r="D34" s="223"/>
      <c r="E34" s="231">
        <f>0.98+0.034*B35</f>
        <v>1.0820000000000001</v>
      </c>
      <c r="F34" s="239"/>
    </row>
    <row r="35" spans="1:6" s="125" customFormat="1" ht="13">
      <c r="A35" s="148"/>
      <c r="B35" s="154">
        <v>3</v>
      </c>
      <c r="C35" s="129"/>
      <c r="D35" s="151"/>
      <c r="E35" s="152"/>
      <c r="F35" s="240"/>
    </row>
    <row r="36" spans="1:6" s="125" customFormat="1" thickBot="1">
      <c r="A36" s="153"/>
      <c r="B36" s="160"/>
      <c r="C36" s="233" t="s">
        <v>292</v>
      </c>
      <c r="D36" s="234">
        <v>0.49</v>
      </c>
      <c r="E36" s="232">
        <f>E34*D36</f>
        <v>0.53017999999999998</v>
      </c>
      <c r="F36" s="241"/>
    </row>
    <row r="37" spans="1:6" s="125" customFormat="1" ht="28">
      <c r="A37" s="148" t="s">
        <v>50</v>
      </c>
      <c r="B37" s="226" t="s">
        <v>270</v>
      </c>
      <c r="C37" s="156" t="s">
        <v>271</v>
      </c>
      <c r="D37" s="150"/>
      <c r="E37" s="236" t="s">
        <v>272</v>
      </c>
      <c r="F37" s="242">
        <f>E39</f>
        <v>0.20873999999999998</v>
      </c>
    </row>
    <row r="38" spans="1:6" s="125" customFormat="1" ht="13">
      <c r="A38" s="148"/>
      <c r="B38" s="227">
        <v>3</v>
      </c>
      <c r="C38" s="129"/>
      <c r="D38" s="223"/>
      <c r="E38" s="231">
        <f>0.381+0.015*B38</f>
        <v>0.42599999999999999</v>
      </c>
      <c r="F38" s="239"/>
    </row>
    <row r="39" spans="1:6" s="125" customFormat="1" thickBot="1">
      <c r="A39" s="153"/>
      <c r="B39" s="228"/>
      <c r="C39" s="233" t="s">
        <v>292</v>
      </c>
      <c r="D39" s="234">
        <v>0.49</v>
      </c>
      <c r="E39" s="232">
        <f>E38*D39</f>
        <v>0.20873999999999998</v>
      </c>
      <c r="F39" s="241"/>
    </row>
    <row r="40" spans="1:6" s="125" customFormat="1" thickBot="1">
      <c r="A40" s="710" t="s">
        <v>64</v>
      </c>
      <c r="B40" s="727" t="s">
        <v>273</v>
      </c>
      <c r="C40" s="728"/>
      <c r="D40" s="719"/>
      <c r="E40" s="720"/>
      <c r="F40" s="721"/>
    </row>
    <row r="41" spans="1:6" s="125" customFormat="1" ht="28">
      <c r="A41" s="126" t="s">
        <v>65</v>
      </c>
      <c r="B41" s="149" t="s">
        <v>78</v>
      </c>
      <c r="C41" s="156" t="s">
        <v>274</v>
      </c>
      <c r="D41" s="130"/>
      <c r="E41" s="237" t="s">
        <v>110</v>
      </c>
      <c r="F41" s="238">
        <f>E43</f>
        <v>2.4</v>
      </c>
    </row>
    <row r="42" spans="1:6" s="125" customFormat="1" ht="13">
      <c r="A42" s="148"/>
      <c r="B42" s="154">
        <v>2</v>
      </c>
      <c r="C42" s="156"/>
      <c r="D42" s="150"/>
      <c r="E42" s="157">
        <f>2.4*B42</f>
        <v>4.8</v>
      </c>
      <c r="F42" s="242"/>
    </row>
    <row r="43" spans="1:6" s="125" customFormat="1" thickBot="1">
      <c r="A43" s="229"/>
      <c r="B43" s="161"/>
      <c r="C43" s="233" t="s">
        <v>292</v>
      </c>
      <c r="D43" s="234">
        <v>0.5</v>
      </c>
      <c r="E43" s="232">
        <f>E42*D43</f>
        <v>2.4</v>
      </c>
      <c r="F43" s="241"/>
    </row>
    <row r="44" spans="1:6" s="125" customFormat="1" thickBot="1">
      <c r="A44" s="710" t="s">
        <v>76</v>
      </c>
      <c r="B44" s="727" t="s">
        <v>275</v>
      </c>
      <c r="C44" s="728"/>
      <c r="D44" s="719"/>
      <c r="E44" s="720"/>
      <c r="F44" s="721"/>
    </row>
    <row r="45" spans="1:6" s="125" customFormat="1" ht="28">
      <c r="A45" s="148" t="s">
        <v>77</v>
      </c>
      <c r="B45" s="149" t="s">
        <v>78</v>
      </c>
      <c r="C45" s="156" t="s">
        <v>274</v>
      </c>
      <c r="D45" s="130"/>
      <c r="E45" s="237" t="s">
        <v>110</v>
      </c>
      <c r="F45" s="238">
        <f>E47</f>
        <v>2.4</v>
      </c>
    </row>
    <row r="46" spans="1:6" s="125" customFormat="1" ht="13">
      <c r="A46" s="148"/>
      <c r="B46" s="154">
        <v>2</v>
      </c>
      <c r="C46" s="156"/>
      <c r="D46" s="150"/>
      <c r="E46" s="157">
        <f>2.4*B46</f>
        <v>4.8</v>
      </c>
      <c r="F46" s="242"/>
    </row>
    <row r="47" spans="1:6" s="125" customFormat="1" ht="43" thickBot="1">
      <c r="A47" s="148"/>
      <c r="B47" s="161" t="s">
        <v>85</v>
      </c>
      <c r="C47" s="233" t="s">
        <v>292</v>
      </c>
      <c r="D47" s="234">
        <v>0.5</v>
      </c>
      <c r="E47" s="232">
        <f>E46*D47</f>
        <v>2.4</v>
      </c>
      <c r="F47" s="241"/>
    </row>
    <row r="48" spans="1:6" s="125" customFormat="1" thickBot="1">
      <c r="A48" s="710" t="s">
        <v>80</v>
      </c>
      <c r="B48" s="727" t="s">
        <v>276</v>
      </c>
      <c r="C48" s="728"/>
      <c r="D48" s="719"/>
      <c r="E48" s="720"/>
      <c r="F48" s="721"/>
    </row>
    <row r="49" spans="1:6" s="125" customFormat="1" ht="28">
      <c r="A49" s="126" t="s">
        <v>82</v>
      </c>
      <c r="B49" s="149" t="s">
        <v>78</v>
      </c>
      <c r="C49" s="156" t="s">
        <v>274</v>
      </c>
      <c r="D49" s="130"/>
      <c r="E49" s="237" t="s">
        <v>110</v>
      </c>
      <c r="F49" s="238">
        <f>E51</f>
        <v>2.4</v>
      </c>
    </row>
    <row r="50" spans="1:6" s="125" customFormat="1" ht="13">
      <c r="A50" s="148"/>
      <c r="B50" s="154">
        <v>2</v>
      </c>
      <c r="C50" s="156"/>
      <c r="D50" s="150"/>
      <c r="E50" s="157">
        <f>2.4*B50</f>
        <v>4.8</v>
      </c>
      <c r="F50" s="242"/>
    </row>
    <row r="51" spans="1:6" s="125" customFormat="1" thickBot="1">
      <c r="A51" s="229"/>
      <c r="B51" s="161"/>
      <c r="C51" s="233" t="s">
        <v>292</v>
      </c>
      <c r="D51" s="234">
        <v>0.5</v>
      </c>
      <c r="E51" s="232">
        <f>E50*D51</f>
        <v>2.4</v>
      </c>
      <c r="F51" s="241"/>
    </row>
    <row r="52" spans="1:6" s="125" customFormat="1" thickBot="1">
      <c r="A52" s="710" t="s">
        <v>123</v>
      </c>
      <c r="B52" s="727" t="s">
        <v>277</v>
      </c>
      <c r="C52" s="728"/>
      <c r="D52" s="719"/>
      <c r="E52" s="720"/>
      <c r="F52" s="721"/>
    </row>
    <row r="53" spans="1:6" s="125" customFormat="1" ht="28">
      <c r="A53" s="148" t="s">
        <v>125</v>
      </c>
      <c r="B53" s="149" t="s">
        <v>78</v>
      </c>
      <c r="C53" s="156" t="s">
        <v>274</v>
      </c>
      <c r="D53" s="130"/>
      <c r="E53" s="237" t="s">
        <v>110</v>
      </c>
      <c r="F53" s="238">
        <f>E55</f>
        <v>2.4</v>
      </c>
    </row>
    <row r="54" spans="1:6" s="125" customFormat="1" ht="13">
      <c r="A54" s="148"/>
      <c r="B54" s="154">
        <v>2</v>
      </c>
      <c r="C54" s="156"/>
      <c r="D54" s="150"/>
      <c r="E54" s="157">
        <f>2.4*B54</f>
        <v>4.8</v>
      </c>
      <c r="F54" s="242"/>
    </row>
    <row r="55" spans="1:6" s="125" customFormat="1" ht="43" thickBot="1">
      <c r="A55" s="148"/>
      <c r="B55" s="161" t="s">
        <v>85</v>
      </c>
      <c r="C55" s="233" t="s">
        <v>292</v>
      </c>
      <c r="D55" s="234">
        <v>0.5</v>
      </c>
      <c r="E55" s="232">
        <f>E54*D55</f>
        <v>2.4</v>
      </c>
      <c r="F55" s="241"/>
    </row>
    <row r="56" spans="1:6" s="125" customFormat="1" thickBot="1">
      <c r="A56" s="710" t="s">
        <v>127</v>
      </c>
      <c r="B56" s="1000" t="s">
        <v>278</v>
      </c>
      <c r="C56" s="1001"/>
      <c r="D56" s="1001"/>
      <c r="E56" s="1001"/>
      <c r="F56" s="726"/>
    </row>
    <row r="57" spans="1:6" s="125" customFormat="1" ht="28">
      <c r="A57" s="148" t="s">
        <v>128</v>
      </c>
      <c r="B57" s="149" t="s">
        <v>129</v>
      </c>
      <c r="C57" s="156" t="s">
        <v>130</v>
      </c>
      <c r="D57" s="130"/>
      <c r="E57" s="237" t="s">
        <v>131</v>
      </c>
      <c r="F57" s="238">
        <f>E58</f>
        <v>3.3971999999999998</v>
      </c>
    </row>
    <row r="58" spans="1:6" s="125" customFormat="1" ht="15" thickBot="1">
      <c r="A58" s="153"/>
      <c r="B58" s="161" t="s">
        <v>132</v>
      </c>
      <c r="C58" s="233" t="s">
        <v>292</v>
      </c>
      <c r="D58" s="234">
        <v>0.38</v>
      </c>
      <c r="E58" s="232">
        <f>8.94*D58</f>
        <v>3.3971999999999998</v>
      </c>
      <c r="F58" s="241"/>
    </row>
    <row r="59" spans="1:6" s="125" customFormat="1" ht="28">
      <c r="A59" s="148" t="s">
        <v>159</v>
      </c>
      <c r="B59" s="127" t="s">
        <v>59</v>
      </c>
      <c r="C59" s="128" t="s">
        <v>135</v>
      </c>
      <c r="D59" s="130"/>
      <c r="E59" s="230" t="s">
        <v>133</v>
      </c>
      <c r="F59" s="238">
        <f>E62</f>
        <v>22.564999999999998</v>
      </c>
    </row>
    <row r="60" spans="1:6" s="125" customFormat="1">
      <c r="A60" s="148"/>
      <c r="B60" s="149" t="s">
        <v>134</v>
      </c>
      <c r="C60" s="129"/>
      <c r="D60" s="223"/>
      <c r="E60" s="231">
        <f>29.45+0.98*16</f>
        <v>45.129999999999995</v>
      </c>
      <c r="F60" s="239"/>
    </row>
    <row r="61" spans="1:6" s="125" customFormat="1" ht="13.5" customHeight="1">
      <c r="A61" s="148"/>
      <c r="B61" s="224">
        <v>12</v>
      </c>
      <c r="C61" s="129"/>
      <c r="D61" s="151"/>
      <c r="E61" s="152"/>
      <c r="F61" s="240"/>
    </row>
    <row r="62" spans="1:6" s="125" customFormat="1" thickBot="1">
      <c r="A62" s="148"/>
      <c r="B62" s="131" t="s">
        <v>279</v>
      </c>
      <c r="C62" s="233" t="s">
        <v>292</v>
      </c>
      <c r="D62" s="234">
        <v>0.5</v>
      </c>
      <c r="E62" s="232">
        <f>E60*D62</f>
        <v>22.564999999999998</v>
      </c>
      <c r="F62" s="241"/>
    </row>
    <row r="63" spans="1:6" ht="28">
      <c r="A63" s="119"/>
      <c r="B63" s="118" t="s">
        <v>148</v>
      </c>
      <c r="C63" s="48"/>
      <c r="D63" s="49"/>
      <c r="E63" s="92"/>
      <c r="F63" s="120">
        <f>SUM(F11:F62)*1000</f>
        <v>91420.87999999999</v>
      </c>
    </row>
  </sheetData>
  <mergeCells count="4">
    <mergeCell ref="A3:F3"/>
    <mergeCell ref="A4:F4"/>
    <mergeCell ref="C9:D9"/>
    <mergeCell ref="B56:E56"/>
  </mergeCells>
  <pageMargins left="0.7" right="0.7" top="0.75" bottom="0.75" header="0.3" footer="0.3"/>
  <pageSetup paperSize="9" scale="7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3"/>
  <sheetViews>
    <sheetView view="pageBreakPreview" topLeftCell="A34" zoomScale="115" zoomScaleSheetLayoutView="115" workbookViewId="0">
      <selection activeCell="A8" sqref="A8"/>
    </sheetView>
  </sheetViews>
  <sheetFormatPr baseColWidth="10" defaultColWidth="9.1640625" defaultRowHeight="14"/>
  <cols>
    <col min="1" max="1" width="5" style="1" bestFit="1" customWidth="1"/>
    <col min="2" max="2" width="31.33203125" style="1" customWidth="1"/>
    <col min="3" max="3" width="18.5" style="1" customWidth="1"/>
    <col min="4" max="4" width="15" style="1" customWidth="1"/>
    <col min="5" max="5" width="16" style="1" customWidth="1"/>
    <col min="6" max="6" width="16.5" style="1" customWidth="1"/>
    <col min="7" max="16384" width="9.1640625" style="1"/>
  </cols>
  <sheetData>
    <row r="1" spans="1:6">
      <c r="A1" s="9"/>
      <c r="B1" s="10"/>
      <c r="C1" s="11" t="s">
        <v>911</v>
      </c>
      <c r="D1" s="12"/>
      <c r="E1" s="13"/>
      <c r="F1" s="14"/>
    </row>
    <row r="2" spans="1:6">
      <c r="A2" s="9"/>
      <c r="B2" s="10"/>
      <c r="C2" s="15" t="s">
        <v>20</v>
      </c>
      <c r="D2" s="15"/>
      <c r="E2" s="13"/>
      <c r="F2" s="14"/>
    </row>
    <row r="3" spans="1:6" ht="30.75" customHeight="1">
      <c r="A3" s="791" t="s">
        <v>916</v>
      </c>
      <c r="B3" s="791"/>
      <c r="C3" s="791"/>
      <c r="D3" s="791"/>
      <c r="E3" s="791"/>
      <c r="F3" s="791"/>
    </row>
    <row r="4" spans="1:6" ht="25.5" customHeight="1">
      <c r="A4" s="796" t="s">
        <v>152</v>
      </c>
      <c r="B4" s="796"/>
      <c r="C4" s="796"/>
      <c r="D4" s="796"/>
      <c r="E4" s="796"/>
      <c r="F4" s="796"/>
    </row>
    <row r="5" spans="1:6">
      <c r="A5" s="16" t="s">
        <v>291</v>
      </c>
      <c r="B5" s="17"/>
      <c r="C5" s="17"/>
      <c r="D5" s="17"/>
      <c r="E5" s="17"/>
      <c r="F5" s="17"/>
    </row>
    <row r="6" spans="1:6">
      <c r="A6" s="16" t="s">
        <v>149</v>
      </c>
      <c r="B6" s="16"/>
      <c r="C6" s="18"/>
      <c r="D6" s="18"/>
      <c r="E6" s="18"/>
      <c r="F6" s="4"/>
    </row>
    <row r="7" spans="1:6">
      <c r="A7" s="16" t="s">
        <v>924</v>
      </c>
      <c r="B7" s="16"/>
      <c r="C7" s="19"/>
      <c r="D7" s="16"/>
      <c r="E7" s="16"/>
      <c r="F7" s="4"/>
    </row>
    <row r="8" spans="1:6" ht="15" thickBot="1">
      <c r="A8" s="15"/>
      <c r="B8" s="20"/>
      <c r="C8" s="13"/>
      <c r="D8" s="13"/>
      <c r="E8" s="13"/>
      <c r="F8" s="2"/>
    </row>
    <row r="9" spans="1:6" ht="26.25" customHeight="1" thickBot="1">
      <c r="A9" s="708" t="s">
        <v>21</v>
      </c>
      <c r="B9" s="699" t="s">
        <v>22</v>
      </c>
      <c r="C9" s="999" t="s">
        <v>147</v>
      </c>
      <c r="D9" s="999"/>
      <c r="E9" s="699" t="s">
        <v>23</v>
      </c>
      <c r="F9" s="709"/>
    </row>
    <row r="10" spans="1:6" s="125" customFormat="1" ht="16" thickBot="1">
      <c r="A10" s="710" t="s">
        <v>29</v>
      </c>
      <c r="B10" s="711" t="s">
        <v>280</v>
      </c>
      <c r="C10" s="712"/>
      <c r="D10" s="713"/>
      <c r="E10" s="714"/>
      <c r="F10" s="715"/>
    </row>
    <row r="11" spans="1:6" s="125" customFormat="1" ht="28">
      <c r="A11" s="126" t="s">
        <v>19</v>
      </c>
      <c r="B11" s="222" t="s">
        <v>91</v>
      </c>
      <c r="C11" s="128" t="s">
        <v>257</v>
      </c>
      <c r="D11" s="130"/>
      <c r="E11" s="230" t="s">
        <v>133</v>
      </c>
      <c r="F11" s="238">
        <f>E14</f>
        <v>22.564999999999998</v>
      </c>
    </row>
    <row r="12" spans="1:6" s="125" customFormat="1">
      <c r="A12" s="155"/>
      <c r="B12" s="149" t="s">
        <v>134</v>
      </c>
      <c r="C12" s="129" t="s">
        <v>258</v>
      </c>
      <c r="D12" s="223">
        <v>0.7</v>
      </c>
      <c r="E12" s="231">
        <f>29.45+0.98*16</f>
        <v>45.129999999999995</v>
      </c>
      <c r="F12" s="239"/>
    </row>
    <row r="13" spans="1:6" s="125" customFormat="1" ht="13">
      <c r="A13" s="155"/>
      <c r="B13" s="159">
        <v>12</v>
      </c>
      <c r="C13" s="129"/>
      <c r="D13" s="151"/>
      <c r="E13" s="152"/>
      <c r="F13" s="240"/>
    </row>
    <row r="14" spans="1:6" s="125" customFormat="1" thickBot="1">
      <c r="A14" s="158"/>
      <c r="B14" s="161"/>
      <c r="C14" s="193" t="s">
        <v>292</v>
      </c>
      <c r="D14" s="194">
        <v>0.5</v>
      </c>
      <c r="E14" s="232">
        <f>E12*D14</f>
        <v>22.564999999999998</v>
      </c>
      <c r="F14" s="241"/>
    </row>
    <row r="15" spans="1:6" s="125" customFormat="1" ht="28">
      <c r="A15" s="126" t="s">
        <v>12</v>
      </c>
      <c r="B15" s="127" t="s">
        <v>59</v>
      </c>
      <c r="C15" s="128" t="s">
        <v>135</v>
      </c>
      <c r="D15" s="130"/>
      <c r="E15" s="230" t="s">
        <v>133</v>
      </c>
      <c r="F15" s="238">
        <f>E18</f>
        <v>22.564999999999998</v>
      </c>
    </row>
    <row r="16" spans="1:6" s="125" customFormat="1">
      <c r="A16" s="148"/>
      <c r="B16" s="149" t="s">
        <v>134</v>
      </c>
      <c r="C16" s="129"/>
      <c r="D16" s="223"/>
      <c r="E16" s="231">
        <f>29.45+0.98*16</f>
        <v>45.129999999999995</v>
      </c>
      <c r="F16" s="239"/>
    </row>
    <row r="17" spans="1:6" s="125" customFormat="1" ht="13">
      <c r="A17" s="148"/>
      <c r="B17" s="159">
        <v>12</v>
      </c>
      <c r="C17" s="129"/>
      <c r="D17" s="151"/>
      <c r="E17" s="152"/>
      <c r="F17" s="240"/>
    </row>
    <row r="18" spans="1:6" s="125" customFormat="1" thickBot="1">
      <c r="A18" s="153"/>
      <c r="B18" s="161"/>
      <c r="C18" s="193" t="s">
        <v>292</v>
      </c>
      <c r="D18" s="194">
        <v>0.5</v>
      </c>
      <c r="E18" s="232">
        <f>E16*D18</f>
        <v>22.564999999999998</v>
      </c>
      <c r="F18" s="241"/>
    </row>
    <row r="19" spans="1:6" s="125" customFormat="1" ht="15" thickBot="1">
      <c r="A19" s="716" t="s">
        <v>32</v>
      </c>
      <c r="B19" s="717" t="s">
        <v>259</v>
      </c>
      <c r="C19" s="718"/>
      <c r="D19" s="719"/>
      <c r="E19" s="720"/>
      <c r="F19" s="721"/>
    </row>
    <row r="20" spans="1:6" s="125" customFormat="1" ht="28">
      <c r="A20" s="126" t="s">
        <v>14</v>
      </c>
      <c r="B20" s="222" t="s">
        <v>91</v>
      </c>
      <c r="C20" s="128" t="s">
        <v>260</v>
      </c>
      <c r="D20" s="130"/>
      <c r="E20" s="230" t="s">
        <v>93</v>
      </c>
      <c r="F20" s="238">
        <f>E23</f>
        <v>4.9050000000000002</v>
      </c>
    </row>
    <row r="21" spans="1:6" s="125" customFormat="1">
      <c r="A21" s="148"/>
      <c r="B21" s="149" t="s">
        <v>69</v>
      </c>
      <c r="C21" s="129"/>
      <c r="D21" s="223"/>
      <c r="E21" s="231">
        <f>2.45+3.68*B22</f>
        <v>9.81</v>
      </c>
      <c r="F21" s="239"/>
    </row>
    <row r="22" spans="1:6" s="125" customFormat="1" ht="13">
      <c r="A22" s="148"/>
      <c r="B22" s="159">
        <v>2</v>
      </c>
      <c r="C22" s="129"/>
      <c r="D22" s="151"/>
      <c r="E22" s="152"/>
      <c r="F22" s="240"/>
    </row>
    <row r="23" spans="1:6" s="125" customFormat="1" ht="29" thickBot="1">
      <c r="A23" s="153"/>
      <c r="B23" s="161" t="s">
        <v>261</v>
      </c>
      <c r="C23" s="233" t="s">
        <v>292</v>
      </c>
      <c r="D23" s="234">
        <v>0.5</v>
      </c>
      <c r="E23" s="232">
        <f>E21*D23</f>
        <v>4.9050000000000002</v>
      </c>
      <c r="F23" s="241"/>
    </row>
    <row r="24" spans="1:6" s="125" customFormat="1" ht="28">
      <c r="A24" s="126" t="s">
        <v>15</v>
      </c>
      <c r="B24" s="225" t="s">
        <v>59</v>
      </c>
      <c r="C24" s="128" t="s">
        <v>262</v>
      </c>
      <c r="D24" s="130"/>
      <c r="E24" s="230" t="s">
        <v>93</v>
      </c>
      <c r="F24" s="238">
        <f>E27</f>
        <v>4.9050000000000002</v>
      </c>
    </row>
    <row r="25" spans="1:6" s="125" customFormat="1">
      <c r="A25" s="155"/>
      <c r="B25" s="149" t="s">
        <v>69</v>
      </c>
      <c r="C25" s="129"/>
      <c r="D25" s="223"/>
      <c r="E25" s="231">
        <f>2.45+3.68*B26</f>
        <v>9.81</v>
      </c>
      <c r="F25" s="239"/>
    </row>
    <row r="26" spans="1:6" s="125" customFormat="1" ht="13.5" customHeight="1">
      <c r="A26" s="155"/>
      <c r="B26" s="224">
        <v>2</v>
      </c>
      <c r="C26" s="129"/>
      <c r="D26" s="151"/>
      <c r="E26" s="152"/>
      <c r="F26" s="240"/>
    </row>
    <row r="27" spans="1:6" s="125" customFormat="1" ht="29" thickBot="1">
      <c r="A27" s="158"/>
      <c r="B27" s="161" t="s">
        <v>261</v>
      </c>
      <c r="C27" s="233" t="s">
        <v>292</v>
      </c>
      <c r="D27" s="234">
        <v>0.5</v>
      </c>
      <c r="E27" s="232">
        <f>E25*D27</f>
        <v>4.9050000000000002</v>
      </c>
      <c r="F27" s="241"/>
    </row>
    <row r="28" spans="1:6" s="125" customFormat="1" ht="15" thickBot="1">
      <c r="A28" s="710" t="s">
        <v>40</v>
      </c>
      <c r="B28" s="722" t="s">
        <v>263</v>
      </c>
      <c r="C28" s="723"/>
      <c r="D28" s="724"/>
      <c r="E28" s="725"/>
      <c r="F28" s="726"/>
    </row>
    <row r="29" spans="1:6" s="125" customFormat="1" ht="28">
      <c r="A29" s="148" t="s">
        <v>42</v>
      </c>
      <c r="B29" s="225" t="s">
        <v>264</v>
      </c>
      <c r="C29" s="156" t="s">
        <v>265</v>
      </c>
      <c r="D29" s="150"/>
      <c r="E29" s="236" t="s">
        <v>36</v>
      </c>
      <c r="F29" s="242">
        <f>E32</f>
        <v>0.17976</v>
      </c>
    </row>
    <row r="30" spans="1:6" s="125" customFormat="1" ht="28">
      <c r="A30" s="148"/>
      <c r="B30" s="149" t="s">
        <v>266</v>
      </c>
      <c r="C30" s="129"/>
      <c r="D30" s="223"/>
      <c r="E30" s="231">
        <f>0.364+0.0035*B31</f>
        <v>0.3745</v>
      </c>
      <c r="F30" s="239"/>
    </row>
    <row r="31" spans="1:6" s="125" customFormat="1" ht="13">
      <c r="A31" s="148"/>
      <c r="B31" s="154">
        <v>3</v>
      </c>
      <c r="C31" s="129"/>
      <c r="D31" s="151"/>
      <c r="E31" s="152"/>
      <c r="F31" s="240"/>
    </row>
    <row r="32" spans="1:6" s="125" customFormat="1" thickBot="1">
      <c r="A32" s="153"/>
      <c r="B32" s="160"/>
      <c r="C32" s="233" t="s">
        <v>292</v>
      </c>
      <c r="D32" s="234">
        <v>0.48</v>
      </c>
      <c r="E32" s="232">
        <f>E30*D32</f>
        <v>0.17976</v>
      </c>
      <c r="F32" s="241"/>
    </row>
    <row r="33" spans="1:6" s="125" customFormat="1" ht="28">
      <c r="A33" s="148" t="s">
        <v>46</v>
      </c>
      <c r="B33" s="225" t="s">
        <v>267</v>
      </c>
      <c r="C33" s="156" t="s">
        <v>268</v>
      </c>
      <c r="D33" s="150"/>
      <c r="E33" s="236" t="s">
        <v>38</v>
      </c>
      <c r="F33" s="242">
        <f>E36</f>
        <v>0.53017999999999998</v>
      </c>
    </row>
    <row r="34" spans="1:6" s="125" customFormat="1" ht="42">
      <c r="A34" s="148"/>
      <c r="B34" s="149" t="s">
        <v>269</v>
      </c>
      <c r="C34" s="129"/>
      <c r="D34" s="223"/>
      <c r="E34" s="231">
        <f>0.98+0.034*B35</f>
        <v>1.0820000000000001</v>
      </c>
      <c r="F34" s="239"/>
    </row>
    <row r="35" spans="1:6" s="125" customFormat="1" ht="13">
      <c r="A35" s="148"/>
      <c r="B35" s="154">
        <v>3</v>
      </c>
      <c r="C35" s="129"/>
      <c r="D35" s="151"/>
      <c r="E35" s="152"/>
      <c r="F35" s="240"/>
    </row>
    <row r="36" spans="1:6" s="125" customFormat="1" thickBot="1">
      <c r="A36" s="153"/>
      <c r="B36" s="160"/>
      <c r="C36" s="233" t="s">
        <v>292</v>
      </c>
      <c r="D36" s="234">
        <v>0.49</v>
      </c>
      <c r="E36" s="232">
        <f>E34*D36</f>
        <v>0.53017999999999998</v>
      </c>
      <c r="F36" s="241"/>
    </row>
    <row r="37" spans="1:6" s="125" customFormat="1" ht="28">
      <c r="A37" s="148" t="s">
        <v>50</v>
      </c>
      <c r="B37" s="226" t="s">
        <v>270</v>
      </c>
      <c r="C37" s="156" t="s">
        <v>271</v>
      </c>
      <c r="D37" s="150"/>
      <c r="E37" s="236" t="s">
        <v>272</v>
      </c>
      <c r="F37" s="242">
        <f>E39</f>
        <v>0.20873999999999998</v>
      </c>
    </row>
    <row r="38" spans="1:6" s="125" customFormat="1" ht="13">
      <c r="A38" s="148"/>
      <c r="B38" s="227">
        <v>3</v>
      </c>
      <c r="C38" s="129"/>
      <c r="D38" s="223"/>
      <c r="E38" s="231">
        <f>0.381+0.015*B38</f>
        <v>0.42599999999999999</v>
      </c>
      <c r="F38" s="239"/>
    </row>
    <row r="39" spans="1:6" s="125" customFormat="1" thickBot="1">
      <c r="A39" s="153"/>
      <c r="B39" s="228"/>
      <c r="C39" s="233" t="s">
        <v>292</v>
      </c>
      <c r="D39" s="234">
        <v>0.49</v>
      </c>
      <c r="E39" s="232">
        <f>E38*D39</f>
        <v>0.20873999999999998</v>
      </c>
      <c r="F39" s="241"/>
    </row>
    <row r="40" spans="1:6" s="125" customFormat="1" thickBot="1">
      <c r="A40" s="710" t="s">
        <v>64</v>
      </c>
      <c r="B40" s="727" t="s">
        <v>281</v>
      </c>
      <c r="C40" s="728"/>
      <c r="D40" s="719"/>
      <c r="E40" s="720"/>
      <c r="F40" s="721"/>
    </row>
    <row r="41" spans="1:6" s="125" customFormat="1" ht="28">
      <c r="A41" s="126" t="s">
        <v>65</v>
      </c>
      <c r="B41" s="149" t="s">
        <v>78</v>
      </c>
      <c r="C41" s="156" t="s">
        <v>274</v>
      </c>
      <c r="D41" s="130"/>
      <c r="E41" s="237" t="s">
        <v>110</v>
      </c>
      <c r="F41" s="238">
        <f>E43</f>
        <v>2.4</v>
      </c>
    </row>
    <row r="42" spans="1:6" s="125" customFormat="1" ht="13">
      <c r="A42" s="148"/>
      <c r="B42" s="154">
        <v>2</v>
      </c>
      <c r="C42" s="156"/>
      <c r="D42" s="150"/>
      <c r="E42" s="157">
        <f>2.4*B42</f>
        <v>4.8</v>
      </c>
      <c r="F42" s="242"/>
    </row>
    <row r="43" spans="1:6" s="125" customFormat="1" thickBot="1">
      <c r="A43" s="229"/>
      <c r="B43" s="161"/>
      <c r="C43" s="233" t="s">
        <v>292</v>
      </c>
      <c r="D43" s="234">
        <v>0.5</v>
      </c>
      <c r="E43" s="232">
        <f>E42*D43</f>
        <v>2.4</v>
      </c>
      <c r="F43" s="241"/>
    </row>
    <row r="44" spans="1:6" s="125" customFormat="1" thickBot="1">
      <c r="A44" s="710" t="s">
        <v>76</v>
      </c>
      <c r="B44" s="727" t="s">
        <v>282</v>
      </c>
      <c r="C44" s="728"/>
      <c r="D44" s="719"/>
      <c r="E44" s="720"/>
      <c r="F44" s="721"/>
    </row>
    <row r="45" spans="1:6" s="125" customFormat="1" ht="28">
      <c r="A45" s="148" t="s">
        <v>77</v>
      </c>
      <c r="B45" s="149" t="s">
        <v>78</v>
      </c>
      <c r="C45" s="156" t="s">
        <v>274</v>
      </c>
      <c r="D45" s="130"/>
      <c r="E45" s="237" t="s">
        <v>110</v>
      </c>
      <c r="F45" s="238">
        <f>E47</f>
        <v>2.4</v>
      </c>
    </row>
    <row r="46" spans="1:6" s="125" customFormat="1" ht="13">
      <c r="A46" s="148"/>
      <c r="B46" s="154">
        <v>2</v>
      </c>
      <c r="C46" s="156"/>
      <c r="D46" s="150"/>
      <c r="E46" s="157">
        <f>2.4*B46</f>
        <v>4.8</v>
      </c>
      <c r="F46" s="242"/>
    </row>
    <row r="47" spans="1:6" s="125" customFormat="1" ht="43" thickBot="1">
      <c r="A47" s="148"/>
      <c r="B47" s="161" t="s">
        <v>85</v>
      </c>
      <c r="C47" s="233" t="s">
        <v>292</v>
      </c>
      <c r="D47" s="234">
        <v>0.5</v>
      </c>
      <c r="E47" s="232">
        <f>E46*D47</f>
        <v>2.4</v>
      </c>
      <c r="F47" s="241"/>
    </row>
    <row r="48" spans="1:6" s="125" customFormat="1" thickBot="1">
      <c r="A48" s="710" t="s">
        <v>127</v>
      </c>
      <c r="B48" s="1000" t="s">
        <v>283</v>
      </c>
      <c r="C48" s="1001"/>
      <c r="D48" s="1001"/>
      <c r="E48" s="1001"/>
      <c r="F48" s="726"/>
    </row>
    <row r="49" spans="1:6" s="125" customFormat="1" ht="28">
      <c r="A49" s="148" t="s">
        <v>159</v>
      </c>
      <c r="B49" s="127" t="s">
        <v>59</v>
      </c>
      <c r="C49" s="128" t="s">
        <v>135</v>
      </c>
      <c r="D49" s="130"/>
      <c r="E49" s="230" t="s">
        <v>133</v>
      </c>
      <c r="F49" s="238">
        <f>E52</f>
        <v>22.564999999999998</v>
      </c>
    </row>
    <row r="50" spans="1:6" s="125" customFormat="1">
      <c r="A50" s="148"/>
      <c r="B50" s="149" t="s">
        <v>134</v>
      </c>
      <c r="C50" s="129"/>
      <c r="D50" s="223"/>
      <c r="E50" s="231">
        <f>29.45+0.98*16</f>
        <v>45.129999999999995</v>
      </c>
      <c r="F50" s="239"/>
    </row>
    <row r="51" spans="1:6" s="125" customFormat="1" ht="13.5" customHeight="1">
      <c r="A51" s="148"/>
      <c r="B51" s="224">
        <v>12</v>
      </c>
      <c r="C51" s="129"/>
      <c r="D51" s="151"/>
      <c r="E51" s="152"/>
      <c r="F51" s="240"/>
    </row>
    <row r="52" spans="1:6" s="125" customFormat="1" thickBot="1">
      <c r="A52" s="148"/>
      <c r="B52" s="131" t="s">
        <v>279</v>
      </c>
      <c r="C52" s="233" t="s">
        <v>292</v>
      </c>
      <c r="D52" s="234">
        <v>0.5</v>
      </c>
      <c r="E52" s="232">
        <f>E50*D52</f>
        <v>22.564999999999998</v>
      </c>
      <c r="F52" s="241"/>
    </row>
    <row r="53" spans="1:6" ht="28">
      <c r="A53" s="119"/>
      <c r="B53" s="118" t="s">
        <v>148</v>
      </c>
      <c r="C53" s="48"/>
      <c r="D53" s="49"/>
      <c r="E53" s="92"/>
      <c r="F53" s="120">
        <f>SUM(F11:F52)*1000</f>
        <v>83223.680000000008</v>
      </c>
    </row>
  </sheetData>
  <mergeCells count="4">
    <mergeCell ref="A3:F3"/>
    <mergeCell ref="A4:F4"/>
    <mergeCell ref="C9:D9"/>
    <mergeCell ref="B48:E48"/>
  </mergeCells>
  <pageMargins left="0.7" right="0.7" top="0.75" bottom="0.75" header="0.3" footer="0.3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96"/>
  <sheetViews>
    <sheetView topLeftCell="A39" zoomScale="130" zoomScaleNormal="130" workbookViewId="0">
      <selection activeCell="A9" sqref="A9"/>
    </sheetView>
  </sheetViews>
  <sheetFormatPr baseColWidth="10" defaultColWidth="8.83203125" defaultRowHeight="15"/>
  <cols>
    <col min="1" max="1" width="4.5" style="317" customWidth="1"/>
    <col min="2" max="2" width="23.5" style="316" customWidth="1"/>
    <col min="3" max="3" width="10.5" style="315" customWidth="1"/>
    <col min="4" max="4" width="12.5" style="315" customWidth="1"/>
    <col min="5" max="5" width="9.5" style="315" customWidth="1"/>
    <col min="6" max="6" width="2.33203125" style="315" customWidth="1"/>
    <col min="7" max="7" width="10.33203125" style="315" customWidth="1"/>
    <col min="8" max="8" width="1.83203125" style="315" customWidth="1"/>
    <col min="9" max="9" width="5.1640625" style="315" customWidth="1"/>
    <col min="10" max="10" width="4.5" style="315" customWidth="1"/>
    <col min="11" max="11" width="0.6640625" style="315" hidden="1" customWidth="1"/>
    <col min="12" max="12" width="13.1640625" style="315" customWidth="1"/>
    <col min="13" max="256" width="9.1640625" style="243"/>
    <col min="257" max="257" width="4.5" style="243" customWidth="1"/>
    <col min="258" max="258" width="23.5" style="243" customWidth="1"/>
    <col min="259" max="259" width="10.5" style="243" customWidth="1"/>
    <col min="260" max="260" width="12.5" style="243" customWidth="1"/>
    <col min="261" max="261" width="9.5" style="243" customWidth="1"/>
    <col min="262" max="262" width="2.33203125" style="243" customWidth="1"/>
    <col min="263" max="263" width="9.5" style="243" customWidth="1"/>
    <col min="264" max="264" width="1.83203125" style="243" customWidth="1"/>
    <col min="265" max="265" width="5.1640625" style="243" customWidth="1"/>
    <col min="266" max="266" width="4.5" style="243" customWidth="1"/>
    <col min="267" max="267" width="0" style="243" hidden="1" customWidth="1"/>
    <col min="268" max="268" width="13.1640625" style="243" customWidth="1"/>
    <col min="269" max="512" width="9.1640625" style="243"/>
    <col min="513" max="513" width="4.5" style="243" customWidth="1"/>
    <col min="514" max="514" width="23.5" style="243" customWidth="1"/>
    <col min="515" max="515" width="10.5" style="243" customWidth="1"/>
    <col min="516" max="516" width="12.5" style="243" customWidth="1"/>
    <col min="517" max="517" width="9.5" style="243" customWidth="1"/>
    <col min="518" max="518" width="2.33203125" style="243" customWidth="1"/>
    <col min="519" max="519" width="9.5" style="243" customWidth="1"/>
    <col min="520" max="520" width="1.83203125" style="243" customWidth="1"/>
    <col min="521" max="521" width="5.1640625" style="243" customWidth="1"/>
    <col min="522" max="522" width="4.5" style="243" customWidth="1"/>
    <col min="523" max="523" width="0" style="243" hidden="1" customWidth="1"/>
    <col min="524" max="524" width="13.1640625" style="243" customWidth="1"/>
    <col min="525" max="768" width="9.1640625" style="243"/>
    <col min="769" max="769" width="4.5" style="243" customWidth="1"/>
    <col min="770" max="770" width="23.5" style="243" customWidth="1"/>
    <col min="771" max="771" width="10.5" style="243" customWidth="1"/>
    <col min="772" max="772" width="12.5" style="243" customWidth="1"/>
    <col min="773" max="773" width="9.5" style="243" customWidth="1"/>
    <col min="774" max="774" width="2.33203125" style="243" customWidth="1"/>
    <col min="775" max="775" width="9.5" style="243" customWidth="1"/>
    <col min="776" max="776" width="1.83203125" style="243" customWidth="1"/>
    <col min="777" max="777" width="5.1640625" style="243" customWidth="1"/>
    <col min="778" max="778" width="4.5" style="243" customWidth="1"/>
    <col min="779" max="779" width="0" style="243" hidden="1" customWidth="1"/>
    <col min="780" max="780" width="13.1640625" style="243" customWidth="1"/>
    <col min="781" max="1024" width="9.1640625" style="243"/>
    <col min="1025" max="1025" width="4.5" style="243" customWidth="1"/>
    <col min="1026" max="1026" width="23.5" style="243" customWidth="1"/>
    <col min="1027" max="1027" width="10.5" style="243" customWidth="1"/>
    <col min="1028" max="1028" width="12.5" style="243" customWidth="1"/>
    <col min="1029" max="1029" width="9.5" style="243" customWidth="1"/>
    <col min="1030" max="1030" width="2.33203125" style="243" customWidth="1"/>
    <col min="1031" max="1031" width="9.5" style="243" customWidth="1"/>
    <col min="1032" max="1032" width="1.83203125" style="243" customWidth="1"/>
    <col min="1033" max="1033" width="5.1640625" style="243" customWidth="1"/>
    <col min="1034" max="1034" width="4.5" style="243" customWidth="1"/>
    <col min="1035" max="1035" width="0" style="243" hidden="1" customWidth="1"/>
    <col min="1036" max="1036" width="13.1640625" style="243" customWidth="1"/>
    <col min="1037" max="1280" width="9.1640625" style="243"/>
    <col min="1281" max="1281" width="4.5" style="243" customWidth="1"/>
    <col min="1282" max="1282" width="23.5" style="243" customWidth="1"/>
    <col min="1283" max="1283" width="10.5" style="243" customWidth="1"/>
    <col min="1284" max="1284" width="12.5" style="243" customWidth="1"/>
    <col min="1285" max="1285" width="9.5" style="243" customWidth="1"/>
    <col min="1286" max="1286" width="2.33203125" style="243" customWidth="1"/>
    <col min="1287" max="1287" width="9.5" style="243" customWidth="1"/>
    <col min="1288" max="1288" width="1.83203125" style="243" customWidth="1"/>
    <col min="1289" max="1289" width="5.1640625" style="243" customWidth="1"/>
    <col min="1290" max="1290" width="4.5" style="243" customWidth="1"/>
    <col min="1291" max="1291" width="0" style="243" hidden="1" customWidth="1"/>
    <col min="1292" max="1292" width="13.1640625" style="243" customWidth="1"/>
    <col min="1293" max="1536" width="9.1640625" style="243"/>
    <col min="1537" max="1537" width="4.5" style="243" customWidth="1"/>
    <col min="1538" max="1538" width="23.5" style="243" customWidth="1"/>
    <col min="1539" max="1539" width="10.5" style="243" customWidth="1"/>
    <col min="1540" max="1540" width="12.5" style="243" customWidth="1"/>
    <col min="1541" max="1541" width="9.5" style="243" customWidth="1"/>
    <col min="1542" max="1542" width="2.33203125" style="243" customWidth="1"/>
    <col min="1543" max="1543" width="9.5" style="243" customWidth="1"/>
    <col min="1544" max="1544" width="1.83203125" style="243" customWidth="1"/>
    <col min="1545" max="1545" width="5.1640625" style="243" customWidth="1"/>
    <col min="1546" max="1546" width="4.5" style="243" customWidth="1"/>
    <col min="1547" max="1547" width="0" style="243" hidden="1" customWidth="1"/>
    <col min="1548" max="1548" width="13.1640625" style="243" customWidth="1"/>
    <col min="1549" max="1792" width="9.1640625" style="243"/>
    <col min="1793" max="1793" width="4.5" style="243" customWidth="1"/>
    <col min="1794" max="1794" width="23.5" style="243" customWidth="1"/>
    <col min="1795" max="1795" width="10.5" style="243" customWidth="1"/>
    <col min="1796" max="1796" width="12.5" style="243" customWidth="1"/>
    <col min="1797" max="1797" width="9.5" style="243" customWidth="1"/>
    <col min="1798" max="1798" width="2.33203125" style="243" customWidth="1"/>
    <col min="1799" max="1799" width="9.5" style="243" customWidth="1"/>
    <col min="1800" max="1800" width="1.83203125" style="243" customWidth="1"/>
    <col min="1801" max="1801" width="5.1640625" style="243" customWidth="1"/>
    <col min="1802" max="1802" width="4.5" style="243" customWidth="1"/>
    <col min="1803" max="1803" width="0" style="243" hidden="1" customWidth="1"/>
    <col min="1804" max="1804" width="13.1640625" style="243" customWidth="1"/>
    <col min="1805" max="2048" width="9.1640625" style="243"/>
    <col min="2049" max="2049" width="4.5" style="243" customWidth="1"/>
    <col min="2050" max="2050" width="23.5" style="243" customWidth="1"/>
    <col min="2051" max="2051" width="10.5" style="243" customWidth="1"/>
    <col min="2052" max="2052" width="12.5" style="243" customWidth="1"/>
    <col min="2053" max="2053" width="9.5" style="243" customWidth="1"/>
    <col min="2054" max="2054" width="2.33203125" style="243" customWidth="1"/>
    <col min="2055" max="2055" width="9.5" style="243" customWidth="1"/>
    <col min="2056" max="2056" width="1.83203125" style="243" customWidth="1"/>
    <col min="2057" max="2057" width="5.1640625" style="243" customWidth="1"/>
    <col min="2058" max="2058" width="4.5" style="243" customWidth="1"/>
    <col min="2059" max="2059" width="0" style="243" hidden="1" customWidth="1"/>
    <col min="2060" max="2060" width="13.1640625" style="243" customWidth="1"/>
    <col min="2061" max="2304" width="9.1640625" style="243"/>
    <col min="2305" max="2305" width="4.5" style="243" customWidth="1"/>
    <col min="2306" max="2306" width="23.5" style="243" customWidth="1"/>
    <col min="2307" max="2307" width="10.5" style="243" customWidth="1"/>
    <col min="2308" max="2308" width="12.5" style="243" customWidth="1"/>
    <col min="2309" max="2309" width="9.5" style="243" customWidth="1"/>
    <col min="2310" max="2310" width="2.33203125" style="243" customWidth="1"/>
    <col min="2311" max="2311" width="9.5" style="243" customWidth="1"/>
    <col min="2312" max="2312" width="1.83203125" style="243" customWidth="1"/>
    <col min="2313" max="2313" width="5.1640625" style="243" customWidth="1"/>
    <col min="2314" max="2314" width="4.5" style="243" customWidth="1"/>
    <col min="2315" max="2315" width="0" style="243" hidden="1" customWidth="1"/>
    <col min="2316" max="2316" width="13.1640625" style="243" customWidth="1"/>
    <col min="2317" max="2560" width="9.1640625" style="243"/>
    <col min="2561" max="2561" width="4.5" style="243" customWidth="1"/>
    <col min="2562" max="2562" width="23.5" style="243" customWidth="1"/>
    <col min="2563" max="2563" width="10.5" style="243" customWidth="1"/>
    <col min="2564" max="2564" width="12.5" style="243" customWidth="1"/>
    <col min="2565" max="2565" width="9.5" style="243" customWidth="1"/>
    <col min="2566" max="2566" width="2.33203125" style="243" customWidth="1"/>
    <col min="2567" max="2567" width="9.5" style="243" customWidth="1"/>
    <col min="2568" max="2568" width="1.83203125" style="243" customWidth="1"/>
    <col min="2569" max="2569" width="5.1640625" style="243" customWidth="1"/>
    <col min="2570" max="2570" width="4.5" style="243" customWidth="1"/>
    <col min="2571" max="2571" width="0" style="243" hidden="1" customWidth="1"/>
    <col min="2572" max="2572" width="13.1640625" style="243" customWidth="1"/>
    <col min="2573" max="2816" width="9.1640625" style="243"/>
    <col min="2817" max="2817" width="4.5" style="243" customWidth="1"/>
    <col min="2818" max="2818" width="23.5" style="243" customWidth="1"/>
    <col min="2819" max="2819" width="10.5" style="243" customWidth="1"/>
    <col min="2820" max="2820" width="12.5" style="243" customWidth="1"/>
    <col min="2821" max="2821" width="9.5" style="243" customWidth="1"/>
    <col min="2822" max="2822" width="2.33203125" style="243" customWidth="1"/>
    <col min="2823" max="2823" width="9.5" style="243" customWidth="1"/>
    <col min="2824" max="2824" width="1.83203125" style="243" customWidth="1"/>
    <col min="2825" max="2825" width="5.1640625" style="243" customWidth="1"/>
    <col min="2826" max="2826" width="4.5" style="243" customWidth="1"/>
    <col min="2827" max="2827" width="0" style="243" hidden="1" customWidth="1"/>
    <col min="2828" max="2828" width="13.1640625" style="243" customWidth="1"/>
    <col min="2829" max="3072" width="9.1640625" style="243"/>
    <col min="3073" max="3073" width="4.5" style="243" customWidth="1"/>
    <col min="3074" max="3074" width="23.5" style="243" customWidth="1"/>
    <col min="3075" max="3075" width="10.5" style="243" customWidth="1"/>
    <col min="3076" max="3076" width="12.5" style="243" customWidth="1"/>
    <col min="3077" max="3077" width="9.5" style="243" customWidth="1"/>
    <col min="3078" max="3078" width="2.33203125" style="243" customWidth="1"/>
    <col min="3079" max="3079" width="9.5" style="243" customWidth="1"/>
    <col min="3080" max="3080" width="1.83203125" style="243" customWidth="1"/>
    <col min="3081" max="3081" width="5.1640625" style="243" customWidth="1"/>
    <col min="3082" max="3082" width="4.5" style="243" customWidth="1"/>
    <col min="3083" max="3083" width="0" style="243" hidden="1" customWidth="1"/>
    <col min="3084" max="3084" width="13.1640625" style="243" customWidth="1"/>
    <col min="3085" max="3328" width="9.1640625" style="243"/>
    <col min="3329" max="3329" width="4.5" style="243" customWidth="1"/>
    <col min="3330" max="3330" width="23.5" style="243" customWidth="1"/>
    <col min="3331" max="3331" width="10.5" style="243" customWidth="1"/>
    <col min="3332" max="3332" width="12.5" style="243" customWidth="1"/>
    <col min="3333" max="3333" width="9.5" style="243" customWidth="1"/>
    <col min="3334" max="3334" width="2.33203125" style="243" customWidth="1"/>
    <col min="3335" max="3335" width="9.5" style="243" customWidth="1"/>
    <col min="3336" max="3336" width="1.83203125" style="243" customWidth="1"/>
    <col min="3337" max="3337" width="5.1640625" style="243" customWidth="1"/>
    <col min="3338" max="3338" width="4.5" style="243" customWidth="1"/>
    <col min="3339" max="3339" width="0" style="243" hidden="1" customWidth="1"/>
    <col min="3340" max="3340" width="13.1640625" style="243" customWidth="1"/>
    <col min="3341" max="3584" width="9.1640625" style="243"/>
    <col min="3585" max="3585" width="4.5" style="243" customWidth="1"/>
    <col min="3586" max="3586" width="23.5" style="243" customWidth="1"/>
    <col min="3587" max="3587" width="10.5" style="243" customWidth="1"/>
    <col min="3588" max="3588" width="12.5" style="243" customWidth="1"/>
    <col min="3589" max="3589" width="9.5" style="243" customWidth="1"/>
    <col min="3590" max="3590" width="2.33203125" style="243" customWidth="1"/>
    <col min="3591" max="3591" width="9.5" style="243" customWidth="1"/>
    <col min="3592" max="3592" width="1.83203125" style="243" customWidth="1"/>
    <col min="3593" max="3593" width="5.1640625" style="243" customWidth="1"/>
    <col min="3594" max="3594" width="4.5" style="243" customWidth="1"/>
    <col min="3595" max="3595" width="0" style="243" hidden="1" customWidth="1"/>
    <col min="3596" max="3596" width="13.1640625" style="243" customWidth="1"/>
    <col min="3597" max="3840" width="9.1640625" style="243"/>
    <col min="3841" max="3841" width="4.5" style="243" customWidth="1"/>
    <col min="3842" max="3842" width="23.5" style="243" customWidth="1"/>
    <col min="3843" max="3843" width="10.5" style="243" customWidth="1"/>
    <col min="3844" max="3844" width="12.5" style="243" customWidth="1"/>
    <col min="3845" max="3845" width="9.5" style="243" customWidth="1"/>
    <col min="3846" max="3846" width="2.33203125" style="243" customWidth="1"/>
    <col min="3847" max="3847" width="9.5" style="243" customWidth="1"/>
    <col min="3848" max="3848" width="1.83203125" style="243" customWidth="1"/>
    <col min="3849" max="3849" width="5.1640625" style="243" customWidth="1"/>
    <col min="3850" max="3850" width="4.5" style="243" customWidth="1"/>
    <col min="3851" max="3851" width="0" style="243" hidden="1" customWidth="1"/>
    <col min="3852" max="3852" width="13.1640625" style="243" customWidth="1"/>
    <col min="3853" max="4096" width="9.1640625" style="243"/>
    <col min="4097" max="4097" width="4.5" style="243" customWidth="1"/>
    <col min="4098" max="4098" width="23.5" style="243" customWidth="1"/>
    <col min="4099" max="4099" width="10.5" style="243" customWidth="1"/>
    <col min="4100" max="4100" width="12.5" style="243" customWidth="1"/>
    <col min="4101" max="4101" width="9.5" style="243" customWidth="1"/>
    <col min="4102" max="4102" width="2.33203125" style="243" customWidth="1"/>
    <col min="4103" max="4103" width="9.5" style="243" customWidth="1"/>
    <col min="4104" max="4104" width="1.83203125" style="243" customWidth="1"/>
    <col min="4105" max="4105" width="5.1640625" style="243" customWidth="1"/>
    <col min="4106" max="4106" width="4.5" style="243" customWidth="1"/>
    <col min="4107" max="4107" width="0" style="243" hidden="1" customWidth="1"/>
    <col min="4108" max="4108" width="13.1640625" style="243" customWidth="1"/>
    <col min="4109" max="4352" width="9.1640625" style="243"/>
    <col min="4353" max="4353" width="4.5" style="243" customWidth="1"/>
    <col min="4354" max="4354" width="23.5" style="243" customWidth="1"/>
    <col min="4355" max="4355" width="10.5" style="243" customWidth="1"/>
    <col min="4356" max="4356" width="12.5" style="243" customWidth="1"/>
    <col min="4357" max="4357" width="9.5" style="243" customWidth="1"/>
    <col min="4358" max="4358" width="2.33203125" style="243" customWidth="1"/>
    <col min="4359" max="4359" width="9.5" style="243" customWidth="1"/>
    <col min="4360" max="4360" width="1.83203125" style="243" customWidth="1"/>
    <col min="4361" max="4361" width="5.1640625" style="243" customWidth="1"/>
    <col min="4362" max="4362" width="4.5" style="243" customWidth="1"/>
    <col min="4363" max="4363" width="0" style="243" hidden="1" customWidth="1"/>
    <col min="4364" max="4364" width="13.1640625" style="243" customWidth="1"/>
    <col min="4365" max="4608" width="9.1640625" style="243"/>
    <col min="4609" max="4609" width="4.5" style="243" customWidth="1"/>
    <col min="4610" max="4610" width="23.5" style="243" customWidth="1"/>
    <col min="4611" max="4611" width="10.5" style="243" customWidth="1"/>
    <col min="4612" max="4612" width="12.5" style="243" customWidth="1"/>
    <col min="4613" max="4613" width="9.5" style="243" customWidth="1"/>
    <col min="4614" max="4614" width="2.33203125" style="243" customWidth="1"/>
    <col min="4615" max="4615" width="9.5" style="243" customWidth="1"/>
    <col min="4616" max="4616" width="1.83203125" style="243" customWidth="1"/>
    <col min="4617" max="4617" width="5.1640625" style="243" customWidth="1"/>
    <col min="4618" max="4618" width="4.5" style="243" customWidth="1"/>
    <col min="4619" max="4619" width="0" style="243" hidden="1" customWidth="1"/>
    <col min="4620" max="4620" width="13.1640625" style="243" customWidth="1"/>
    <col min="4621" max="4864" width="9.1640625" style="243"/>
    <col min="4865" max="4865" width="4.5" style="243" customWidth="1"/>
    <col min="4866" max="4866" width="23.5" style="243" customWidth="1"/>
    <col min="4867" max="4867" width="10.5" style="243" customWidth="1"/>
    <col min="4868" max="4868" width="12.5" style="243" customWidth="1"/>
    <col min="4869" max="4869" width="9.5" style="243" customWidth="1"/>
    <col min="4870" max="4870" width="2.33203125" style="243" customWidth="1"/>
    <col min="4871" max="4871" width="9.5" style="243" customWidth="1"/>
    <col min="4872" max="4872" width="1.83203125" style="243" customWidth="1"/>
    <col min="4873" max="4873" width="5.1640625" style="243" customWidth="1"/>
    <col min="4874" max="4874" width="4.5" style="243" customWidth="1"/>
    <col min="4875" max="4875" width="0" style="243" hidden="1" customWidth="1"/>
    <col min="4876" max="4876" width="13.1640625" style="243" customWidth="1"/>
    <col min="4877" max="5120" width="9.1640625" style="243"/>
    <col min="5121" max="5121" width="4.5" style="243" customWidth="1"/>
    <col min="5122" max="5122" width="23.5" style="243" customWidth="1"/>
    <col min="5123" max="5123" width="10.5" style="243" customWidth="1"/>
    <col min="5124" max="5124" width="12.5" style="243" customWidth="1"/>
    <col min="5125" max="5125" width="9.5" style="243" customWidth="1"/>
    <col min="5126" max="5126" width="2.33203125" style="243" customWidth="1"/>
    <col min="5127" max="5127" width="9.5" style="243" customWidth="1"/>
    <col min="5128" max="5128" width="1.83203125" style="243" customWidth="1"/>
    <col min="5129" max="5129" width="5.1640625" style="243" customWidth="1"/>
    <col min="5130" max="5130" width="4.5" style="243" customWidth="1"/>
    <col min="5131" max="5131" width="0" style="243" hidden="1" customWidth="1"/>
    <col min="5132" max="5132" width="13.1640625" style="243" customWidth="1"/>
    <col min="5133" max="5376" width="9.1640625" style="243"/>
    <col min="5377" max="5377" width="4.5" style="243" customWidth="1"/>
    <col min="5378" max="5378" width="23.5" style="243" customWidth="1"/>
    <col min="5379" max="5379" width="10.5" style="243" customWidth="1"/>
    <col min="5380" max="5380" width="12.5" style="243" customWidth="1"/>
    <col min="5381" max="5381" width="9.5" style="243" customWidth="1"/>
    <col min="5382" max="5382" width="2.33203125" style="243" customWidth="1"/>
    <col min="5383" max="5383" width="9.5" style="243" customWidth="1"/>
    <col min="5384" max="5384" width="1.83203125" style="243" customWidth="1"/>
    <col min="5385" max="5385" width="5.1640625" style="243" customWidth="1"/>
    <col min="5386" max="5386" width="4.5" style="243" customWidth="1"/>
    <col min="5387" max="5387" width="0" style="243" hidden="1" customWidth="1"/>
    <col min="5388" max="5388" width="13.1640625" style="243" customWidth="1"/>
    <col min="5389" max="5632" width="9.1640625" style="243"/>
    <col min="5633" max="5633" width="4.5" style="243" customWidth="1"/>
    <col min="5634" max="5634" width="23.5" style="243" customWidth="1"/>
    <col min="5635" max="5635" width="10.5" style="243" customWidth="1"/>
    <col min="5636" max="5636" width="12.5" style="243" customWidth="1"/>
    <col min="5637" max="5637" width="9.5" style="243" customWidth="1"/>
    <col min="5638" max="5638" width="2.33203125" style="243" customWidth="1"/>
    <col min="5639" max="5639" width="9.5" style="243" customWidth="1"/>
    <col min="5640" max="5640" width="1.83203125" style="243" customWidth="1"/>
    <col min="5641" max="5641" width="5.1640625" style="243" customWidth="1"/>
    <col min="5642" max="5642" width="4.5" style="243" customWidth="1"/>
    <col min="5643" max="5643" width="0" style="243" hidden="1" customWidth="1"/>
    <col min="5644" max="5644" width="13.1640625" style="243" customWidth="1"/>
    <col min="5645" max="5888" width="9.1640625" style="243"/>
    <col min="5889" max="5889" width="4.5" style="243" customWidth="1"/>
    <col min="5890" max="5890" width="23.5" style="243" customWidth="1"/>
    <col min="5891" max="5891" width="10.5" style="243" customWidth="1"/>
    <col min="5892" max="5892" width="12.5" style="243" customWidth="1"/>
    <col min="5893" max="5893" width="9.5" style="243" customWidth="1"/>
    <col min="5894" max="5894" width="2.33203125" style="243" customWidth="1"/>
    <col min="5895" max="5895" width="9.5" style="243" customWidth="1"/>
    <col min="5896" max="5896" width="1.83203125" style="243" customWidth="1"/>
    <col min="5897" max="5897" width="5.1640625" style="243" customWidth="1"/>
    <col min="5898" max="5898" width="4.5" style="243" customWidth="1"/>
    <col min="5899" max="5899" width="0" style="243" hidden="1" customWidth="1"/>
    <col min="5900" max="5900" width="13.1640625" style="243" customWidth="1"/>
    <col min="5901" max="6144" width="9.1640625" style="243"/>
    <col min="6145" max="6145" width="4.5" style="243" customWidth="1"/>
    <col min="6146" max="6146" width="23.5" style="243" customWidth="1"/>
    <col min="6147" max="6147" width="10.5" style="243" customWidth="1"/>
    <col min="6148" max="6148" width="12.5" style="243" customWidth="1"/>
    <col min="6149" max="6149" width="9.5" style="243" customWidth="1"/>
    <col min="6150" max="6150" width="2.33203125" style="243" customWidth="1"/>
    <col min="6151" max="6151" width="9.5" style="243" customWidth="1"/>
    <col min="6152" max="6152" width="1.83203125" style="243" customWidth="1"/>
    <col min="6153" max="6153" width="5.1640625" style="243" customWidth="1"/>
    <col min="6154" max="6154" width="4.5" style="243" customWidth="1"/>
    <col min="6155" max="6155" width="0" style="243" hidden="1" customWidth="1"/>
    <col min="6156" max="6156" width="13.1640625" style="243" customWidth="1"/>
    <col min="6157" max="6400" width="9.1640625" style="243"/>
    <col min="6401" max="6401" width="4.5" style="243" customWidth="1"/>
    <col min="6402" max="6402" width="23.5" style="243" customWidth="1"/>
    <col min="6403" max="6403" width="10.5" style="243" customWidth="1"/>
    <col min="6404" max="6404" width="12.5" style="243" customWidth="1"/>
    <col min="6405" max="6405" width="9.5" style="243" customWidth="1"/>
    <col min="6406" max="6406" width="2.33203125" style="243" customWidth="1"/>
    <col min="6407" max="6407" width="9.5" style="243" customWidth="1"/>
    <col min="6408" max="6408" width="1.83203125" style="243" customWidth="1"/>
    <col min="6409" max="6409" width="5.1640625" style="243" customWidth="1"/>
    <col min="6410" max="6410" width="4.5" style="243" customWidth="1"/>
    <col min="6411" max="6411" width="0" style="243" hidden="1" customWidth="1"/>
    <col min="6412" max="6412" width="13.1640625" style="243" customWidth="1"/>
    <col min="6413" max="6656" width="9.1640625" style="243"/>
    <col min="6657" max="6657" width="4.5" style="243" customWidth="1"/>
    <col min="6658" max="6658" width="23.5" style="243" customWidth="1"/>
    <col min="6659" max="6659" width="10.5" style="243" customWidth="1"/>
    <col min="6660" max="6660" width="12.5" style="243" customWidth="1"/>
    <col min="6661" max="6661" width="9.5" style="243" customWidth="1"/>
    <col min="6662" max="6662" width="2.33203125" style="243" customWidth="1"/>
    <col min="6663" max="6663" width="9.5" style="243" customWidth="1"/>
    <col min="6664" max="6664" width="1.83203125" style="243" customWidth="1"/>
    <col min="6665" max="6665" width="5.1640625" style="243" customWidth="1"/>
    <col min="6666" max="6666" width="4.5" style="243" customWidth="1"/>
    <col min="6667" max="6667" width="0" style="243" hidden="1" customWidth="1"/>
    <col min="6668" max="6668" width="13.1640625" style="243" customWidth="1"/>
    <col min="6669" max="6912" width="9.1640625" style="243"/>
    <col min="6913" max="6913" width="4.5" style="243" customWidth="1"/>
    <col min="6914" max="6914" width="23.5" style="243" customWidth="1"/>
    <col min="6915" max="6915" width="10.5" style="243" customWidth="1"/>
    <col min="6916" max="6916" width="12.5" style="243" customWidth="1"/>
    <col min="6917" max="6917" width="9.5" style="243" customWidth="1"/>
    <col min="6918" max="6918" width="2.33203125" style="243" customWidth="1"/>
    <col min="6919" max="6919" width="9.5" style="243" customWidth="1"/>
    <col min="6920" max="6920" width="1.83203125" style="243" customWidth="1"/>
    <col min="6921" max="6921" width="5.1640625" style="243" customWidth="1"/>
    <col min="6922" max="6922" width="4.5" style="243" customWidth="1"/>
    <col min="6923" max="6923" width="0" style="243" hidden="1" customWidth="1"/>
    <col min="6924" max="6924" width="13.1640625" style="243" customWidth="1"/>
    <col min="6925" max="7168" width="9.1640625" style="243"/>
    <col min="7169" max="7169" width="4.5" style="243" customWidth="1"/>
    <col min="7170" max="7170" width="23.5" style="243" customWidth="1"/>
    <col min="7171" max="7171" width="10.5" style="243" customWidth="1"/>
    <col min="7172" max="7172" width="12.5" style="243" customWidth="1"/>
    <col min="7173" max="7173" width="9.5" style="243" customWidth="1"/>
    <col min="7174" max="7174" width="2.33203125" style="243" customWidth="1"/>
    <col min="7175" max="7175" width="9.5" style="243" customWidth="1"/>
    <col min="7176" max="7176" width="1.83203125" style="243" customWidth="1"/>
    <col min="7177" max="7177" width="5.1640625" style="243" customWidth="1"/>
    <col min="7178" max="7178" width="4.5" style="243" customWidth="1"/>
    <col min="7179" max="7179" width="0" style="243" hidden="1" customWidth="1"/>
    <col min="7180" max="7180" width="13.1640625" style="243" customWidth="1"/>
    <col min="7181" max="7424" width="9.1640625" style="243"/>
    <col min="7425" max="7425" width="4.5" style="243" customWidth="1"/>
    <col min="7426" max="7426" width="23.5" style="243" customWidth="1"/>
    <col min="7427" max="7427" width="10.5" style="243" customWidth="1"/>
    <col min="7428" max="7428" width="12.5" style="243" customWidth="1"/>
    <col min="7429" max="7429" width="9.5" style="243" customWidth="1"/>
    <col min="7430" max="7430" width="2.33203125" style="243" customWidth="1"/>
    <col min="7431" max="7431" width="9.5" style="243" customWidth="1"/>
    <col min="7432" max="7432" width="1.83203125" style="243" customWidth="1"/>
    <col min="7433" max="7433" width="5.1640625" style="243" customWidth="1"/>
    <col min="7434" max="7434" width="4.5" style="243" customWidth="1"/>
    <col min="7435" max="7435" width="0" style="243" hidden="1" customWidth="1"/>
    <col min="7436" max="7436" width="13.1640625" style="243" customWidth="1"/>
    <col min="7437" max="7680" width="9.1640625" style="243"/>
    <col min="7681" max="7681" width="4.5" style="243" customWidth="1"/>
    <col min="7682" max="7682" width="23.5" style="243" customWidth="1"/>
    <col min="7683" max="7683" width="10.5" style="243" customWidth="1"/>
    <col min="7684" max="7684" width="12.5" style="243" customWidth="1"/>
    <col min="7685" max="7685" width="9.5" style="243" customWidth="1"/>
    <col min="7686" max="7686" width="2.33203125" style="243" customWidth="1"/>
    <col min="7687" max="7687" width="9.5" style="243" customWidth="1"/>
    <col min="7688" max="7688" width="1.83203125" style="243" customWidth="1"/>
    <col min="7689" max="7689" width="5.1640625" style="243" customWidth="1"/>
    <col min="7690" max="7690" width="4.5" style="243" customWidth="1"/>
    <col min="7691" max="7691" width="0" style="243" hidden="1" customWidth="1"/>
    <col min="7692" max="7692" width="13.1640625" style="243" customWidth="1"/>
    <col min="7693" max="7936" width="9.1640625" style="243"/>
    <col min="7937" max="7937" width="4.5" style="243" customWidth="1"/>
    <col min="7938" max="7938" width="23.5" style="243" customWidth="1"/>
    <col min="7939" max="7939" width="10.5" style="243" customWidth="1"/>
    <col min="7940" max="7940" width="12.5" style="243" customWidth="1"/>
    <col min="7941" max="7941" width="9.5" style="243" customWidth="1"/>
    <col min="7942" max="7942" width="2.33203125" style="243" customWidth="1"/>
    <col min="7943" max="7943" width="9.5" style="243" customWidth="1"/>
    <col min="7944" max="7944" width="1.83203125" style="243" customWidth="1"/>
    <col min="7945" max="7945" width="5.1640625" style="243" customWidth="1"/>
    <col min="7946" max="7946" width="4.5" style="243" customWidth="1"/>
    <col min="7947" max="7947" width="0" style="243" hidden="1" customWidth="1"/>
    <col min="7948" max="7948" width="13.1640625" style="243" customWidth="1"/>
    <col min="7949" max="8192" width="9.1640625" style="243"/>
    <col min="8193" max="8193" width="4.5" style="243" customWidth="1"/>
    <col min="8194" max="8194" width="23.5" style="243" customWidth="1"/>
    <col min="8195" max="8195" width="10.5" style="243" customWidth="1"/>
    <col min="8196" max="8196" width="12.5" style="243" customWidth="1"/>
    <col min="8197" max="8197" width="9.5" style="243" customWidth="1"/>
    <col min="8198" max="8198" width="2.33203125" style="243" customWidth="1"/>
    <col min="8199" max="8199" width="9.5" style="243" customWidth="1"/>
    <col min="8200" max="8200" width="1.83203125" style="243" customWidth="1"/>
    <col min="8201" max="8201" width="5.1640625" style="243" customWidth="1"/>
    <col min="8202" max="8202" width="4.5" style="243" customWidth="1"/>
    <col min="8203" max="8203" width="0" style="243" hidden="1" customWidth="1"/>
    <col min="8204" max="8204" width="13.1640625" style="243" customWidth="1"/>
    <col min="8205" max="8448" width="9.1640625" style="243"/>
    <col min="8449" max="8449" width="4.5" style="243" customWidth="1"/>
    <col min="8450" max="8450" width="23.5" style="243" customWidth="1"/>
    <col min="8451" max="8451" width="10.5" style="243" customWidth="1"/>
    <col min="8452" max="8452" width="12.5" style="243" customWidth="1"/>
    <col min="8453" max="8453" width="9.5" style="243" customWidth="1"/>
    <col min="8454" max="8454" width="2.33203125" style="243" customWidth="1"/>
    <col min="8455" max="8455" width="9.5" style="243" customWidth="1"/>
    <col min="8456" max="8456" width="1.83203125" style="243" customWidth="1"/>
    <col min="8457" max="8457" width="5.1640625" style="243" customWidth="1"/>
    <col min="8458" max="8458" width="4.5" style="243" customWidth="1"/>
    <col min="8459" max="8459" width="0" style="243" hidden="1" customWidth="1"/>
    <col min="8460" max="8460" width="13.1640625" style="243" customWidth="1"/>
    <col min="8461" max="8704" width="9.1640625" style="243"/>
    <col min="8705" max="8705" width="4.5" style="243" customWidth="1"/>
    <col min="8706" max="8706" width="23.5" style="243" customWidth="1"/>
    <col min="8707" max="8707" width="10.5" style="243" customWidth="1"/>
    <col min="8708" max="8708" width="12.5" style="243" customWidth="1"/>
    <col min="8709" max="8709" width="9.5" style="243" customWidth="1"/>
    <col min="8710" max="8710" width="2.33203125" style="243" customWidth="1"/>
    <col min="8711" max="8711" width="9.5" style="243" customWidth="1"/>
    <col min="8712" max="8712" width="1.83203125" style="243" customWidth="1"/>
    <col min="8713" max="8713" width="5.1640625" style="243" customWidth="1"/>
    <col min="8714" max="8714" width="4.5" style="243" customWidth="1"/>
    <col min="8715" max="8715" width="0" style="243" hidden="1" customWidth="1"/>
    <col min="8716" max="8716" width="13.1640625" style="243" customWidth="1"/>
    <col min="8717" max="8960" width="9.1640625" style="243"/>
    <col min="8961" max="8961" width="4.5" style="243" customWidth="1"/>
    <col min="8962" max="8962" width="23.5" style="243" customWidth="1"/>
    <col min="8963" max="8963" width="10.5" style="243" customWidth="1"/>
    <col min="8964" max="8964" width="12.5" style="243" customWidth="1"/>
    <col min="8965" max="8965" width="9.5" style="243" customWidth="1"/>
    <col min="8966" max="8966" width="2.33203125" style="243" customWidth="1"/>
    <col min="8967" max="8967" width="9.5" style="243" customWidth="1"/>
    <col min="8968" max="8968" width="1.83203125" style="243" customWidth="1"/>
    <col min="8969" max="8969" width="5.1640625" style="243" customWidth="1"/>
    <col min="8970" max="8970" width="4.5" style="243" customWidth="1"/>
    <col min="8971" max="8971" width="0" style="243" hidden="1" customWidth="1"/>
    <col min="8972" max="8972" width="13.1640625" style="243" customWidth="1"/>
    <col min="8973" max="9216" width="9.1640625" style="243"/>
    <col min="9217" max="9217" width="4.5" style="243" customWidth="1"/>
    <col min="9218" max="9218" width="23.5" style="243" customWidth="1"/>
    <col min="9219" max="9219" width="10.5" style="243" customWidth="1"/>
    <col min="9220" max="9220" width="12.5" style="243" customWidth="1"/>
    <col min="9221" max="9221" width="9.5" style="243" customWidth="1"/>
    <col min="9222" max="9222" width="2.33203125" style="243" customWidth="1"/>
    <col min="9223" max="9223" width="9.5" style="243" customWidth="1"/>
    <col min="9224" max="9224" width="1.83203125" style="243" customWidth="1"/>
    <col min="9225" max="9225" width="5.1640625" style="243" customWidth="1"/>
    <col min="9226" max="9226" width="4.5" style="243" customWidth="1"/>
    <col min="9227" max="9227" width="0" style="243" hidden="1" customWidth="1"/>
    <col min="9228" max="9228" width="13.1640625" style="243" customWidth="1"/>
    <col min="9229" max="9472" width="9.1640625" style="243"/>
    <col min="9473" max="9473" width="4.5" style="243" customWidth="1"/>
    <col min="9474" max="9474" width="23.5" style="243" customWidth="1"/>
    <col min="9475" max="9475" width="10.5" style="243" customWidth="1"/>
    <col min="9476" max="9476" width="12.5" style="243" customWidth="1"/>
    <col min="9477" max="9477" width="9.5" style="243" customWidth="1"/>
    <col min="9478" max="9478" width="2.33203125" style="243" customWidth="1"/>
    <col min="9479" max="9479" width="9.5" style="243" customWidth="1"/>
    <col min="9480" max="9480" width="1.83203125" style="243" customWidth="1"/>
    <col min="9481" max="9481" width="5.1640625" style="243" customWidth="1"/>
    <col min="9482" max="9482" width="4.5" style="243" customWidth="1"/>
    <col min="9483" max="9483" width="0" style="243" hidden="1" customWidth="1"/>
    <col min="9484" max="9484" width="13.1640625" style="243" customWidth="1"/>
    <col min="9485" max="9728" width="9.1640625" style="243"/>
    <col min="9729" max="9729" width="4.5" style="243" customWidth="1"/>
    <col min="9730" max="9730" width="23.5" style="243" customWidth="1"/>
    <col min="9731" max="9731" width="10.5" style="243" customWidth="1"/>
    <col min="9732" max="9732" width="12.5" style="243" customWidth="1"/>
    <col min="9733" max="9733" width="9.5" style="243" customWidth="1"/>
    <col min="9734" max="9734" width="2.33203125" style="243" customWidth="1"/>
    <col min="9735" max="9735" width="9.5" style="243" customWidth="1"/>
    <col min="9736" max="9736" width="1.83203125" style="243" customWidth="1"/>
    <col min="9737" max="9737" width="5.1640625" style="243" customWidth="1"/>
    <col min="9738" max="9738" width="4.5" style="243" customWidth="1"/>
    <col min="9739" max="9739" width="0" style="243" hidden="1" customWidth="1"/>
    <col min="9740" max="9740" width="13.1640625" style="243" customWidth="1"/>
    <col min="9741" max="9984" width="9.1640625" style="243"/>
    <col min="9985" max="9985" width="4.5" style="243" customWidth="1"/>
    <col min="9986" max="9986" width="23.5" style="243" customWidth="1"/>
    <col min="9987" max="9987" width="10.5" style="243" customWidth="1"/>
    <col min="9988" max="9988" width="12.5" style="243" customWidth="1"/>
    <col min="9989" max="9989" width="9.5" style="243" customWidth="1"/>
    <col min="9990" max="9990" width="2.33203125" style="243" customWidth="1"/>
    <col min="9991" max="9991" width="9.5" style="243" customWidth="1"/>
    <col min="9992" max="9992" width="1.83203125" style="243" customWidth="1"/>
    <col min="9993" max="9993" width="5.1640625" style="243" customWidth="1"/>
    <col min="9994" max="9994" width="4.5" style="243" customWidth="1"/>
    <col min="9995" max="9995" width="0" style="243" hidden="1" customWidth="1"/>
    <col min="9996" max="9996" width="13.1640625" style="243" customWidth="1"/>
    <col min="9997" max="10240" width="9.1640625" style="243"/>
    <col min="10241" max="10241" width="4.5" style="243" customWidth="1"/>
    <col min="10242" max="10242" width="23.5" style="243" customWidth="1"/>
    <col min="10243" max="10243" width="10.5" style="243" customWidth="1"/>
    <col min="10244" max="10244" width="12.5" style="243" customWidth="1"/>
    <col min="10245" max="10245" width="9.5" style="243" customWidth="1"/>
    <col min="10246" max="10246" width="2.33203125" style="243" customWidth="1"/>
    <col min="10247" max="10247" width="9.5" style="243" customWidth="1"/>
    <col min="10248" max="10248" width="1.83203125" style="243" customWidth="1"/>
    <col min="10249" max="10249" width="5.1640625" style="243" customWidth="1"/>
    <col min="10250" max="10250" width="4.5" style="243" customWidth="1"/>
    <col min="10251" max="10251" width="0" style="243" hidden="1" customWidth="1"/>
    <col min="10252" max="10252" width="13.1640625" style="243" customWidth="1"/>
    <col min="10253" max="10496" width="9.1640625" style="243"/>
    <col min="10497" max="10497" width="4.5" style="243" customWidth="1"/>
    <col min="10498" max="10498" width="23.5" style="243" customWidth="1"/>
    <col min="10499" max="10499" width="10.5" style="243" customWidth="1"/>
    <col min="10500" max="10500" width="12.5" style="243" customWidth="1"/>
    <col min="10501" max="10501" width="9.5" style="243" customWidth="1"/>
    <col min="10502" max="10502" width="2.33203125" style="243" customWidth="1"/>
    <col min="10503" max="10503" width="9.5" style="243" customWidth="1"/>
    <col min="10504" max="10504" width="1.83203125" style="243" customWidth="1"/>
    <col min="10505" max="10505" width="5.1640625" style="243" customWidth="1"/>
    <col min="10506" max="10506" width="4.5" style="243" customWidth="1"/>
    <col min="10507" max="10507" width="0" style="243" hidden="1" customWidth="1"/>
    <col min="10508" max="10508" width="13.1640625" style="243" customWidth="1"/>
    <col min="10509" max="10752" width="9.1640625" style="243"/>
    <col min="10753" max="10753" width="4.5" style="243" customWidth="1"/>
    <col min="10754" max="10754" width="23.5" style="243" customWidth="1"/>
    <col min="10755" max="10755" width="10.5" style="243" customWidth="1"/>
    <col min="10756" max="10756" width="12.5" style="243" customWidth="1"/>
    <col min="10757" max="10757" width="9.5" style="243" customWidth="1"/>
    <col min="10758" max="10758" width="2.33203125" style="243" customWidth="1"/>
    <col min="10759" max="10759" width="9.5" style="243" customWidth="1"/>
    <col min="10760" max="10760" width="1.83203125" style="243" customWidth="1"/>
    <col min="10761" max="10761" width="5.1640625" style="243" customWidth="1"/>
    <col min="10762" max="10762" width="4.5" style="243" customWidth="1"/>
    <col min="10763" max="10763" width="0" style="243" hidden="1" customWidth="1"/>
    <col min="10764" max="10764" width="13.1640625" style="243" customWidth="1"/>
    <col min="10765" max="11008" width="9.1640625" style="243"/>
    <col min="11009" max="11009" width="4.5" style="243" customWidth="1"/>
    <col min="11010" max="11010" width="23.5" style="243" customWidth="1"/>
    <col min="11011" max="11011" width="10.5" style="243" customWidth="1"/>
    <col min="11012" max="11012" width="12.5" style="243" customWidth="1"/>
    <col min="11013" max="11013" width="9.5" style="243" customWidth="1"/>
    <col min="11014" max="11014" width="2.33203125" style="243" customWidth="1"/>
    <col min="11015" max="11015" width="9.5" style="243" customWidth="1"/>
    <col min="11016" max="11016" width="1.83203125" style="243" customWidth="1"/>
    <col min="11017" max="11017" width="5.1640625" style="243" customWidth="1"/>
    <col min="11018" max="11018" width="4.5" style="243" customWidth="1"/>
    <col min="11019" max="11019" width="0" style="243" hidden="1" customWidth="1"/>
    <col min="11020" max="11020" width="13.1640625" style="243" customWidth="1"/>
    <col min="11021" max="11264" width="9.1640625" style="243"/>
    <col min="11265" max="11265" width="4.5" style="243" customWidth="1"/>
    <col min="11266" max="11266" width="23.5" style="243" customWidth="1"/>
    <col min="11267" max="11267" width="10.5" style="243" customWidth="1"/>
    <col min="11268" max="11268" width="12.5" style="243" customWidth="1"/>
    <col min="11269" max="11269" width="9.5" style="243" customWidth="1"/>
    <col min="11270" max="11270" width="2.33203125" style="243" customWidth="1"/>
    <col min="11271" max="11271" width="9.5" style="243" customWidth="1"/>
    <col min="11272" max="11272" width="1.83203125" style="243" customWidth="1"/>
    <col min="11273" max="11273" width="5.1640625" style="243" customWidth="1"/>
    <col min="11274" max="11274" width="4.5" style="243" customWidth="1"/>
    <col min="11275" max="11275" width="0" style="243" hidden="1" customWidth="1"/>
    <col min="11276" max="11276" width="13.1640625" style="243" customWidth="1"/>
    <col min="11277" max="11520" width="9.1640625" style="243"/>
    <col min="11521" max="11521" width="4.5" style="243" customWidth="1"/>
    <col min="11522" max="11522" width="23.5" style="243" customWidth="1"/>
    <col min="11523" max="11523" width="10.5" style="243" customWidth="1"/>
    <col min="11524" max="11524" width="12.5" style="243" customWidth="1"/>
    <col min="11525" max="11525" width="9.5" style="243" customWidth="1"/>
    <col min="11526" max="11526" width="2.33203125" style="243" customWidth="1"/>
    <col min="11527" max="11527" width="9.5" style="243" customWidth="1"/>
    <col min="11528" max="11528" width="1.83203125" style="243" customWidth="1"/>
    <col min="11529" max="11529" width="5.1640625" style="243" customWidth="1"/>
    <col min="11530" max="11530" width="4.5" style="243" customWidth="1"/>
    <col min="11531" max="11531" width="0" style="243" hidden="1" customWidth="1"/>
    <col min="11532" max="11532" width="13.1640625" style="243" customWidth="1"/>
    <col min="11533" max="11776" width="9.1640625" style="243"/>
    <col min="11777" max="11777" width="4.5" style="243" customWidth="1"/>
    <col min="11778" max="11778" width="23.5" style="243" customWidth="1"/>
    <col min="11779" max="11779" width="10.5" style="243" customWidth="1"/>
    <col min="11780" max="11780" width="12.5" style="243" customWidth="1"/>
    <col min="11781" max="11781" width="9.5" style="243" customWidth="1"/>
    <col min="11782" max="11782" width="2.33203125" style="243" customWidth="1"/>
    <col min="11783" max="11783" width="9.5" style="243" customWidth="1"/>
    <col min="11784" max="11784" width="1.83203125" style="243" customWidth="1"/>
    <col min="11785" max="11785" width="5.1640625" style="243" customWidth="1"/>
    <col min="11786" max="11786" width="4.5" style="243" customWidth="1"/>
    <col min="11787" max="11787" width="0" style="243" hidden="1" customWidth="1"/>
    <col min="11788" max="11788" width="13.1640625" style="243" customWidth="1"/>
    <col min="11789" max="12032" width="9.1640625" style="243"/>
    <col min="12033" max="12033" width="4.5" style="243" customWidth="1"/>
    <col min="12034" max="12034" width="23.5" style="243" customWidth="1"/>
    <col min="12035" max="12035" width="10.5" style="243" customWidth="1"/>
    <col min="12036" max="12036" width="12.5" style="243" customWidth="1"/>
    <col min="12037" max="12037" width="9.5" style="243" customWidth="1"/>
    <col min="12038" max="12038" width="2.33203125" style="243" customWidth="1"/>
    <col min="12039" max="12039" width="9.5" style="243" customWidth="1"/>
    <col min="12040" max="12040" width="1.83203125" style="243" customWidth="1"/>
    <col min="12041" max="12041" width="5.1640625" style="243" customWidth="1"/>
    <col min="12042" max="12042" width="4.5" style="243" customWidth="1"/>
    <col min="12043" max="12043" width="0" style="243" hidden="1" customWidth="1"/>
    <col min="12044" max="12044" width="13.1640625" style="243" customWidth="1"/>
    <col min="12045" max="12288" width="9.1640625" style="243"/>
    <col min="12289" max="12289" width="4.5" style="243" customWidth="1"/>
    <col min="12290" max="12290" width="23.5" style="243" customWidth="1"/>
    <col min="12291" max="12291" width="10.5" style="243" customWidth="1"/>
    <col min="12292" max="12292" width="12.5" style="243" customWidth="1"/>
    <col min="12293" max="12293" width="9.5" style="243" customWidth="1"/>
    <col min="12294" max="12294" width="2.33203125" style="243" customWidth="1"/>
    <col min="12295" max="12295" width="9.5" style="243" customWidth="1"/>
    <col min="12296" max="12296" width="1.83203125" style="243" customWidth="1"/>
    <col min="12297" max="12297" width="5.1640625" style="243" customWidth="1"/>
    <col min="12298" max="12298" width="4.5" style="243" customWidth="1"/>
    <col min="12299" max="12299" width="0" style="243" hidden="1" customWidth="1"/>
    <col min="12300" max="12300" width="13.1640625" style="243" customWidth="1"/>
    <col min="12301" max="12544" width="9.1640625" style="243"/>
    <col min="12545" max="12545" width="4.5" style="243" customWidth="1"/>
    <col min="12546" max="12546" width="23.5" style="243" customWidth="1"/>
    <col min="12547" max="12547" width="10.5" style="243" customWidth="1"/>
    <col min="12548" max="12548" width="12.5" style="243" customWidth="1"/>
    <col min="12549" max="12549" width="9.5" style="243" customWidth="1"/>
    <col min="12550" max="12550" width="2.33203125" style="243" customWidth="1"/>
    <col min="12551" max="12551" width="9.5" style="243" customWidth="1"/>
    <col min="12552" max="12552" width="1.83203125" style="243" customWidth="1"/>
    <col min="12553" max="12553" width="5.1640625" style="243" customWidth="1"/>
    <col min="12554" max="12554" width="4.5" style="243" customWidth="1"/>
    <col min="12555" max="12555" width="0" style="243" hidden="1" customWidth="1"/>
    <col min="12556" max="12556" width="13.1640625" style="243" customWidth="1"/>
    <col min="12557" max="12800" width="9.1640625" style="243"/>
    <col min="12801" max="12801" width="4.5" style="243" customWidth="1"/>
    <col min="12802" max="12802" width="23.5" style="243" customWidth="1"/>
    <col min="12803" max="12803" width="10.5" style="243" customWidth="1"/>
    <col min="12804" max="12804" width="12.5" style="243" customWidth="1"/>
    <col min="12805" max="12805" width="9.5" style="243" customWidth="1"/>
    <col min="12806" max="12806" width="2.33203125" style="243" customWidth="1"/>
    <col min="12807" max="12807" width="9.5" style="243" customWidth="1"/>
    <col min="12808" max="12808" width="1.83203125" style="243" customWidth="1"/>
    <col min="12809" max="12809" width="5.1640625" style="243" customWidth="1"/>
    <col min="12810" max="12810" width="4.5" style="243" customWidth="1"/>
    <col min="12811" max="12811" width="0" style="243" hidden="1" customWidth="1"/>
    <col min="12812" max="12812" width="13.1640625" style="243" customWidth="1"/>
    <col min="12813" max="13056" width="9.1640625" style="243"/>
    <col min="13057" max="13057" width="4.5" style="243" customWidth="1"/>
    <col min="13058" max="13058" width="23.5" style="243" customWidth="1"/>
    <col min="13059" max="13059" width="10.5" style="243" customWidth="1"/>
    <col min="13060" max="13060" width="12.5" style="243" customWidth="1"/>
    <col min="13061" max="13061" width="9.5" style="243" customWidth="1"/>
    <col min="13062" max="13062" width="2.33203125" style="243" customWidth="1"/>
    <col min="13063" max="13063" width="9.5" style="243" customWidth="1"/>
    <col min="13064" max="13064" width="1.83203125" style="243" customWidth="1"/>
    <col min="13065" max="13065" width="5.1640625" style="243" customWidth="1"/>
    <col min="13066" max="13066" width="4.5" style="243" customWidth="1"/>
    <col min="13067" max="13067" width="0" style="243" hidden="1" customWidth="1"/>
    <col min="13068" max="13068" width="13.1640625" style="243" customWidth="1"/>
    <col min="13069" max="13312" width="9.1640625" style="243"/>
    <col min="13313" max="13313" width="4.5" style="243" customWidth="1"/>
    <col min="13314" max="13314" width="23.5" style="243" customWidth="1"/>
    <col min="13315" max="13315" width="10.5" style="243" customWidth="1"/>
    <col min="13316" max="13316" width="12.5" style="243" customWidth="1"/>
    <col min="13317" max="13317" width="9.5" style="243" customWidth="1"/>
    <col min="13318" max="13318" width="2.33203125" style="243" customWidth="1"/>
    <col min="13319" max="13319" width="9.5" style="243" customWidth="1"/>
    <col min="13320" max="13320" width="1.83203125" style="243" customWidth="1"/>
    <col min="13321" max="13321" width="5.1640625" style="243" customWidth="1"/>
    <col min="13322" max="13322" width="4.5" style="243" customWidth="1"/>
    <col min="13323" max="13323" width="0" style="243" hidden="1" customWidth="1"/>
    <col min="13324" max="13324" width="13.1640625" style="243" customWidth="1"/>
    <col min="13325" max="13568" width="9.1640625" style="243"/>
    <col min="13569" max="13569" width="4.5" style="243" customWidth="1"/>
    <col min="13570" max="13570" width="23.5" style="243" customWidth="1"/>
    <col min="13571" max="13571" width="10.5" style="243" customWidth="1"/>
    <col min="13572" max="13572" width="12.5" style="243" customWidth="1"/>
    <col min="13573" max="13573" width="9.5" style="243" customWidth="1"/>
    <col min="13574" max="13574" width="2.33203125" style="243" customWidth="1"/>
    <col min="13575" max="13575" width="9.5" style="243" customWidth="1"/>
    <col min="13576" max="13576" width="1.83203125" style="243" customWidth="1"/>
    <col min="13577" max="13577" width="5.1640625" style="243" customWidth="1"/>
    <col min="13578" max="13578" width="4.5" style="243" customWidth="1"/>
    <col min="13579" max="13579" width="0" style="243" hidden="1" customWidth="1"/>
    <col min="13580" max="13580" width="13.1640625" style="243" customWidth="1"/>
    <col min="13581" max="13824" width="9.1640625" style="243"/>
    <col min="13825" max="13825" width="4.5" style="243" customWidth="1"/>
    <col min="13826" max="13826" width="23.5" style="243" customWidth="1"/>
    <col min="13827" max="13827" width="10.5" style="243" customWidth="1"/>
    <col min="13828" max="13828" width="12.5" style="243" customWidth="1"/>
    <col min="13829" max="13829" width="9.5" style="243" customWidth="1"/>
    <col min="13830" max="13830" width="2.33203125" style="243" customWidth="1"/>
    <col min="13831" max="13831" width="9.5" style="243" customWidth="1"/>
    <col min="13832" max="13832" width="1.83203125" style="243" customWidth="1"/>
    <col min="13833" max="13833" width="5.1640625" style="243" customWidth="1"/>
    <col min="13834" max="13834" width="4.5" style="243" customWidth="1"/>
    <col min="13835" max="13835" width="0" style="243" hidden="1" customWidth="1"/>
    <col min="13836" max="13836" width="13.1640625" style="243" customWidth="1"/>
    <col min="13837" max="14080" width="9.1640625" style="243"/>
    <col min="14081" max="14081" width="4.5" style="243" customWidth="1"/>
    <col min="14082" max="14082" width="23.5" style="243" customWidth="1"/>
    <col min="14083" max="14083" width="10.5" style="243" customWidth="1"/>
    <col min="14084" max="14084" width="12.5" style="243" customWidth="1"/>
    <col min="14085" max="14085" width="9.5" style="243" customWidth="1"/>
    <col min="14086" max="14086" width="2.33203125" style="243" customWidth="1"/>
    <col min="14087" max="14087" width="9.5" style="243" customWidth="1"/>
    <col min="14088" max="14088" width="1.83203125" style="243" customWidth="1"/>
    <col min="14089" max="14089" width="5.1640625" style="243" customWidth="1"/>
    <col min="14090" max="14090" width="4.5" style="243" customWidth="1"/>
    <col min="14091" max="14091" width="0" style="243" hidden="1" customWidth="1"/>
    <col min="14092" max="14092" width="13.1640625" style="243" customWidth="1"/>
    <col min="14093" max="14336" width="9.1640625" style="243"/>
    <col min="14337" max="14337" width="4.5" style="243" customWidth="1"/>
    <col min="14338" max="14338" width="23.5" style="243" customWidth="1"/>
    <col min="14339" max="14339" width="10.5" style="243" customWidth="1"/>
    <col min="14340" max="14340" width="12.5" style="243" customWidth="1"/>
    <col min="14341" max="14341" width="9.5" style="243" customWidth="1"/>
    <col min="14342" max="14342" width="2.33203125" style="243" customWidth="1"/>
    <col min="14343" max="14343" width="9.5" style="243" customWidth="1"/>
    <col min="14344" max="14344" width="1.83203125" style="243" customWidth="1"/>
    <col min="14345" max="14345" width="5.1640625" style="243" customWidth="1"/>
    <col min="14346" max="14346" width="4.5" style="243" customWidth="1"/>
    <col min="14347" max="14347" width="0" style="243" hidden="1" customWidth="1"/>
    <col min="14348" max="14348" width="13.1640625" style="243" customWidth="1"/>
    <col min="14349" max="14592" width="9.1640625" style="243"/>
    <col min="14593" max="14593" width="4.5" style="243" customWidth="1"/>
    <col min="14594" max="14594" width="23.5" style="243" customWidth="1"/>
    <col min="14595" max="14595" width="10.5" style="243" customWidth="1"/>
    <col min="14596" max="14596" width="12.5" style="243" customWidth="1"/>
    <col min="14597" max="14597" width="9.5" style="243" customWidth="1"/>
    <col min="14598" max="14598" width="2.33203125" style="243" customWidth="1"/>
    <col min="14599" max="14599" width="9.5" style="243" customWidth="1"/>
    <col min="14600" max="14600" width="1.83203125" style="243" customWidth="1"/>
    <col min="14601" max="14601" width="5.1640625" style="243" customWidth="1"/>
    <col min="14602" max="14602" width="4.5" style="243" customWidth="1"/>
    <col min="14603" max="14603" width="0" style="243" hidden="1" customWidth="1"/>
    <col min="14604" max="14604" width="13.1640625" style="243" customWidth="1"/>
    <col min="14605" max="14848" width="9.1640625" style="243"/>
    <col min="14849" max="14849" width="4.5" style="243" customWidth="1"/>
    <col min="14850" max="14850" width="23.5" style="243" customWidth="1"/>
    <col min="14851" max="14851" width="10.5" style="243" customWidth="1"/>
    <col min="14852" max="14852" width="12.5" style="243" customWidth="1"/>
    <col min="14853" max="14853" width="9.5" style="243" customWidth="1"/>
    <col min="14854" max="14854" width="2.33203125" style="243" customWidth="1"/>
    <col min="14855" max="14855" width="9.5" style="243" customWidth="1"/>
    <col min="14856" max="14856" width="1.83203125" style="243" customWidth="1"/>
    <col min="14857" max="14857" width="5.1640625" style="243" customWidth="1"/>
    <col min="14858" max="14858" width="4.5" style="243" customWidth="1"/>
    <col min="14859" max="14859" width="0" style="243" hidden="1" customWidth="1"/>
    <col min="14860" max="14860" width="13.1640625" style="243" customWidth="1"/>
    <col min="14861" max="15104" width="9.1640625" style="243"/>
    <col min="15105" max="15105" width="4.5" style="243" customWidth="1"/>
    <col min="15106" max="15106" width="23.5" style="243" customWidth="1"/>
    <col min="15107" max="15107" width="10.5" style="243" customWidth="1"/>
    <col min="15108" max="15108" width="12.5" style="243" customWidth="1"/>
    <col min="15109" max="15109" width="9.5" style="243" customWidth="1"/>
    <col min="15110" max="15110" width="2.33203125" style="243" customWidth="1"/>
    <col min="15111" max="15111" width="9.5" style="243" customWidth="1"/>
    <col min="15112" max="15112" width="1.83203125" style="243" customWidth="1"/>
    <col min="15113" max="15113" width="5.1640625" style="243" customWidth="1"/>
    <col min="15114" max="15114" width="4.5" style="243" customWidth="1"/>
    <col min="15115" max="15115" width="0" style="243" hidden="1" customWidth="1"/>
    <col min="15116" max="15116" width="13.1640625" style="243" customWidth="1"/>
    <col min="15117" max="15360" width="9.1640625" style="243"/>
    <col min="15361" max="15361" width="4.5" style="243" customWidth="1"/>
    <col min="15362" max="15362" width="23.5" style="243" customWidth="1"/>
    <col min="15363" max="15363" width="10.5" style="243" customWidth="1"/>
    <col min="15364" max="15364" width="12.5" style="243" customWidth="1"/>
    <col min="15365" max="15365" width="9.5" style="243" customWidth="1"/>
    <col min="15366" max="15366" width="2.33203125" style="243" customWidth="1"/>
    <col min="15367" max="15367" width="9.5" style="243" customWidth="1"/>
    <col min="15368" max="15368" width="1.83203125" style="243" customWidth="1"/>
    <col min="15369" max="15369" width="5.1640625" style="243" customWidth="1"/>
    <col min="15370" max="15370" width="4.5" style="243" customWidth="1"/>
    <col min="15371" max="15371" width="0" style="243" hidden="1" customWidth="1"/>
    <col min="15372" max="15372" width="13.1640625" style="243" customWidth="1"/>
    <col min="15373" max="15616" width="9.1640625" style="243"/>
    <col min="15617" max="15617" width="4.5" style="243" customWidth="1"/>
    <col min="15618" max="15618" width="23.5" style="243" customWidth="1"/>
    <col min="15619" max="15619" width="10.5" style="243" customWidth="1"/>
    <col min="15620" max="15620" width="12.5" style="243" customWidth="1"/>
    <col min="15621" max="15621" width="9.5" style="243" customWidth="1"/>
    <col min="15622" max="15622" width="2.33203125" style="243" customWidth="1"/>
    <col min="15623" max="15623" width="9.5" style="243" customWidth="1"/>
    <col min="15624" max="15624" width="1.83203125" style="243" customWidth="1"/>
    <col min="15625" max="15625" width="5.1640625" style="243" customWidth="1"/>
    <col min="15626" max="15626" width="4.5" style="243" customWidth="1"/>
    <col min="15627" max="15627" width="0" style="243" hidden="1" customWidth="1"/>
    <col min="15628" max="15628" width="13.1640625" style="243" customWidth="1"/>
    <col min="15629" max="15872" width="9.1640625" style="243"/>
    <col min="15873" max="15873" width="4.5" style="243" customWidth="1"/>
    <col min="15874" max="15874" width="23.5" style="243" customWidth="1"/>
    <col min="15875" max="15875" width="10.5" style="243" customWidth="1"/>
    <col min="15876" max="15876" width="12.5" style="243" customWidth="1"/>
    <col min="15877" max="15877" width="9.5" style="243" customWidth="1"/>
    <col min="15878" max="15878" width="2.33203125" style="243" customWidth="1"/>
    <col min="15879" max="15879" width="9.5" style="243" customWidth="1"/>
    <col min="15880" max="15880" width="1.83203125" style="243" customWidth="1"/>
    <col min="15881" max="15881" width="5.1640625" style="243" customWidth="1"/>
    <col min="15882" max="15882" width="4.5" style="243" customWidth="1"/>
    <col min="15883" max="15883" width="0" style="243" hidden="1" customWidth="1"/>
    <col min="15884" max="15884" width="13.1640625" style="243" customWidth="1"/>
    <col min="15885" max="16128" width="9.1640625" style="243"/>
    <col min="16129" max="16129" width="4.5" style="243" customWidth="1"/>
    <col min="16130" max="16130" width="23.5" style="243" customWidth="1"/>
    <col min="16131" max="16131" width="10.5" style="243" customWidth="1"/>
    <col min="16132" max="16132" width="12.5" style="243" customWidth="1"/>
    <col min="16133" max="16133" width="9.5" style="243" customWidth="1"/>
    <col min="16134" max="16134" width="2.33203125" style="243" customWidth="1"/>
    <col min="16135" max="16135" width="9.5" style="243" customWidth="1"/>
    <col min="16136" max="16136" width="1.83203125" style="243" customWidth="1"/>
    <col min="16137" max="16137" width="5.1640625" style="243" customWidth="1"/>
    <col min="16138" max="16138" width="4.5" style="243" customWidth="1"/>
    <col min="16139" max="16139" width="0" style="243" hidden="1" customWidth="1"/>
    <col min="16140" max="16140" width="13.1640625" style="243" customWidth="1"/>
    <col min="16141" max="16384" width="9.1640625" style="243"/>
  </cols>
  <sheetData>
    <row r="1" spans="1:12">
      <c r="A1" s="794" t="s">
        <v>300</v>
      </c>
      <c r="B1" s="794"/>
      <c r="C1" s="794"/>
      <c r="D1" s="794"/>
      <c r="E1" s="794"/>
      <c r="F1" s="794"/>
      <c r="G1" s="794"/>
      <c r="H1" s="794"/>
      <c r="I1" s="794"/>
      <c r="J1" s="794"/>
      <c r="K1" s="794"/>
      <c r="L1" s="794"/>
    </row>
    <row r="2" spans="1:12">
      <c r="A2" s="795" t="s">
        <v>301</v>
      </c>
      <c r="B2" s="795"/>
      <c r="C2" s="795"/>
      <c r="D2" s="795"/>
      <c r="E2" s="795"/>
      <c r="F2" s="795"/>
      <c r="G2" s="795"/>
      <c r="H2" s="795"/>
      <c r="I2" s="795"/>
      <c r="J2" s="795"/>
      <c r="K2" s="795"/>
      <c r="L2" s="795"/>
    </row>
    <row r="3" spans="1:12" ht="9.75" customHeight="1">
      <c r="A3" s="244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1:12" s="1" customFormat="1" ht="35.25" customHeight="1">
      <c r="A4" s="791" t="s">
        <v>916</v>
      </c>
      <c r="B4" s="791"/>
      <c r="C4" s="791"/>
      <c r="D4" s="791"/>
      <c r="E4" s="791"/>
      <c r="F4" s="791"/>
    </row>
    <row r="5" spans="1:12" s="1" customFormat="1" ht="14">
      <c r="A5" s="796" t="s">
        <v>302</v>
      </c>
      <c r="B5" s="796"/>
      <c r="C5" s="796"/>
      <c r="D5" s="796"/>
      <c r="E5" s="796"/>
      <c r="F5" s="796"/>
    </row>
    <row r="6" spans="1:12" s="1" customFormat="1" ht="14">
      <c r="A6" s="16" t="s">
        <v>291</v>
      </c>
      <c r="B6" s="17"/>
      <c r="C6" s="17"/>
      <c r="D6" s="17"/>
      <c r="E6" s="17"/>
      <c r="F6" s="17"/>
    </row>
    <row r="7" spans="1:12" s="1" customFormat="1" ht="14">
      <c r="A7" s="16" t="s">
        <v>149</v>
      </c>
      <c r="B7" s="16"/>
      <c r="C7" s="18"/>
      <c r="D7" s="18"/>
      <c r="E7" s="18"/>
      <c r="F7" s="4"/>
    </row>
    <row r="8" spans="1:12" s="1" customFormat="1" ht="14">
      <c r="A8" s="16" t="s">
        <v>923</v>
      </c>
      <c r="B8" s="16"/>
      <c r="C8" s="19"/>
      <c r="D8" s="16"/>
      <c r="E8" s="16"/>
      <c r="F8" s="4"/>
    </row>
    <row r="9" spans="1:12">
      <c r="A9" s="246"/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</row>
    <row r="10" spans="1:12" ht="34.5" customHeight="1">
      <c r="A10" s="797" t="s">
        <v>303</v>
      </c>
      <c r="B10" s="798"/>
      <c r="C10" s="798"/>
      <c r="D10" s="798"/>
      <c r="E10" s="798"/>
      <c r="F10" s="798"/>
      <c r="G10" s="798"/>
      <c r="H10" s="798"/>
      <c r="I10" s="798"/>
      <c r="J10" s="798"/>
      <c r="K10" s="798"/>
      <c r="L10" s="798"/>
    </row>
    <row r="11" spans="1:12">
      <c r="A11" s="799" t="s">
        <v>0</v>
      </c>
      <c r="B11" s="801" t="s">
        <v>304</v>
      </c>
      <c r="C11" s="801" t="s">
        <v>305</v>
      </c>
      <c r="D11" s="801" t="s">
        <v>306</v>
      </c>
      <c r="E11" s="803" t="s">
        <v>307</v>
      </c>
      <c r="F11" s="804"/>
      <c r="G11" s="804"/>
      <c r="H11" s="804"/>
      <c r="I11" s="804"/>
      <c r="J11" s="804"/>
      <c r="K11" s="805"/>
      <c r="L11" s="801" t="s">
        <v>308</v>
      </c>
    </row>
    <row r="12" spans="1:12">
      <c r="A12" s="800"/>
      <c r="B12" s="802"/>
      <c r="C12" s="802"/>
      <c r="D12" s="802"/>
      <c r="E12" s="667" t="s">
        <v>309</v>
      </c>
      <c r="F12" s="804" t="s">
        <v>310</v>
      </c>
      <c r="G12" s="804"/>
      <c r="H12" s="804" t="s">
        <v>311</v>
      </c>
      <c r="I12" s="804"/>
      <c r="J12" s="804"/>
      <c r="K12" s="805"/>
      <c r="L12" s="802"/>
    </row>
    <row r="13" spans="1:12">
      <c r="A13" s="670">
        <v>1</v>
      </c>
      <c r="B13" s="671">
        <v>2</v>
      </c>
      <c r="C13" s="672">
        <v>3</v>
      </c>
      <c r="D13" s="672">
        <v>4</v>
      </c>
      <c r="E13" s="806">
        <v>5</v>
      </c>
      <c r="F13" s="807"/>
      <c r="G13" s="807"/>
      <c r="H13" s="807"/>
      <c r="I13" s="807"/>
      <c r="J13" s="807"/>
      <c r="K13" s="808"/>
      <c r="L13" s="672">
        <v>6</v>
      </c>
    </row>
    <row r="14" spans="1:12">
      <c r="A14" s="792" t="s">
        <v>312</v>
      </c>
      <c r="B14" s="792"/>
      <c r="C14" s="792"/>
      <c r="D14" s="792"/>
      <c r="E14" s="792"/>
      <c r="F14" s="792"/>
      <c r="G14" s="792"/>
      <c r="H14" s="792"/>
      <c r="I14" s="792"/>
      <c r="J14" s="792"/>
      <c r="K14" s="792"/>
      <c r="L14" s="792"/>
    </row>
    <row r="15" spans="1:12">
      <c r="A15" s="792" t="s">
        <v>313</v>
      </c>
      <c r="B15" s="792"/>
      <c r="C15" s="792"/>
      <c r="D15" s="792"/>
      <c r="E15" s="792"/>
      <c r="F15" s="792"/>
      <c r="G15" s="792"/>
      <c r="H15" s="793"/>
      <c r="I15" s="793"/>
      <c r="J15" s="793"/>
      <c r="K15" s="792"/>
      <c r="L15" s="792"/>
    </row>
    <row r="16" spans="1:12" ht="90">
      <c r="A16" s="247">
        <v>1</v>
      </c>
      <c r="B16" s="248" t="s">
        <v>314</v>
      </c>
      <c r="C16" s="249" t="s">
        <v>315</v>
      </c>
      <c r="D16" s="250" t="s">
        <v>316</v>
      </c>
      <c r="E16" s="251">
        <v>50</v>
      </c>
      <c r="F16" s="252" t="s">
        <v>317</v>
      </c>
      <c r="G16" s="253">
        <v>18.399999999999999</v>
      </c>
      <c r="H16" s="254"/>
      <c r="I16" s="254"/>
      <c r="J16" s="254"/>
      <c r="K16" s="255"/>
      <c r="L16" s="256">
        <f>ROUND(PRODUCT(E16:K16),2)</f>
        <v>920</v>
      </c>
    </row>
    <row r="17" spans="1:12" ht="75">
      <c r="A17" s="257">
        <f>A16+1</f>
        <v>2</v>
      </c>
      <c r="B17" s="258" t="s">
        <v>318</v>
      </c>
      <c r="C17" s="249" t="s">
        <v>319</v>
      </c>
      <c r="D17" s="250" t="s">
        <v>320</v>
      </c>
      <c r="E17" s="259">
        <v>1</v>
      </c>
      <c r="F17" s="252" t="s">
        <v>317</v>
      </c>
      <c r="G17" s="260">
        <v>500</v>
      </c>
      <c r="H17" s="254" t="s">
        <v>317</v>
      </c>
      <c r="I17" s="254">
        <v>1.25</v>
      </c>
      <c r="J17" s="254"/>
      <c r="K17" s="255"/>
      <c r="L17" s="256">
        <f>ROUND(PRODUCT(E17:K17),2)</f>
        <v>625</v>
      </c>
    </row>
    <row r="18" spans="1:12">
      <c r="A18" s="257">
        <f>A17+1</f>
        <v>3</v>
      </c>
      <c r="B18" s="809" t="s">
        <v>321</v>
      </c>
      <c r="C18" s="810"/>
      <c r="D18" s="810"/>
      <c r="E18" s="810"/>
      <c r="F18" s="810"/>
      <c r="G18" s="810"/>
      <c r="H18" s="810"/>
      <c r="I18" s="810"/>
      <c r="J18" s="810"/>
      <c r="K18" s="811"/>
      <c r="L18" s="261">
        <f>SUM(L16:L17)</f>
        <v>1545</v>
      </c>
    </row>
    <row r="19" spans="1:12">
      <c r="A19" s="792" t="s">
        <v>322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</row>
    <row r="20" spans="1:12">
      <c r="A20" s="247"/>
      <c r="B20" s="812" t="s">
        <v>323</v>
      </c>
      <c r="C20" s="813"/>
      <c r="D20" s="813"/>
      <c r="E20" s="814"/>
      <c r="F20" s="262"/>
      <c r="G20" s="263"/>
      <c r="H20" s="254"/>
      <c r="I20" s="254"/>
      <c r="J20" s="254"/>
      <c r="K20" s="255"/>
      <c r="L20" s="256"/>
    </row>
    <row r="21" spans="1:12" ht="120">
      <c r="A21" s="247">
        <f>A18+1</f>
        <v>4</v>
      </c>
      <c r="B21" s="248" t="s">
        <v>324</v>
      </c>
      <c r="C21" s="264" t="s">
        <v>325</v>
      </c>
      <c r="D21" s="248" t="s">
        <v>326</v>
      </c>
      <c r="E21" s="265">
        <v>50</v>
      </c>
      <c r="F21" s="262" t="s">
        <v>317</v>
      </c>
      <c r="G21" s="263">
        <v>38.4</v>
      </c>
      <c r="H21" s="254" t="s">
        <v>317</v>
      </c>
      <c r="I21" s="254">
        <v>0.9</v>
      </c>
      <c r="J21" s="254"/>
      <c r="K21" s="255"/>
      <c r="L21" s="256">
        <f>ROUND(PRODUCT(E21:K21),2)</f>
        <v>1728</v>
      </c>
    </row>
    <row r="22" spans="1:12" ht="120">
      <c r="A22" s="247">
        <f t="shared" ref="A22:A28" si="0">A21+1</f>
        <v>5</v>
      </c>
      <c r="B22" s="248" t="s">
        <v>327</v>
      </c>
      <c r="C22" s="264" t="s">
        <v>325</v>
      </c>
      <c r="D22" s="248" t="s">
        <v>326</v>
      </c>
      <c r="E22" s="265">
        <v>250</v>
      </c>
      <c r="F22" s="262" t="s">
        <v>317</v>
      </c>
      <c r="G22" s="263">
        <v>42.6</v>
      </c>
      <c r="H22" s="254" t="s">
        <v>317</v>
      </c>
      <c r="I22" s="254">
        <v>0.9</v>
      </c>
      <c r="J22" s="254"/>
      <c r="K22" s="255"/>
      <c r="L22" s="256">
        <f>ROUND(PRODUCT(E22:K22),2)</f>
        <v>9585</v>
      </c>
    </row>
    <row r="23" spans="1:12" ht="120">
      <c r="A23" s="247">
        <f t="shared" si="0"/>
        <v>6</v>
      </c>
      <c r="B23" s="248" t="s">
        <v>328</v>
      </c>
      <c r="C23" s="264" t="s">
        <v>325</v>
      </c>
      <c r="D23" s="248" t="s">
        <v>326</v>
      </c>
      <c r="E23" s="265">
        <v>50</v>
      </c>
      <c r="F23" s="262" t="s">
        <v>317</v>
      </c>
      <c r="G23" s="263">
        <v>45.6</v>
      </c>
      <c r="H23" s="254" t="s">
        <v>317</v>
      </c>
      <c r="I23" s="254">
        <v>0.9</v>
      </c>
      <c r="J23" s="254"/>
      <c r="K23" s="255"/>
      <c r="L23" s="256">
        <f>ROUND(PRODUCT(E23:K23),2)</f>
        <v>2052</v>
      </c>
    </row>
    <row r="24" spans="1:12" ht="45">
      <c r="A24" s="247">
        <f t="shared" si="0"/>
        <v>7</v>
      </c>
      <c r="B24" s="266" t="s">
        <v>329</v>
      </c>
      <c r="C24" s="264" t="s">
        <v>325</v>
      </c>
      <c r="D24" s="248" t="s">
        <v>330</v>
      </c>
      <c r="E24" s="265">
        <v>350</v>
      </c>
      <c r="F24" s="262" t="s">
        <v>317</v>
      </c>
      <c r="G24" s="263">
        <v>2.1</v>
      </c>
      <c r="H24" s="254"/>
      <c r="I24" s="254"/>
      <c r="J24" s="254"/>
      <c r="K24" s="255"/>
      <c r="L24" s="256">
        <f>ROUND(PRODUCT(E24:K24),2)</f>
        <v>735</v>
      </c>
    </row>
    <row r="25" spans="1:12" ht="75">
      <c r="A25" s="247">
        <f t="shared" si="0"/>
        <v>8</v>
      </c>
      <c r="B25" s="267" t="s">
        <v>331</v>
      </c>
      <c r="C25" s="264" t="s">
        <v>325</v>
      </c>
      <c r="D25" s="248" t="s">
        <v>332</v>
      </c>
      <c r="E25" s="265">
        <v>350</v>
      </c>
      <c r="F25" s="262" t="s">
        <v>317</v>
      </c>
      <c r="G25" s="268">
        <v>1.6</v>
      </c>
      <c r="H25" s="268" t="s">
        <v>317</v>
      </c>
      <c r="I25" s="254">
        <v>0.6</v>
      </c>
      <c r="J25" s="254"/>
      <c r="K25" s="255"/>
      <c r="L25" s="256">
        <f>ROUND(PRODUCT(E25:K25),2)</f>
        <v>336</v>
      </c>
    </row>
    <row r="26" spans="1:12" ht="45">
      <c r="A26" s="247">
        <f t="shared" si="0"/>
        <v>9</v>
      </c>
      <c r="B26" s="269" t="s">
        <v>333</v>
      </c>
      <c r="C26" s="270" t="s">
        <v>334</v>
      </c>
      <c r="D26" s="271" t="s">
        <v>335</v>
      </c>
      <c r="E26" s="272">
        <v>1</v>
      </c>
      <c r="F26" s="273" t="s">
        <v>317</v>
      </c>
      <c r="G26" s="274">
        <v>743</v>
      </c>
      <c r="H26" s="274"/>
      <c r="I26" s="275"/>
      <c r="J26" s="275"/>
      <c r="K26" s="276"/>
      <c r="L26" s="277">
        <f>G26*E26</f>
        <v>743</v>
      </c>
    </row>
    <row r="27" spans="1:12" ht="30">
      <c r="A27" s="247">
        <f t="shared" si="0"/>
        <v>10</v>
      </c>
      <c r="B27" s="248" t="s">
        <v>336</v>
      </c>
      <c r="C27" s="264" t="s">
        <v>337</v>
      </c>
      <c r="D27" s="248" t="s">
        <v>338</v>
      </c>
      <c r="E27" s="265">
        <v>110</v>
      </c>
      <c r="F27" s="262" t="s">
        <v>317</v>
      </c>
      <c r="G27" s="268">
        <v>22.9</v>
      </c>
      <c r="H27" s="268"/>
      <c r="I27" s="254"/>
      <c r="J27" s="254"/>
      <c r="K27" s="255"/>
      <c r="L27" s="256">
        <f>ROUND(PRODUCT(E27:K27),2)</f>
        <v>2519</v>
      </c>
    </row>
    <row r="28" spans="1:12">
      <c r="A28" s="247">
        <f t="shared" si="0"/>
        <v>11</v>
      </c>
      <c r="B28" s="809" t="s">
        <v>339</v>
      </c>
      <c r="C28" s="811"/>
      <c r="D28" s="815"/>
      <c r="E28" s="816"/>
      <c r="F28" s="816"/>
      <c r="G28" s="816"/>
      <c r="H28" s="816"/>
      <c r="I28" s="816"/>
      <c r="J28" s="816"/>
      <c r="K28" s="817"/>
      <c r="L28" s="261">
        <f>SUM(L20:L27)</f>
        <v>17698</v>
      </c>
    </row>
    <row r="29" spans="1:12">
      <c r="A29" s="792" t="s">
        <v>340</v>
      </c>
      <c r="B29" s="792"/>
      <c r="C29" s="792"/>
      <c r="D29" s="792"/>
      <c r="E29" s="792"/>
      <c r="F29" s="792"/>
      <c r="G29" s="792"/>
      <c r="H29" s="792"/>
      <c r="I29" s="792"/>
      <c r="J29" s="792"/>
      <c r="K29" s="792"/>
      <c r="L29" s="792"/>
    </row>
    <row r="30" spans="1:12" ht="45">
      <c r="A30" s="247">
        <f>A28+1</f>
        <v>12</v>
      </c>
      <c r="B30" s="248" t="s">
        <v>341</v>
      </c>
      <c r="C30" s="264" t="s">
        <v>342</v>
      </c>
      <c r="D30" s="248" t="s">
        <v>343</v>
      </c>
      <c r="E30" s="278">
        <v>0.25</v>
      </c>
      <c r="F30" s="262" t="s">
        <v>317</v>
      </c>
      <c r="G30" s="268">
        <f>L28</f>
        <v>17698</v>
      </c>
      <c r="H30" s="279"/>
      <c r="I30" s="279"/>
      <c r="J30" s="279"/>
      <c r="K30" s="280"/>
      <c r="L30" s="281">
        <f>G30*E30</f>
        <v>4424.5</v>
      </c>
    </row>
    <row r="31" spans="1:12" ht="45">
      <c r="A31" s="247">
        <f>A30+1</f>
        <v>13</v>
      </c>
      <c r="B31" s="248" t="s">
        <v>344</v>
      </c>
      <c r="C31" s="264" t="s">
        <v>342</v>
      </c>
      <c r="D31" s="248" t="s">
        <v>345</v>
      </c>
      <c r="E31" s="278">
        <v>0.3</v>
      </c>
      <c r="F31" s="268" t="s">
        <v>317</v>
      </c>
      <c r="G31" s="268">
        <f>L28</f>
        <v>17698</v>
      </c>
      <c r="H31" s="279"/>
      <c r="I31" s="279"/>
      <c r="J31" s="279"/>
      <c r="K31" s="280"/>
      <c r="L31" s="281">
        <f>G31*E31</f>
        <v>5309.4</v>
      </c>
    </row>
    <row r="32" spans="1:12" ht="30">
      <c r="A32" s="247">
        <f>A31+1</f>
        <v>14</v>
      </c>
      <c r="B32" s="248" t="s">
        <v>346</v>
      </c>
      <c r="C32" s="264" t="s">
        <v>347</v>
      </c>
      <c r="D32" s="248" t="s">
        <v>348</v>
      </c>
      <c r="E32" s="278">
        <v>16.25</v>
      </c>
      <c r="F32" s="268" t="s">
        <v>317</v>
      </c>
      <c r="G32" s="818">
        <f>SUM(L28,L30,L31)</f>
        <v>27431.9</v>
      </c>
      <c r="H32" s="818"/>
      <c r="I32" s="818"/>
      <c r="J32" s="819"/>
      <c r="K32" s="820"/>
      <c r="L32" s="281">
        <f>ROUND((L28+L30+L31)*E32/100,2)</f>
        <v>4457.68</v>
      </c>
    </row>
    <row r="33" spans="1:12" ht="30">
      <c r="A33" s="247">
        <f>A32+1</f>
        <v>15</v>
      </c>
      <c r="B33" s="248" t="s">
        <v>349</v>
      </c>
      <c r="C33" s="264" t="s">
        <v>350</v>
      </c>
      <c r="D33" s="248" t="s">
        <v>351</v>
      </c>
      <c r="E33" s="278">
        <v>39.200000000000003</v>
      </c>
      <c r="F33" s="268" t="s">
        <v>317</v>
      </c>
      <c r="G33" s="818">
        <f>SUM(L28,L30,L31,L32)</f>
        <v>31889.58</v>
      </c>
      <c r="H33" s="818"/>
      <c r="I33" s="279"/>
      <c r="J33" s="279"/>
      <c r="K33" s="280"/>
      <c r="L33" s="281">
        <f>ROUND((L28+L30+L31+L32)*E33/100,2)</f>
        <v>12500.72</v>
      </c>
    </row>
    <row r="34" spans="1:12" ht="45">
      <c r="A34" s="247">
        <f>A33+1</f>
        <v>16</v>
      </c>
      <c r="B34" s="248" t="s">
        <v>352</v>
      </c>
      <c r="C34" s="264" t="s">
        <v>353</v>
      </c>
      <c r="D34" s="282" t="s">
        <v>354</v>
      </c>
      <c r="E34" s="283">
        <v>6</v>
      </c>
      <c r="F34" s="262" t="s">
        <v>317</v>
      </c>
      <c r="G34" s="284">
        <f>G33</f>
        <v>31889.58</v>
      </c>
      <c r="H34" s="284" t="s">
        <v>317</v>
      </c>
      <c r="I34" s="284">
        <v>2.5</v>
      </c>
      <c r="J34" s="285" t="s">
        <v>355</v>
      </c>
      <c r="K34" s="286">
        <v>2</v>
      </c>
      <c r="L34" s="281">
        <f>G34*E34/100*2.5</f>
        <v>4783.4369999999999</v>
      </c>
    </row>
    <row r="35" spans="1:12">
      <c r="A35" s="247">
        <f>A34+1</f>
        <v>17</v>
      </c>
      <c r="B35" s="809" t="s">
        <v>356</v>
      </c>
      <c r="C35" s="810"/>
      <c r="D35" s="810"/>
      <c r="E35" s="821"/>
      <c r="F35" s="821"/>
      <c r="G35" s="821"/>
      <c r="H35" s="821"/>
      <c r="I35" s="821"/>
      <c r="J35" s="821"/>
      <c r="K35" s="822"/>
      <c r="L35" s="287">
        <f>SUM(L30:L34)</f>
        <v>31475.737000000001</v>
      </c>
    </row>
    <row r="36" spans="1:12">
      <c r="A36" s="792" t="s">
        <v>357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</row>
    <row r="37" spans="1:12" ht="166">
      <c r="A37" s="288">
        <f>A35+1</f>
        <v>18</v>
      </c>
      <c r="B37" s="289" t="s">
        <v>358</v>
      </c>
      <c r="C37" s="290" t="s">
        <v>359</v>
      </c>
      <c r="D37" s="291" t="s">
        <v>360</v>
      </c>
      <c r="E37" s="292">
        <v>50</v>
      </c>
      <c r="F37" s="293" t="s">
        <v>317</v>
      </c>
      <c r="G37" s="275">
        <v>178.1</v>
      </c>
      <c r="H37" s="294"/>
      <c r="I37" s="294"/>
      <c r="J37" s="294"/>
      <c r="K37" s="295"/>
      <c r="L37" s="277">
        <f t="shared" ref="L37:L48" si="1">ROUND(PRODUCT(E37:K37),2)</f>
        <v>8905</v>
      </c>
    </row>
    <row r="38" spans="1:12" ht="30">
      <c r="A38" s="288">
        <f>A37+1</f>
        <v>19</v>
      </c>
      <c r="B38" s="271" t="s">
        <v>361</v>
      </c>
      <c r="C38" s="290" t="s">
        <v>359</v>
      </c>
      <c r="D38" s="291" t="s">
        <v>362</v>
      </c>
      <c r="E38" s="292">
        <v>10</v>
      </c>
      <c r="F38" s="293" t="s">
        <v>317</v>
      </c>
      <c r="G38" s="275">
        <v>78.099999999999994</v>
      </c>
      <c r="H38" s="294"/>
      <c r="I38" s="294"/>
      <c r="J38" s="294"/>
      <c r="K38" s="295"/>
      <c r="L38" s="277">
        <f t="shared" si="1"/>
        <v>781</v>
      </c>
    </row>
    <row r="39" spans="1:12" ht="75">
      <c r="A39" s="288">
        <f t="shared" ref="A39:A49" si="2">A38+1</f>
        <v>20</v>
      </c>
      <c r="B39" s="296" t="s">
        <v>363</v>
      </c>
      <c r="C39" s="290" t="s">
        <v>359</v>
      </c>
      <c r="D39" s="291" t="s">
        <v>364</v>
      </c>
      <c r="E39" s="292">
        <v>10</v>
      </c>
      <c r="F39" s="293" t="s">
        <v>317</v>
      </c>
      <c r="G39" s="275">
        <v>6</v>
      </c>
      <c r="H39" s="294"/>
      <c r="I39" s="294"/>
      <c r="J39" s="294"/>
      <c r="K39" s="295"/>
      <c r="L39" s="277">
        <f t="shared" si="1"/>
        <v>60</v>
      </c>
    </row>
    <row r="40" spans="1:12">
      <c r="A40" s="288">
        <f t="shared" si="2"/>
        <v>21</v>
      </c>
      <c r="B40" s="271" t="s">
        <v>365</v>
      </c>
      <c r="C40" s="290" t="s">
        <v>359</v>
      </c>
      <c r="D40" s="291" t="s">
        <v>366</v>
      </c>
      <c r="E40" s="292">
        <v>20</v>
      </c>
      <c r="F40" s="293" t="s">
        <v>317</v>
      </c>
      <c r="G40" s="275">
        <v>1.9</v>
      </c>
      <c r="H40" s="294"/>
      <c r="I40" s="294"/>
      <c r="J40" s="294"/>
      <c r="K40" s="295"/>
      <c r="L40" s="277">
        <f t="shared" si="1"/>
        <v>38</v>
      </c>
    </row>
    <row r="41" spans="1:12" ht="60">
      <c r="A41" s="288">
        <f t="shared" si="2"/>
        <v>22</v>
      </c>
      <c r="B41" s="296" t="s">
        <v>367</v>
      </c>
      <c r="C41" s="290" t="s">
        <v>359</v>
      </c>
      <c r="D41" s="291" t="s">
        <v>368</v>
      </c>
      <c r="E41" s="292">
        <v>40</v>
      </c>
      <c r="F41" s="293" t="s">
        <v>317</v>
      </c>
      <c r="G41" s="275">
        <v>45.5</v>
      </c>
      <c r="H41" s="294"/>
      <c r="I41" s="294"/>
      <c r="J41" s="294"/>
      <c r="K41" s="295"/>
      <c r="L41" s="277">
        <f t="shared" si="1"/>
        <v>1820</v>
      </c>
    </row>
    <row r="42" spans="1:12" ht="76">
      <c r="A42" s="288">
        <f t="shared" si="2"/>
        <v>23</v>
      </c>
      <c r="B42" s="289" t="s">
        <v>369</v>
      </c>
      <c r="C42" s="290" t="s">
        <v>359</v>
      </c>
      <c r="D42" s="271" t="s">
        <v>370</v>
      </c>
      <c r="E42" s="292">
        <v>20</v>
      </c>
      <c r="F42" s="293" t="s">
        <v>317</v>
      </c>
      <c r="G42" s="275">
        <v>8.6</v>
      </c>
      <c r="H42" s="294"/>
      <c r="I42" s="294"/>
      <c r="J42" s="294"/>
      <c r="K42" s="295"/>
      <c r="L42" s="277">
        <f t="shared" si="1"/>
        <v>172</v>
      </c>
    </row>
    <row r="43" spans="1:12" ht="91">
      <c r="A43" s="288">
        <f t="shared" si="2"/>
        <v>24</v>
      </c>
      <c r="B43" s="289" t="s">
        <v>371</v>
      </c>
      <c r="C43" s="290" t="s">
        <v>359</v>
      </c>
      <c r="D43" s="271" t="s">
        <v>372</v>
      </c>
      <c r="E43" s="292">
        <v>60</v>
      </c>
      <c r="F43" s="293" t="s">
        <v>317</v>
      </c>
      <c r="G43" s="275">
        <v>38.4</v>
      </c>
      <c r="H43" s="294"/>
      <c r="I43" s="294"/>
      <c r="J43" s="294"/>
      <c r="K43" s="295"/>
      <c r="L43" s="277">
        <f t="shared" si="1"/>
        <v>2304</v>
      </c>
    </row>
    <row r="44" spans="1:12" ht="30">
      <c r="A44" s="288">
        <f t="shared" si="2"/>
        <v>25</v>
      </c>
      <c r="B44" s="271" t="s">
        <v>373</v>
      </c>
      <c r="C44" s="290" t="s">
        <v>374</v>
      </c>
      <c r="D44" s="271" t="s">
        <v>375</v>
      </c>
      <c r="E44" s="292">
        <v>6</v>
      </c>
      <c r="F44" s="293" t="s">
        <v>317</v>
      </c>
      <c r="G44" s="275">
        <v>67.3</v>
      </c>
      <c r="H44" s="297"/>
      <c r="I44" s="274"/>
      <c r="J44" s="297"/>
      <c r="K44" s="298"/>
      <c r="L44" s="277">
        <f t="shared" si="1"/>
        <v>403.8</v>
      </c>
    </row>
    <row r="45" spans="1:12" ht="30">
      <c r="A45" s="288">
        <f t="shared" si="2"/>
        <v>26</v>
      </c>
      <c r="B45" s="271" t="s">
        <v>376</v>
      </c>
      <c r="C45" s="290" t="s">
        <v>374</v>
      </c>
      <c r="D45" s="271" t="s">
        <v>377</v>
      </c>
      <c r="E45" s="292">
        <v>4</v>
      </c>
      <c r="F45" s="293" t="s">
        <v>317</v>
      </c>
      <c r="G45" s="275">
        <v>5.5</v>
      </c>
      <c r="H45" s="297"/>
      <c r="I45" s="274"/>
      <c r="J45" s="297"/>
      <c r="K45" s="298"/>
      <c r="L45" s="277">
        <f t="shared" si="1"/>
        <v>22</v>
      </c>
    </row>
    <row r="46" spans="1:12" ht="75">
      <c r="A46" s="288">
        <f t="shared" si="2"/>
        <v>27</v>
      </c>
      <c r="B46" s="271" t="s">
        <v>378</v>
      </c>
      <c r="C46" s="290" t="s">
        <v>374</v>
      </c>
      <c r="D46" s="271" t="s">
        <v>379</v>
      </c>
      <c r="E46" s="292">
        <v>4</v>
      </c>
      <c r="F46" s="275" t="s">
        <v>317</v>
      </c>
      <c r="G46" s="299">
        <v>21.5</v>
      </c>
      <c r="H46" s="297"/>
      <c r="I46" s="274"/>
      <c r="J46" s="297"/>
      <c r="K46" s="298"/>
      <c r="L46" s="277">
        <f t="shared" si="1"/>
        <v>86</v>
      </c>
    </row>
    <row r="47" spans="1:12" ht="45">
      <c r="A47" s="288">
        <f t="shared" si="2"/>
        <v>28</v>
      </c>
      <c r="B47" s="271" t="s">
        <v>380</v>
      </c>
      <c r="C47" s="290" t="s">
        <v>374</v>
      </c>
      <c r="D47" s="271" t="s">
        <v>381</v>
      </c>
      <c r="E47" s="292">
        <v>4</v>
      </c>
      <c r="F47" s="275" t="s">
        <v>317</v>
      </c>
      <c r="G47" s="275">
        <v>18.2</v>
      </c>
      <c r="H47" s="297"/>
      <c r="I47" s="297"/>
      <c r="J47" s="297"/>
      <c r="K47" s="298"/>
      <c r="L47" s="277">
        <f t="shared" si="1"/>
        <v>72.8</v>
      </c>
    </row>
    <row r="48" spans="1:12" ht="45">
      <c r="A48" s="288">
        <f t="shared" si="2"/>
        <v>29</v>
      </c>
      <c r="B48" s="271" t="s">
        <v>382</v>
      </c>
      <c r="C48" s="290" t="s">
        <v>374</v>
      </c>
      <c r="D48" s="271" t="s">
        <v>383</v>
      </c>
      <c r="E48" s="292">
        <v>4</v>
      </c>
      <c r="F48" s="293" t="s">
        <v>317</v>
      </c>
      <c r="G48" s="275">
        <v>25.4</v>
      </c>
      <c r="H48" s="297"/>
      <c r="I48" s="297"/>
      <c r="J48" s="297"/>
      <c r="K48" s="298"/>
      <c r="L48" s="277">
        <f t="shared" si="1"/>
        <v>101.6</v>
      </c>
    </row>
    <row r="49" spans="1:12">
      <c r="A49" s="288">
        <f t="shared" si="2"/>
        <v>30</v>
      </c>
      <c r="B49" s="809" t="s">
        <v>384</v>
      </c>
      <c r="C49" s="810"/>
      <c r="D49" s="810"/>
      <c r="E49" s="810"/>
      <c r="F49" s="810"/>
      <c r="G49" s="810"/>
      <c r="H49" s="810"/>
      <c r="I49" s="810"/>
      <c r="J49" s="810"/>
      <c r="K49" s="811"/>
      <c r="L49" s="261">
        <f>SUM(L37:L48)</f>
        <v>14766.199999999999</v>
      </c>
    </row>
    <row r="50" spans="1:12">
      <c r="A50" s="792" t="s">
        <v>385</v>
      </c>
      <c r="B50" s="792"/>
      <c r="C50" s="792"/>
      <c r="D50" s="792"/>
      <c r="E50" s="792"/>
      <c r="F50" s="792"/>
      <c r="G50" s="792"/>
      <c r="H50" s="792"/>
      <c r="I50" s="792"/>
      <c r="J50" s="792"/>
      <c r="K50" s="792"/>
      <c r="L50" s="792"/>
    </row>
    <row r="51" spans="1:12" ht="75">
      <c r="A51" s="288">
        <f>A49+1</f>
        <v>31</v>
      </c>
      <c r="B51" s="271" t="s">
        <v>386</v>
      </c>
      <c r="C51" s="270" t="s">
        <v>387</v>
      </c>
      <c r="D51" s="271" t="s">
        <v>388</v>
      </c>
      <c r="E51" s="272">
        <v>350</v>
      </c>
      <c r="F51" s="273" t="s">
        <v>317</v>
      </c>
      <c r="G51" s="300">
        <v>9.3000000000000007</v>
      </c>
      <c r="H51" s="297"/>
      <c r="I51" s="274"/>
      <c r="J51" s="297"/>
      <c r="K51" s="298"/>
      <c r="L51" s="277">
        <f t="shared" ref="L51:L58" si="3">ROUND(PRODUCT(E51:K51),2)</f>
        <v>3255</v>
      </c>
    </row>
    <row r="52" spans="1:12" ht="45">
      <c r="A52" s="288">
        <f>A51+1</f>
        <v>32</v>
      </c>
      <c r="B52" s="271" t="s">
        <v>389</v>
      </c>
      <c r="C52" s="270" t="s">
        <v>390</v>
      </c>
      <c r="D52" s="271" t="s">
        <v>391</v>
      </c>
      <c r="E52" s="272">
        <v>1</v>
      </c>
      <c r="F52" s="273" t="s">
        <v>317</v>
      </c>
      <c r="G52" s="300">
        <v>90</v>
      </c>
      <c r="H52" s="297"/>
      <c r="I52" s="274"/>
      <c r="J52" s="297"/>
      <c r="K52" s="298"/>
      <c r="L52" s="277">
        <f t="shared" si="3"/>
        <v>90</v>
      </c>
    </row>
    <row r="53" spans="1:12" ht="60">
      <c r="A53" s="288">
        <f t="shared" ref="A53:A60" si="4">A52+1</f>
        <v>33</v>
      </c>
      <c r="B53" s="301" t="s">
        <v>392</v>
      </c>
      <c r="C53" s="270" t="s">
        <v>393</v>
      </c>
      <c r="D53" s="271" t="s">
        <v>394</v>
      </c>
      <c r="E53" s="302">
        <f>SUM(L37:L38,L43)</f>
        <v>11990</v>
      </c>
      <c r="F53" s="273" t="s">
        <v>317</v>
      </c>
      <c r="G53" s="303">
        <v>0.2</v>
      </c>
      <c r="H53" s="274"/>
      <c r="I53" s="274"/>
      <c r="J53" s="274"/>
      <c r="K53" s="298"/>
      <c r="L53" s="277">
        <f t="shared" si="3"/>
        <v>2398</v>
      </c>
    </row>
    <row r="54" spans="1:12" ht="60">
      <c r="A54" s="288">
        <f t="shared" si="4"/>
        <v>34</v>
      </c>
      <c r="B54" s="301" t="s">
        <v>395</v>
      </c>
      <c r="C54" s="270" t="s">
        <v>393</v>
      </c>
      <c r="D54" s="271" t="s">
        <v>396</v>
      </c>
      <c r="E54" s="302">
        <f>SUM(L41)</f>
        <v>1820</v>
      </c>
      <c r="F54" s="273" t="s">
        <v>317</v>
      </c>
      <c r="G54" s="303">
        <v>0.15</v>
      </c>
      <c r="H54" s="274"/>
      <c r="I54" s="274"/>
      <c r="J54" s="274"/>
      <c r="K54" s="298"/>
      <c r="L54" s="277">
        <f t="shared" si="3"/>
        <v>273</v>
      </c>
    </row>
    <row r="55" spans="1:12" ht="60">
      <c r="A55" s="288">
        <f t="shared" si="4"/>
        <v>35</v>
      </c>
      <c r="B55" s="301" t="s">
        <v>397</v>
      </c>
      <c r="C55" s="270" t="s">
        <v>393</v>
      </c>
      <c r="D55" s="271" t="s">
        <v>398</v>
      </c>
      <c r="E55" s="302">
        <f>SUM(L39:L40)</f>
        <v>98</v>
      </c>
      <c r="F55" s="273" t="s">
        <v>317</v>
      </c>
      <c r="G55" s="303">
        <v>0.1</v>
      </c>
      <c r="H55" s="274"/>
      <c r="I55" s="274"/>
      <c r="J55" s="274"/>
      <c r="K55" s="298"/>
      <c r="L55" s="277">
        <f t="shared" si="3"/>
        <v>9.8000000000000007</v>
      </c>
    </row>
    <row r="56" spans="1:12" ht="60">
      <c r="A56" s="288">
        <f t="shared" si="4"/>
        <v>36</v>
      </c>
      <c r="B56" s="271" t="s">
        <v>399</v>
      </c>
      <c r="C56" s="270" t="s">
        <v>393</v>
      </c>
      <c r="D56" s="271" t="s">
        <v>400</v>
      </c>
      <c r="E56" s="304">
        <f>SUM(L44:L45)</f>
        <v>425.8</v>
      </c>
      <c r="F56" s="274" t="s">
        <v>317</v>
      </c>
      <c r="G56" s="303">
        <v>0.15</v>
      </c>
      <c r="H56" s="274"/>
      <c r="I56" s="274"/>
      <c r="J56" s="274"/>
      <c r="K56" s="298"/>
      <c r="L56" s="277">
        <f t="shared" si="3"/>
        <v>63.87</v>
      </c>
    </row>
    <row r="57" spans="1:12" ht="60">
      <c r="A57" s="288">
        <f t="shared" si="4"/>
        <v>37</v>
      </c>
      <c r="B57" s="271" t="s">
        <v>401</v>
      </c>
      <c r="C57" s="270" t="s">
        <v>393</v>
      </c>
      <c r="D57" s="271" t="s">
        <v>402</v>
      </c>
      <c r="E57" s="304">
        <f>SUM(L46:L48)</f>
        <v>260.39999999999998</v>
      </c>
      <c r="F57" s="273" t="s">
        <v>317</v>
      </c>
      <c r="G57" s="303">
        <v>0.15</v>
      </c>
      <c r="H57" s="297"/>
      <c r="I57" s="297"/>
      <c r="J57" s="297"/>
      <c r="K57" s="298"/>
      <c r="L57" s="277">
        <f t="shared" si="3"/>
        <v>39.06</v>
      </c>
    </row>
    <row r="58" spans="1:12" ht="60">
      <c r="A58" s="288">
        <f t="shared" si="4"/>
        <v>38</v>
      </c>
      <c r="B58" s="271" t="s">
        <v>403</v>
      </c>
      <c r="C58" s="270" t="s">
        <v>393</v>
      </c>
      <c r="D58" s="271" t="s">
        <v>404</v>
      </c>
      <c r="E58" s="304">
        <f>SUM(L42)</f>
        <v>172</v>
      </c>
      <c r="F58" s="273" t="s">
        <v>317</v>
      </c>
      <c r="G58" s="303">
        <v>0.12</v>
      </c>
      <c r="H58" s="297"/>
      <c r="I58" s="297"/>
      <c r="J58" s="297"/>
      <c r="K58" s="298"/>
      <c r="L58" s="277">
        <f t="shared" si="3"/>
        <v>20.64</v>
      </c>
    </row>
    <row r="59" spans="1:12" ht="121">
      <c r="A59" s="288">
        <f t="shared" si="4"/>
        <v>39</v>
      </c>
      <c r="B59" s="289" t="s">
        <v>405</v>
      </c>
      <c r="C59" s="270" t="s">
        <v>387</v>
      </c>
      <c r="D59" s="305" t="s">
        <v>406</v>
      </c>
      <c r="E59" s="304">
        <v>239</v>
      </c>
      <c r="F59" s="273" t="s">
        <v>317</v>
      </c>
      <c r="G59" s="300">
        <v>9</v>
      </c>
      <c r="H59" s="297"/>
      <c r="I59" s="297"/>
      <c r="J59" s="297"/>
      <c r="K59" s="298"/>
      <c r="L59" s="277">
        <f>ROUND(PRODUCT(E59:K59),2)</f>
        <v>2151</v>
      </c>
    </row>
    <row r="60" spans="1:12" ht="60">
      <c r="A60" s="288">
        <f t="shared" si="4"/>
        <v>40</v>
      </c>
      <c r="B60" s="301" t="s">
        <v>407</v>
      </c>
      <c r="C60" s="270" t="s">
        <v>408</v>
      </c>
      <c r="D60" s="271" t="s">
        <v>409</v>
      </c>
      <c r="E60" s="302">
        <f>SUM(L51:L59)</f>
        <v>8300.3700000000008</v>
      </c>
      <c r="F60" s="273" t="s">
        <v>317</v>
      </c>
      <c r="G60" s="303">
        <v>0.18</v>
      </c>
      <c r="H60" s="297"/>
      <c r="I60" s="297"/>
      <c r="J60" s="297"/>
      <c r="K60" s="298"/>
      <c r="L60" s="277">
        <f>ROUND(PRODUCT(E60:K60),2)</f>
        <v>1494.07</v>
      </c>
    </row>
    <row r="61" spans="1:12">
      <c r="A61" s="247">
        <f>A60+1</f>
        <v>41</v>
      </c>
      <c r="B61" s="809" t="s">
        <v>410</v>
      </c>
      <c r="C61" s="810"/>
      <c r="D61" s="810"/>
      <c r="E61" s="810"/>
      <c r="F61" s="810"/>
      <c r="G61" s="810"/>
      <c r="H61" s="810"/>
      <c r="I61" s="810"/>
      <c r="J61" s="810"/>
      <c r="K61" s="811"/>
      <c r="L61" s="261">
        <f>SUM(L51:L60)</f>
        <v>9794.44</v>
      </c>
    </row>
    <row r="62" spans="1:12">
      <c r="A62" s="247">
        <f t="shared" ref="A62:A65" si="5">A61+1</f>
        <v>42</v>
      </c>
      <c r="B62" s="824" t="s">
        <v>411</v>
      </c>
      <c r="C62" s="824"/>
      <c r="D62" s="824"/>
      <c r="E62" s="824"/>
      <c r="F62" s="824"/>
      <c r="G62" s="824"/>
      <c r="H62" s="824"/>
      <c r="I62" s="824"/>
      <c r="J62" s="824"/>
      <c r="K62" s="824"/>
      <c r="L62" s="261">
        <f>ROUND(L18+L28+L35+L49+L61,2)</f>
        <v>75279.38</v>
      </c>
    </row>
    <row r="63" spans="1:12" ht="30">
      <c r="A63" s="247">
        <f t="shared" si="5"/>
        <v>43</v>
      </c>
      <c r="B63" s="248" t="s">
        <v>412</v>
      </c>
      <c r="C63" s="264" t="s">
        <v>413</v>
      </c>
      <c r="D63" s="248" t="s">
        <v>414</v>
      </c>
      <c r="E63" s="264">
        <v>10</v>
      </c>
      <c r="F63" s="825"/>
      <c r="G63" s="826"/>
      <c r="H63" s="826"/>
      <c r="I63" s="826"/>
      <c r="J63" s="826"/>
      <c r="K63" s="827"/>
      <c r="L63" s="256">
        <f>ROUND(L62*E63/100,P671)</f>
        <v>7528</v>
      </c>
    </row>
    <row r="64" spans="1:12">
      <c r="A64" s="247">
        <f>A63+1</f>
        <v>44</v>
      </c>
      <c r="B64" s="809" t="s">
        <v>415</v>
      </c>
      <c r="C64" s="810"/>
      <c r="D64" s="810"/>
      <c r="E64" s="810"/>
      <c r="F64" s="810"/>
      <c r="G64" s="810"/>
      <c r="H64" s="810"/>
      <c r="I64" s="810"/>
      <c r="J64" s="810"/>
      <c r="K64" s="811"/>
      <c r="L64" s="261">
        <f>ROUND(L62+L63,2)</f>
        <v>82807.38</v>
      </c>
    </row>
    <row r="65" spans="1:12" ht="30" customHeight="1">
      <c r="A65" s="247">
        <f t="shared" si="5"/>
        <v>45</v>
      </c>
      <c r="B65" s="828" t="s">
        <v>416</v>
      </c>
      <c r="C65" s="828"/>
      <c r="D65" s="828"/>
      <c r="E65" s="828"/>
      <c r="F65" s="828"/>
      <c r="G65" s="828"/>
      <c r="H65" s="828"/>
      <c r="I65" s="828"/>
      <c r="J65" s="828"/>
      <c r="K65" s="828"/>
      <c r="L65" s="306">
        <f>ROUND(L64*11.37,2)</f>
        <v>941519.91</v>
      </c>
    </row>
    <row r="66" spans="1:12">
      <c r="A66" s="307"/>
      <c r="B66" s="308"/>
      <c r="C66" s="309"/>
      <c r="D66" s="309"/>
      <c r="E66" s="310"/>
      <c r="F66" s="310"/>
      <c r="G66" s="310"/>
      <c r="H66" s="310"/>
      <c r="I66" s="310"/>
      <c r="J66" s="310"/>
      <c r="K66" s="310"/>
      <c r="L66" s="309"/>
    </row>
    <row r="67" spans="1:12">
      <c r="A67" s="311"/>
      <c r="B67" s="312"/>
      <c r="C67" s="313"/>
      <c r="D67" s="313"/>
      <c r="E67" s="313"/>
      <c r="F67" s="314"/>
      <c r="G67" s="309"/>
      <c r="H67" s="309"/>
      <c r="I67" s="309"/>
      <c r="J67" s="309"/>
      <c r="K67" s="309"/>
      <c r="L67" s="309"/>
    </row>
    <row r="68" spans="1:12">
      <c r="A68" s="312"/>
      <c r="B68" s="312"/>
      <c r="C68" s="823"/>
      <c r="D68" s="823"/>
      <c r="E68" s="823"/>
      <c r="F68" s="314"/>
    </row>
    <row r="69" spans="1:12">
      <c r="A69" s="307"/>
      <c r="B69" s="308"/>
    </row>
    <row r="70" spans="1:12">
      <c r="A70" s="307"/>
      <c r="B70" s="308"/>
    </row>
    <row r="71" spans="1:12">
      <c r="A71" s="307"/>
      <c r="B71" s="308"/>
    </row>
    <row r="72" spans="1:12">
      <c r="A72" s="307"/>
      <c r="B72" s="308"/>
    </row>
    <row r="73" spans="1:12">
      <c r="A73" s="307"/>
      <c r="B73" s="308"/>
    </row>
    <row r="74" spans="1:12">
      <c r="A74" s="307"/>
      <c r="B74" s="308"/>
    </row>
    <row r="75" spans="1:12">
      <c r="A75" s="307"/>
      <c r="B75" s="308"/>
    </row>
    <row r="76" spans="1:12">
      <c r="A76" s="307"/>
      <c r="B76" s="308"/>
    </row>
    <row r="77" spans="1:12">
      <c r="A77" s="307"/>
      <c r="B77" s="308"/>
    </row>
    <row r="78" spans="1:12">
      <c r="A78" s="307"/>
      <c r="B78" s="308"/>
    </row>
    <row r="79" spans="1:12">
      <c r="A79" s="307"/>
      <c r="B79" s="308"/>
    </row>
    <row r="80" spans="1:12" s="315" customFormat="1" ht="14">
      <c r="A80" s="307"/>
      <c r="B80" s="308"/>
    </row>
    <row r="81" spans="1:2" s="315" customFormat="1" ht="14">
      <c r="A81" s="307"/>
      <c r="B81" s="308"/>
    </row>
    <row r="82" spans="1:2" s="315" customFormat="1" ht="14">
      <c r="A82" s="307"/>
      <c r="B82" s="308"/>
    </row>
    <row r="83" spans="1:2" s="315" customFormat="1" ht="14">
      <c r="A83" s="307"/>
      <c r="B83" s="308"/>
    </row>
    <row r="84" spans="1:2" s="315" customFormat="1" ht="14">
      <c r="A84" s="307"/>
      <c r="B84" s="308"/>
    </row>
    <row r="85" spans="1:2" s="315" customFormat="1" ht="14">
      <c r="A85" s="307"/>
      <c r="B85" s="308"/>
    </row>
    <row r="86" spans="1:2" s="315" customFormat="1" ht="14">
      <c r="A86" s="307"/>
      <c r="B86" s="308"/>
    </row>
    <row r="87" spans="1:2" s="315" customFormat="1" ht="14">
      <c r="A87" s="307"/>
      <c r="B87" s="308"/>
    </row>
    <row r="88" spans="1:2" s="315" customFormat="1" ht="14">
      <c r="A88" s="307"/>
      <c r="B88" s="308"/>
    </row>
    <row r="89" spans="1:2" s="315" customFormat="1" ht="14">
      <c r="A89" s="307"/>
      <c r="B89" s="308"/>
    </row>
    <row r="90" spans="1:2" s="315" customFormat="1" ht="14">
      <c r="A90" s="307"/>
      <c r="B90" s="308"/>
    </row>
    <row r="91" spans="1:2" s="315" customFormat="1" ht="14">
      <c r="A91" s="307"/>
      <c r="B91" s="308"/>
    </row>
    <row r="92" spans="1:2" s="315" customFormat="1" ht="14">
      <c r="A92" s="307"/>
      <c r="B92" s="308"/>
    </row>
    <row r="93" spans="1:2" s="315" customFormat="1" ht="14">
      <c r="A93" s="307"/>
      <c r="B93" s="308"/>
    </row>
    <row r="94" spans="1:2" s="315" customFormat="1" ht="14">
      <c r="A94" s="307"/>
      <c r="B94" s="308"/>
    </row>
    <row r="95" spans="1:2" s="315" customFormat="1" ht="14">
      <c r="A95" s="307"/>
      <c r="B95" s="308"/>
    </row>
    <row r="96" spans="1:2" s="315" customFormat="1" ht="14">
      <c r="A96" s="307"/>
      <c r="B96" s="308"/>
    </row>
    <row r="97" spans="1:2" s="315" customFormat="1" ht="14">
      <c r="A97" s="307"/>
      <c r="B97" s="308"/>
    </row>
    <row r="98" spans="1:2" s="315" customFormat="1" ht="14">
      <c r="A98" s="307"/>
      <c r="B98" s="308"/>
    </row>
    <row r="99" spans="1:2" s="315" customFormat="1" ht="14">
      <c r="A99" s="307"/>
      <c r="B99" s="308"/>
    </row>
    <row r="100" spans="1:2" s="315" customFormat="1" ht="14">
      <c r="A100" s="307"/>
      <c r="B100" s="308"/>
    </row>
    <row r="101" spans="1:2" s="315" customFormat="1" ht="14">
      <c r="A101" s="307"/>
      <c r="B101" s="308"/>
    </row>
    <row r="102" spans="1:2" s="315" customFormat="1" ht="14">
      <c r="A102" s="307"/>
      <c r="B102" s="308"/>
    </row>
    <row r="103" spans="1:2" s="315" customFormat="1" ht="14">
      <c r="A103" s="307"/>
      <c r="B103" s="308"/>
    </row>
    <row r="104" spans="1:2" s="315" customFormat="1" ht="14">
      <c r="A104" s="307"/>
      <c r="B104" s="308"/>
    </row>
    <row r="105" spans="1:2" s="315" customFormat="1" ht="14">
      <c r="A105" s="307"/>
      <c r="B105" s="308"/>
    </row>
    <row r="106" spans="1:2" s="315" customFormat="1" ht="14">
      <c r="A106" s="307"/>
      <c r="B106" s="308"/>
    </row>
    <row r="107" spans="1:2" s="315" customFormat="1" ht="14">
      <c r="A107" s="307"/>
      <c r="B107" s="308"/>
    </row>
    <row r="108" spans="1:2" s="315" customFormat="1" ht="14">
      <c r="A108" s="307"/>
      <c r="B108" s="308"/>
    </row>
    <row r="109" spans="1:2" s="315" customFormat="1" ht="14">
      <c r="A109" s="307"/>
      <c r="B109" s="308"/>
    </row>
    <row r="110" spans="1:2" s="315" customFormat="1" ht="14">
      <c r="A110" s="307"/>
      <c r="B110" s="308"/>
    </row>
    <row r="111" spans="1:2" s="315" customFormat="1" ht="14">
      <c r="A111" s="307"/>
      <c r="B111" s="308"/>
    </row>
    <row r="112" spans="1:2" s="315" customFormat="1" ht="14">
      <c r="A112" s="307"/>
      <c r="B112" s="308"/>
    </row>
    <row r="134" spans="1:12" s="316" customFormat="1" ht="14">
      <c r="A134" s="307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</row>
    <row r="135" spans="1:12" s="316" customFormat="1" ht="14">
      <c r="A135" s="307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</row>
    <row r="136" spans="1:12" s="316" customFormat="1" ht="14">
      <c r="A136" s="307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</row>
    <row r="137" spans="1:12" s="316" customFormat="1" ht="14">
      <c r="A137" s="307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</row>
    <row r="138" spans="1:12" s="316" customFormat="1" ht="14">
      <c r="A138" s="307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</row>
    <row r="139" spans="1:12" s="316" customFormat="1" ht="14">
      <c r="A139" s="307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</row>
    <row r="140" spans="1:12" s="316" customFormat="1" ht="14">
      <c r="A140" s="307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</row>
    <row r="141" spans="1:12" s="316" customFormat="1" ht="14">
      <c r="A141" s="307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</row>
    <row r="142" spans="1:12" s="316" customFormat="1" ht="14">
      <c r="A142" s="307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</row>
    <row r="143" spans="1:12" s="316" customFormat="1" ht="14">
      <c r="A143" s="307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</row>
    <row r="159" s="315" customFormat="1" ht="14"/>
    <row r="160" s="315" customFormat="1" ht="14"/>
    <row r="161" s="315" customFormat="1" ht="14"/>
    <row r="162" s="315" customFormat="1" ht="14"/>
    <row r="163" s="315" customFormat="1" ht="14"/>
    <row r="164" s="315" customFormat="1" ht="14"/>
    <row r="165" s="315" customFormat="1" ht="14"/>
    <row r="166" s="315" customFormat="1" ht="14"/>
    <row r="167" s="315" customFormat="1" ht="14"/>
    <row r="168" s="315" customFormat="1" ht="14"/>
    <row r="169" s="315" customFormat="1" ht="14"/>
    <row r="170" s="315" customFormat="1" ht="14"/>
    <row r="171" s="315" customFormat="1" ht="14"/>
    <row r="172" s="315" customFormat="1" ht="14"/>
    <row r="173" s="315" customFormat="1" ht="14"/>
    <row r="174" s="315" customFormat="1" ht="14"/>
    <row r="175" s="315" customFormat="1" ht="14"/>
    <row r="176" s="315" customFormat="1" ht="14"/>
    <row r="177" s="315" customFormat="1" ht="14"/>
    <row r="178" s="315" customFormat="1" ht="14"/>
    <row r="179" s="315" customFormat="1" ht="14"/>
    <row r="180" s="315" customFormat="1" ht="14"/>
    <row r="181" s="315" customFormat="1" ht="14"/>
    <row r="182" s="315" customFormat="1" ht="14"/>
    <row r="183" s="315" customFormat="1" ht="14"/>
    <row r="184" s="315" customFormat="1" ht="14"/>
    <row r="185" s="315" customFormat="1" ht="14"/>
    <row r="186" s="315" customFormat="1" ht="14"/>
    <row r="187" s="315" customFormat="1" ht="14"/>
    <row r="188" s="315" customFormat="1" ht="14"/>
    <row r="189" s="315" customFormat="1" ht="14"/>
    <row r="190" s="315" customFormat="1" ht="14"/>
    <row r="191" s="315" customFormat="1" ht="14"/>
    <row r="192" s="315" customFormat="1" ht="14"/>
    <row r="193" s="315" customFormat="1" ht="14"/>
    <row r="194" s="315" customFormat="1" ht="14"/>
    <row r="195" s="315" customFormat="1" ht="14"/>
    <row r="196" s="315" customFormat="1" ht="14"/>
    <row r="197" s="315" customFormat="1" ht="14"/>
    <row r="198" s="315" customFormat="1" ht="14"/>
    <row r="199" s="315" customFormat="1" ht="14"/>
    <row r="200" s="315" customFormat="1" ht="14"/>
    <row r="201" s="315" customFormat="1" ht="14"/>
    <row r="202" s="315" customFormat="1" ht="14"/>
    <row r="203" s="315" customFormat="1" ht="14"/>
    <row r="204" s="315" customFormat="1" ht="14"/>
    <row r="205" s="315" customFormat="1" ht="14"/>
    <row r="206" s="315" customFormat="1" ht="14"/>
    <row r="207" s="315" customFormat="1" ht="14"/>
    <row r="208" s="315" customFormat="1" ht="14"/>
    <row r="209" s="315" customFormat="1" ht="14"/>
    <row r="210" s="315" customFormat="1" ht="14"/>
    <row r="211" s="315" customFormat="1" ht="14"/>
    <row r="212" s="315" customFormat="1" ht="14"/>
    <row r="213" s="315" customFormat="1" ht="14"/>
    <row r="214" s="315" customFormat="1" ht="14"/>
    <row r="215" s="315" customFormat="1" ht="14"/>
    <row r="216" s="315" customFormat="1" ht="14"/>
    <row r="217" s="315" customFormat="1" ht="14"/>
    <row r="218" s="315" customFormat="1" ht="14"/>
    <row r="219" s="315" customFormat="1" ht="14"/>
    <row r="220" s="315" customFormat="1" ht="14"/>
    <row r="221" s="315" customFormat="1" ht="14"/>
    <row r="222" s="315" customFormat="1" ht="14"/>
    <row r="223" s="315" customFormat="1" ht="14"/>
    <row r="224" s="315" customFormat="1" ht="14"/>
    <row r="225" s="315" customFormat="1" ht="14"/>
    <row r="226" s="315" customFormat="1" ht="14"/>
    <row r="227" s="315" customFormat="1" ht="14"/>
    <row r="228" s="315" customFormat="1" ht="14"/>
    <row r="229" s="315" customFormat="1" ht="14"/>
    <row r="230" s="315" customFormat="1" ht="14"/>
    <row r="231" s="315" customFormat="1" ht="14"/>
    <row r="232" s="315" customFormat="1" ht="14"/>
    <row r="233" s="315" customFormat="1" ht="14"/>
    <row r="234" s="315" customFormat="1" ht="14"/>
    <row r="235" s="315" customFormat="1" ht="14"/>
    <row r="236" s="315" customFormat="1" ht="14"/>
    <row r="237" s="315" customFormat="1" ht="14"/>
    <row r="238" s="315" customFormat="1" ht="14"/>
    <row r="239" s="315" customFormat="1" ht="14"/>
    <row r="240" s="315" customFormat="1" ht="14"/>
    <row r="241" s="315" customFormat="1" ht="14"/>
    <row r="242" s="315" customFormat="1" ht="14"/>
    <row r="243" s="315" customFormat="1" ht="14"/>
    <row r="244" s="315" customFormat="1" ht="14"/>
    <row r="245" s="315" customFormat="1" ht="14"/>
    <row r="246" s="315" customFormat="1" ht="14"/>
    <row r="247" s="315" customFormat="1" ht="14"/>
    <row r="248" s="315" customFormat="1" ht="14"/>
    <row r="249" s="315" customFormat="1" ht="14"/>
    <row r="250" s="315" customFormat="1" ht="14"/>
    <row r="251" s="315" customFormat="1" ht="14"/>
    <row r="252" s="315" customFormat="1" ht="14"/>
    <row r="253" s="315" customFormat="1" ht="14"/>
    <row r="254" s="315" customFormat="1" ht="14"/>
    <row r="255" s="315" customFormat="1" ht="14"/>
    <row r="256" s="315" customFormat="1" ht="14"/>
    <row r="257" s="315" customFormat="1" ht="14"/>
    <row r="258" s="315" customFormat="1" ht="14"/>
    <row r="259" s="315" customFormat="1" ht="14"/>
    <row r="260" s="315" customFormat="1" ht="14"/>
    <row r="261" s="315" customFormat="1" ht="14"/>
    <row r="262" s="315" customFormat="1" ht="14"/>
    <row r="263" s="315" customFormat="1" ht="14"/>
    <row r="264" s="315" customFormat="1" ht="14"/>
    <row r="265" s="315" customFormat="1" ht="14"/>
    <row r="266" s="315" customFormat="1" ht="14"/>
    <row r="267" s="315" customFormat="1" ht="14"/>
    <row r="268" s="315" customFormat="1" ht="14"/>
    <row r="269" s="315" customFormat="1" ht="14"/>
    <row r="270" s="315" customFormat="1" ht="14"/>
    <row r="271" s="315" customFormat="1" ht="14"/>
    <row r="272" s="315" customFormat="1" ht="14"/>
    <row r="273" s="315" customFormat="1" ht="14"/>
    <row r="274" s="315" customFormat="1" ht="14"/>
    <row r="275" s="315" customFormat="1" ht="14"/>
    <row r="276" s="315" customFormat="1" ht="14"/>
    <row r="277" s="315" customFormat="1" ht="14"/>
    <row r="278" s="315" customFormat="1" ht="14"/>
    <row r="279" s="315" customFormat="1" ht="14"/>
    <row r="280" s="315" customFormat="1" ht="14"/>
    <row r="281" s="315" customFormat="1" ht="14"/>
    <row r="282" s="315" customFormat="1" ht="14"/>
    <row r="283" s="315" customFormat="1" ht="14"/>
    <row r="284" s="315" customFormat="1" ht="14"/>
    <row r="285" s="315" customFormat="1" ht="14"/>
    <row r="286" s="315" customFormat="1" ht="14"/>
    <row r="287" s="315" customFormat="1" ht="14"/>
    <row r="288" s="315" customFormat="1" ht="14"/>
    <row r="289" s="315" customFormat="1" ht="14"/>
    <row r="290" s="315" customFormat="1" ht="14"/>
    <row r="291" s="315" customFormat="1" ht="14"/>
    <row r="292" s="315" customFormat="1" ht="14"/>
    <row r="293" s="315" customFormat="1" ht="14"/>
    <row r="294" s="315" customFormat="1" ht="14"/>
    <row r="295" s="315" customFormat="1" ht="14"/>
    <row r="296" s="315" customFormat="1" ht="14"/>
    <row r="297" s="315" customFormat="1" ht="14"/>
    <row r="298" s="315" customFormat="1" ht="14"/>
    <row r="299" s="315" customFormat="1" ht="14"/>
    <row r="300" s="315" customFormat="1" ht="14"/>
    <row r="301" s="315" customFormat="1" ht="14"/>
    <row r="302" s="315" customFormat="1" ht="14"/>
    <row r="303" s="315" customFormat="1" ht="14"/>
    <row r="304" s="315" customFormat="1" ht="14"/>
    <row r="305" s="315" customFormat="1" ht="14"/>
    <row r="306" s="315" customFormat="1" ht="14"/>
    <row r="307" s="315" customFormat="1" ht="14"/>
    <row r="308" s="315" customFormat="1" ht="14"/>
    <row r="309" s="315" customFormat="1" ht="14"/>
    <row r="310" s="315" customFormat="1" ht="14"/>
    <row r="311" s="315" customFormat="1" ht="14"/>
    <row r="312" s="315" customFormat="1" ht="14"/>
    <row r="313" s="315" customFormat="1" ht="14"/>
    <row r="314" s="315" customFormat="1" ht="14"/>
    <row r="315" s="315" customFormat="1" ht="14"/>
    <row r="316" s="315" customFormat="1" ht="14"/>
    <row r="317" s="315" customFormat="1" ht="14"/>
    <row r="318" s="315" customFormat="1" ht="14"/>
    <row r="319" s="315" customFormat="1" ht="14"/>
    <row r="320" s="315" customFormat="1" ht="14"/>
    <row r="321" s="315" customFormat="1" ht="14"/>
    <row r="322" s="315" customFormat="1" ht="14"/>
    <row r="323" s="315" customFormat="1" ht="14"/>
    <row r="324" s="315" customFormat="1" ht="14"/>
    <row r="325" s="315" customFormat="1" ht="14"/>
    <row r="326" s="315" customFormat="1" ht="14"/>
    <row r="327" s="315" customFormat="1" ht="14"/>
    <row r="328" s="315" customFormat="1" ht="14"/>
    <row r="329" s="315" customFormat="1" ht="14"/>
    <row r="330" s="315" customFormat="1" ht="14"/>
    <row r="331" s="315" customFormat="1" ht="14"/>
    <row r="332" s="315" customFormat="1" ht="14"/>
    <row r="333" s="315" customFormat="1" ht="14"/>
    <row r="334" s="315" customFormat="1" ht="14"/>
    <row r="335" s="315" customFormat="1" ht="14"/>
    <row r="336" s="315" customFormat="1" ht="14"/>
    <row r="337" s="315" customFormat="1" ht="14"/>
    <row r="338" s="315" customFormat="1" ht="14"/>
    <row r="339" s="315" customFormat="1" ht="14"/>
    <row r="340" s="315" customFormat="1" ht="14"/>
    <row r="341" s="315" customFormat="1" ht="14"/>
    <row r="342" s="315" customFormat="1" ht="14"/>
    <row r="343" s="315" customFormat="1" ht="14"/>
    <row r="344" s="315" customFormat="1" ht="14"/>
    <row r="345" s="315" customFormat="1" ht="14"/>
    <row r="346" s="315" customFormat="1" ht="14"/>
    <row r="347" s="315" customFormat="1" ht="14"/>
    <row r="348" s="315" customFormat="1" ht="14"/>
    <row r="349" s="315" customFormat="1" ht="14"/>
    <row r="350" s="315" customFormat="1" ht="14"/>
    <row r="351" s="315" customFormat="1" ht="14"/>
    <row r="352" s="315" customFormat="1" ht="14"/>
    <row r="353" s="315" customFormat="1" ht="14"/>
    <row r="354" s="315" customFormat="1" ht="14"/>
    <row r="355" s="315" customFormat="1" ht="14"/>
    <row r="356" s="315" customFormat="1" ht="14"/>
    <row r="357" s="315" customFormat="1" ht="14"/>
    <row r="358" s="315" customFormat="1" ht="14"/>
    <row r="359" s="315" customFormat="1" ht="14"/>
    <row r="360" s="315" customFormat="1" ht="14"/>
    <row r="361" s="315" customFormat="1" ht="14"/>
    <row r="362" s="315" customFormat="1" ht="14"/>
    <row r="363" s="315" customFormat="1" ht="14"/>
    <row r="364" s="315" customFormat="1" ht="14"/>
    <row r="365" s="315" customFormat="1" ht="14"/>
    <row r="366" s="315" customFormat="1" ht="14"/>
    <row r="367" s="315" customFormat="1" ht="14"/>
    <row r="368" s="315" customFormat="1" ht="14"/>
    <row r="369" s="315" customFormat="1" ht="14"/>
    <row r="370" s="315" customFormat="1" ht="14"/>
    <row r="371" s="315" customFormat="1" ht="14"/>
    <row r="372" s="315" customFormat="1" ht="14"/>
    <row r="373" s="315" customFormat="1" ht="14"/>
    <row r="374" s="315" customFormat="1" ht="14"/>
    <row r="375" s="315" customFormat="1" ht="14"/>
    <row r="376" s="315" customFormat="1" ht="14"/>
    <row r="377" s="315" customFormat="1" ht="14"/>
    <row r="378" s="315" customFormat="1" ht="14"/>
    <row r="379" s="315" customFormat="1" ht="14"/>
    <row r="380" s="315" customFormat="1" ht="14"/>
    <row r="381" s="315" customFormat="1" ht="14"/>
    <row r="382" s="315" customFormat="1" ht="14"/>
    <row r="383" s="315" customFormat="1" ht="14"/>
    <row r="384" s="315" customFormat="1" ht="14"/>
    <row r="385" s="315" customFormat="1" ht="14"/>
    <row r="386" s="315" customFormat="1" ht="14"/>
    <row r="387" s="315" customFormat="1" ht="14"/>
    <row r="388" s="315" customFormat="1" ht="14"/>
    <row r="389" s="315" customFormat="1" ht="14"/>
    <row r="390" s="315" customFormat="1" ht="14"/>
    <row r="391" s="315" customFormat="1" ht="14"/>
    <row r="392" s="315" customFormat="1" ht="14"/>
    <row r="393" s="315" customFormat="1" ht="14"/>
    <row r="394" s="315" customFormat="1" ht="14"/>
    <row r="395" s="315" customFormat="1" ht="14"/>
    <row r="396" s="315" customFormat="1" ht="14"/>
    <row r="397" s="315" customFormat="1" ht="14"/>
    <row r="398" s="315" customFormat="1" ht="14"/>
    <row r="399" s="315" customFormat="1" ht="14"/>
    <row r="400" s="315" customFormat="1" ht="14"/>
    <row r="401" s="315" customFormat="1" ht="14"/>
    <row r="402" s="315" customFormat="1" ht="14"/>
    <row r="403" s="315" customFormat="1" ht="14"/>
    <row r="404" s="315" customFormat="1" ht="14"/>
    <row r="405" s="315" customFormat="1" ht="14"/>
    <row r="406" s="315" customFormat="1" ht="14"/>
    <row r="407" s="315" customFormat="1" ht="14"/>
    <row r="408" s="315" customFormat="1" ht="14"/>
    <row r="409" s="315" customFormat="1" ht="14"/>
    <row r="410" s="315" customFormat="1" ht="14"/>
    <row r="411" s="315" customFormat="1" ht="14"/>
    <row r="412" s="315" customFormat="1" ht="14"/>
    <row r="413" s="315" customFormat="1" ht="14"/>
    <row r="414" s="315" customFormat="1" ht="14"/>
    <row r="415" s="315" customFormat="1" ht="14"/>
    <row r="416" s="315" customFormat="1" ht="14"/>
    <row r="417" s="315" customFormat="1" ht="14"/>
    <row r="418" s="315" customFormat="1" ht="14"/>
    <row r="419" s="315" customFormat="1" ht="14"/>
    <row r="420" s="315" customFormat="1" ht="14"/>
    <row r="421" s="315" customFormat="1" ht="14"/>
    <row r="422" s="315" customFormat="1" ht="14"/>
    <row r="423" s="315" customFormat="1" ht="14"/>
    <row r="424" s="315" customFormat="1" ht="14"/>
    <row r="425" s="315" customFormat="1" ht="14"/>
    <row r="426" s="315" customFormat="1" ht="14"/>
    <row r="427" s="315" customFormat="1" ht="14"/>
    <row r="428" s="315" customFormat="1" ht="14"/>
    <row r="429" s="315" customFormat="1" ht="14"/>
    <row r="430" s="315" customFormat="1" ht="14"/>
    <row r="431" s="315" customFormat="1" ht="14"/>
    <row r="432" s="315" customFormat="1" ht="14"/>
    <row r="433" s="315" customFormat="1" ht="14"/>
    <row r="434" s="315" customFormat="1" ht="14"/>
    <row r="435" s="315" customFormat="1" ht="14"/>
    <row r="436" s="315" customFormat="1" ht="14"/>
    <row r="437" s="315" customFormat="1" ht="14"/>
    <row r="438" s="315" customFormat="1" ht="14"/>
    <row r="439" s="315" customFormat="1" ht="14"/>
    <row r="440" s="315" customFormat="1" ht="14"/>
    <row r="441" s="315" customFormat="1" ht="14"/>
    <row r="442" s="315" customFormat="1" ht="14"/>
    <row r="443" s="315" customFormat="1" ht="14"/>
    <row r="444" s="315" customFormat="1" ht="14"/>
    <row r="445" s="315" customFormat="1" ht="14"/>
    <row r="446" s="315" customFormat="1" ht="14"/>
    <row r="447" s="315" customFormat="1" ht="14"/>
    <row r="448" s="315" customFormat="1" ht="14"/>
    <row r="449" s="315" customFormat="1" ht="14"/>
    <row r="450" s="315" customFormat="1" ht="14"/>
    <row r="451" s="315" customFormat="1" ht="14"/>
    <row r="452" s="315" customFormat="1" ht="14"/>
    <row r="453" s="315" customFormat="1" ht="14"/>
    <row r="454" s="315" customFormat="1" ht="14"/>
    <row r="455" s="315" customFormat="1" ht="14"/>
    <row r="456" s="315" customFormat="1" ht="14"/>
    <row r="457" s="315" customFormat="1" ht="14"/>
    <row r="458" s="315" customFormat="1" ht="14"/>
    <row r="459" s="315" customFormat="1" ht="14"/>
    <row r="460" s="315" customFormat="1" ht="14"/>
    <row r="461" s="315" customFormat="1" ht="14"/>
    <row r="462" s="315" customFormat="1" ht="14"/>
    <row r="463" s="315" customFormat="1" ht="14"/>
    <row r="464" s="315" customFormat="1" ht="14"/>
    <row r="465" s="315" customFormat="1" ht="14"/>
    <row r="466" s="315" customFormat="1" ht="14"/>
    <row r="467" s="315" customFormat="1" ht="14"/>
    <row r="468" s="315" customFormat="1" ht="14"/>
    <row r="469" s="315" customFormat="1" ht="14"/>
    <row r="470" s="315" customFormat="1" ht="14"/>
    <row r="471" s="315" customFormat="1" ht="14"/>
    <row r="472" s="315" customFormat="1" ht="14"/>
    <row r="473" s="315" customFormat="1" ht="14"/>
    <row r="474" s="315" customFormat="1" ht="14"/>
    <row r="475" s="315" customFormat="1" ht="14"/>
    <row r="476" s="315" customFormat="1" ht="14"/>
    <row r="477" s="315" customFormat="1" ht="14"/>
    <row r="478" s="315" customFormat="1" ht="14"/>
    <row r="479" s="315" customFormat="1" ht="14"/>
    <row r="480" s="315" customFormat="1" ht="14"/>
    <row r="481" s="315" customFormat="1" ht="14"/>
    <row r="482" s="315" customFormat="1" ht="14"/>
    <row r="483" s="315" customFormat="1" ht="14"/>
    <row r="484" s="315" customFormat="1" ht="14"/>
    <row r="485" s="315" customFormat="1" ht="14"/>
    <row r="486" s="315" customFormat="1" ht="14"/>
    <row r="487" s="315" customFormat="1" ht="14"/>
    <row r="488" s="315" customFormat="1" ht="14"/>
    <row r="489" s="315" customFormat="1" ht="14"/>
    <row r="490" s="315" customFormat="1" ht="14"/>
    <row r="491" s="315" customFormat="1" ht="14"/>
    <row r="492" s="315" customFormat="1" ht="14"/>
    <row r="493" s="315" customFormat="1" ht="14"/>
    <row r="494" s="315" customFormat="1" ht="14"/>
    <row r="495" s="315" customFormat="1" ht="14"/>
    <row r="496" s="315" customFormat="1" ht="14"/>
    <row r="497" s="315" customFormat="1" ht="14"/>
    <row r="498" s="315" customFormat="1" ht="14"/>
    <row r="499" s="315" customFormat="1" ht="14"/>
    <row r="500" s="315" customFormat="1" ht="14"/>
    <row r="501" s="315" customFormat="1" ht="14"/>
    <row r="502" s="315" customFormat="1" ht="14"/>
    <row r="503" s="315" customFormat="1" ht="14"/>
    <row r="504" s="315" customFormat="1" ht="14"/>
    <row r="505" s="315" customFormat="1" ht="14"/>
    <row r="506" s="315" customFormat="1" ht="14"/>
    <row r="507" s="315" customFormat="1" ht="14"/>
    <row r="508" s="315" customFormat="1" ht="14"/>
    <row r="509" s="315" customFormat="1" ht="14"/>
    <row r="510" s="315" customFormat="1" ht="14"/>
    <row r="511" s="315" customFormat="1" ht="14"/>
    <row r="512" s="315" customFormat="1" ht="14"/>
    <row r="513" s="315" customFormat="1" ht="14"/>
    <row r="514" s="315" customFormat="1" ht="14"/>
    <row r="515" s="315" customFormat="1" ht="14"/>
    <row r="516" s="315" customFormat="1" ht="14"/>
    <row r="517" s="315" customFormat="1" ht="14"/>
    <row r="518" s="315" customFormat="1" ht="14"/>
    <row r="519" s="315" customFormat="1" ht="14"/>
    <row r="520" s="315" customFormat="1" ht="14"/>
    <row r="521" s="315" customFormat="1" ht="14"/>
    <row r="522" s="315" customFormat="1" ht="14"/>
    <row r="523" s="315" customFormat="1" ht="14"/>
    <row r="524" s="315" customFormat="1" ht="14"/>
    <row r="525" s="315" customFormat="1" ht="14"/>
    <row r="526" s="315" customFormat="1" ht="14"/>
    <row r="527" s="315" customFormat="1" ht="14"/>
    <row r="528" s="315" customFormat="1" ht="14"/>
    <row r="529" s="315" customFormat="1" ht="14"/>
    <row r="530" s="315" customFormat="1" ht="14"/>
    <row r="531" s="315" customFormat="1" ht="14"/>
    <row r="532" s="315" customFormat="1" ht="14"/>
    <row r="533" s="315" customFormat="1" ht="14"/>
    <row r="534" s="315" customFormat="1" ht="14"/>
    <row r="535" s="315" customFormat="1" ht="14"/>
    <row r="536" s="315" customFormat="1" ht="14"/>
    <row r="537" s="315" customFormat="1" ht="14"/>
    <row r="538" s="315" customFormat="1" ht="14"/>
    <row r="539" s="315" customFormat="1" ht="14"/>
    <row r="540" s="315" customFormat="1" ht="14"/>
    <row r="541" s="315" customFormat="1" ht="14"/>
    <row r="542" s="315" customFormat="1" ht="14"/>
    <row r="543" s="315" customFormat="1" ht="14"/>
    <row r="544" s="315" customFormat="1" ht="14"/>
    <row r="545" s="315" customFormat="1" ht="14"/>
    <row r="546" s="315" customFormat="1" ht="14"/>
    <row r="547" s="315" customFormat="1" ht="14"/>
    <row r="548" s="315" customFormat="1" ht="14"/>
    <row r="549" s="315" customFormat="1" ht="14"/>
    <row r="550" s="315" customFormat="1" ht="14"/>
    <row r="551" s="315" customFormat="1" ht="14"/>
    <row r="552" s="315" customFormat="1" ht="14"/>
    <row r="553" s="315" customFormat="1" ht="14"/>
    <row r="554" s="315" customFormat="1" ht="14"/>
    <row r="555" s="315" customFormat="1" ht="14"/>
    <row r="556" s="315" customFormat="1" ht="14"/>
    <row r="557" s="315" customFormat="1" ht="14"/>
    <row r="558" s="315" customFormat="1" ht="14"/>
    <row r="559" s="315" customFormat="1" ht="14"/>
    <row r="560" s="315" customFormat="1" ht="14"/>
    <row r="561" s="315" customFormat="1" ht="14"/>
    <row r="562" s="315" customFormat="1" ht="14"/>
    <row r="563" s="315" customFormat="1" ht="14"/>
    <row r="564" s="315" customFormat="1" ht="14"/>
    <row r="565" s="315" customFormat="1" ht="14"/>
    <row r="566" s="315" customFormat="1" ht="14"/>
    <row r="567" s="315" customFormat="1" ht="14"/>
    <row r="568" s="315" customFormat="1" ht="14"/>
    <row r="569" s="315" customFormat="1" ht="14"/>
    <row r="570" s="315" customFormat="1" ht="14"/>
    <row r="571" s="315" customFormat="1" ht="14"/>
    <row r="572" s="315" customFormat="1" ht="14"/>
    <row r="573" s="315" customFormat="1" ht="14"/>
    <row r="574" s="315" customFormat="1" ht="14"/>
    <row r="575" s="315" customFormat="1" ht="14"/>
    <row r="576" s="315" customFormat="1" ht="14"/>
    <row r="577" s="315" customFormat="1" ht="14"/>
    <row r="578" s="315" customFormat="1" ht="14"/>
    <row r="579" s="315" customFormat="1" ht="14"/>
    <row r="580" s="315" customFormat="1" ht="14"/>
    <row r="581" s="315" customFormat="1" ht="14"/>
    <row r="582" s="315" customFormat="1" ht="14"/>
    <row r="583" s="315" customFormat="1" ht="14"/>
    <row r="584" s="315" customFormat="1" ht="14"/>
    <row r="585" s="315" customFormat="1" ht="14"/>
    <row r="586" s="315" customFormat="1" ht="14"/>
    <row r="587" s="315" customFormat="1" ht="14"/>
    <row r="588" s="315" customFormat="1" ht="14"/>
    <row r="589" s="315" customFormat="1" ht="14"/>
    <row r="590" s="315" customFormat="1" ht="14"/>
    <row r="591" s="315" customFormat="1" ht="14"/>
    <row r="592" s="315" customFormat="1" ht="14"/>
    <row r="593" s="315" customFormat="1" ht="14"/>
    <row r="594" s="315" customFormat="1" ht="14"/>
    <row r="595" s="315" customFormat="1" ht="14"/>
    <row r="596" s="315" customFormat="1" ht="14"/>
    <row r="597" s="315" customFormat="1" ht="14"/>
    <row r="598" s="315" customFormat="1" ht="14"/>
    <row r="599" s="315" customFormat="1" ht="14"/>
    <row r="600" s="315" customFormat="1" ht="14"/>
    <row r="601" s="315" customFormat="1" ht="14"/>
    <row r="602" s="315" customFormat="1" ht="14"/>
    <row r="603" s="315" customFormat="1" ht="14"/>
    <row r="604" s="315" customFormat="1" ht="14"/>
    <row r="605" s="315" customFormat="1" ht="14"/>
    <row r="606" s="315" customFormat="1" ht="14"/>
    <row r="607" s="315" customFormat="1" ht="14"/>
    <row r="608" s="315" customFormat="1" ht="14"/>
    <row r="609" s="315" customFormat="1" ht="14"/>
    <row r="610" s="315" customFormat="1" ht="14"/>
    <row r="611" s="315" customFormat="1" ht="14"/>
    <row r="612" s="315" customFormat="1" ht="14"/>
    <row r="613" s="315" customFormat="1" ht="14"/>
    <row r="614" s="315" customFormat="1" ht="14"/>
    <row r="615" s="315" customFormat="1" ht="14"/>
    <row r="616" s="315" customFormat="1" ht="14"/>
    <row r="617" s="315" customFormat="1" ht="14"/>
    <row r="618" s="315" customFormat="1" ht="14"/>
    <row r="619" s="315" customFormat="1" ht="14"/>
    <row r="620" s="315" customFormat="1" ht="14"/>
    <row r="621" s="315" customFormat="1" ht="14"/>
    <row r="622" s="315" customFormat="1" ht="14"/>
    <row r="623" s="315" customFormat="1" ht="14"/>
    <row r="624" s="315" customFormat="1" ht="14"/>
    <row r="625" s="315" customFormat="1" ht="14"/>
    <row r="626" s="315" customFormat="1" ht="14"/>
    <row r="627" s="315" customFormat="1" ht="14"/>
    <row r="628" s="315" customFormat="1" ht="14"/>
    <row r="629" s="315" customFormat="1" ht="14"/>
    <row r="630" s="315" customFormat="1" ht="14"/>
    <row r="631" s="315" customFormat="1" ht="14"/>
    <row r="632" s="315" customFormat="1" ht="14"/>
    <row r="633" s="315" customFormat="1" ht="14"/>
    <row r="634" s="315" customFormat="1" ht="14"/>
    <row r="635" s="315" customFormat="1" ht="14"/>
    <row r="636" s="315" customFormat="1" ht="14"/>
    <row r="637" s="315" customFormat="1" ht="14"/>
    <row r="638" s="315" customFormat="1" ht="14"/>
    <row r="639" s="315" customFormat="1" ht="14"/>
    <row r="640" s="315" customFormat="1" ht="14"/>
    <row r="641" s="315" customFormat="1" ht="14"/>
    <row r="642" s="315" customFormat="1" ht="14"/>
    <row r="643" s="315" customFormat="1" ht="14"/>
    <row r="644" s="315" customFormat="1" ht="14"/>
    <row r="645" s="315" customFormat="1" ht="14"/>
    <row r="646" s="315" customFormat="1" ht="14"/>
    <row r="647" s="315" customFormat="1" ht="14"/>
    <row r="648" s="315" customFormat="1" ht="14"/>
    <row r="649" s="315" customFormat="1" ht="14"/>
    <row r="650" s="315" customFormat="1" ht="14"/>
    <row r="651" s="315" customFormat="1" ht="14"/>
    <row r="652" s="315" customFormat="1" ht="14"/>
    <row r="653" s="315" customFormat="1" ht="14"/>
    <row r="654" s="315" customFormat="1" ht="14"/>
    <row r="655" s="315" customFormat="1" ht="14"/>
    <row r="656" s="315" customFormat="1" ht="14"/>
    <row r="657" s="315" customFormat="1" ht="14"/>
    <row r="658" s="315" customFormat="1" ht="14"/>
    <row r="659" s="315" customFormat="1" ht="14"/>
    <row r="660" s="315" customFormat="1" ht="14"/>
    <row r="661" s="315" customFormat="1" ht="14"/>
    <row r="662" s="315" customFormat="1" ht="14"/>
    <row r="663" s="315" customFormat="1" ht="14"/>
    <row r="664" s="315" customFormat="1" ht="14"/>
    <row r="665" s="315" customFormat="1" ht="14"/>
    <row r="666" s="315" customFormat="1" ht="14"/>
    <row r="667" s="315" customFormat="1" ht="14"/>
    <row r="668" s="315" customFormat="1" ht="14"/>
    <row r="669" s="315" customFormat="1" ht="14"/>
    <row r="670" s="315" customFormat="1" ht="14"/>
    <row r="671" s="315" customFormat="1" ht="14"/>
    <row r="672" s="315" customFormat="1" ht="14"/>
    <row r="673" s="315" customFormat="1" ht="14"/>
    <row r="674" s="315" customFormat="1" ht="14"/>
    <row r="675" s="315" customFormat="1" ht="14"/>
    <row r="676" s="315" customFormat="1" ht="14"/>
    <row r="677" s="315" customFormat="1" ht="14"/>
    <row r="678" s="315" customFormat="1" ht="14"/>
    <row r="679" s="315" customFormat="1" ht="14"/>
    <row r="680" s="315" customFormat="1" ht="14"/>
    <row r="681" s="315" customFormat="1" ht="14"/>
    <row r="682" s="315" customFormat="1" ht="14"/>
    <row r="683" s="315" customFormat="1" ht="14"/>
    <row r="684" s="315" customFormat="1" ht="14"/>
    <row r="685" s="315" customFormat="1" ht="14"/>
    <row r="686" s="315" customFormat="1" ht="14"/>
    <row r="687" s="315" customFormat="1" ht="14"/>
    <row r="688" s="315" customFormat="1" ht="14"/>
    <row r="689" s="315" customFormat="1" ht="14"/>
    <row r="690" s="315" customFormat="1" ht="14"/>
    <row r="691" s="315" customFormat="1" ht="14"/>
    <row r="692" s="315" customFormat="1" ht="14"/>
    <row r="693" s="315" customFormat="1" ht="14"/>
    <row r="694" s="315" customFormat="1" ht="14"/>
    <row r="695" s="315" customFormat="1" ht="14"/>
    <row r="696" s="315" customFormat="1" ht="14"/>
    <row r="697" s="315" customFormat="1" ht="14"/>
    <row r="698" s="315" customFormat="1" ht="14"/>
    <row r="699" s="315" customFormat="1" ht="14"/>
    <row r="700" s="315" customFormat="1" ht="14"/>
    <row r="701" s="315" customFormat="1" ht="14"/>
    <row r="702" s="315" customFormat="1" ht="14"/>
    <row r="703" s="315" customFormat="1" ht="14"/>
    <row r="704" s="315" customFormat="1" ht="14"/>
    <row r="705" s="315" customFormat="1" ht="14"/>
    <row r="706" s="315" customFormat="1" ht="14"/>
    <row r="707" s="315" customFormat="1" ht="14"/>
    <row r="708" s="315" customFormat="1" ht="14"/>
    <row r="709" s="315" customFormat="1" ht="14"/>
    <row r="710" s="315" customFormat="1" ht="14"/>
    <row r="711" s="315" customFormat="1" ht="14"/>
    <row r="712" s="315" customFormat="1" ht="14"/>
    <row r="713" s="315" customFormat="1" ht="14"/>
    <row r="714" s="315" customFormat="1" ht="14"/>
    <row r="715" s="315" customFormat="1" ht="14"/>
    <row r="716" s="315" customFormat="1" ht="14"/>
    <row r="717" s="315" customFormat="1" ht="14"/>
    <row r="718" s="315" customFormat="1" ht="14"/>
    <row r="719" s="315" customFormat="1" ht="14"/>
    <row r="720" s="315" customFormat="1" ht="14"/>
    <row r="721" s="315" customFormat="1" ht="14"/>
    <row r="722" s="315" customFormat="1" ht="14"/>
    <row r="723" s="315" customFormat="1" ht="14"/>
    <row r="724" s="315" customFormat="1" ht="14"/>
    <row r="725" s="315" customFormat="1" ht="14"/>
    <row r="726" s="315" customFormat="1" ht="14"/>
    <row r="727" s="315" customFormat="1" ht="14"/>
    <row r="728" s="315" customFormat="1" ht="14"/>
    <row r="729" s="315" customFormat="1" ht="14"/>
    <row r="730" s="315" customFormat="1" ht="14"/>
    <row r="731" s="315" customFormat="1" ht="14"/>
    <row r="732" s="315" customFormat="1" ht="14"/>
    <row r="733" s="315" customFormat="1" ht="14"/>
    <row r="734" s="315" customFormat="1" ht="14"/>
    <row r="735" s="315" customFormat="1" ht="14"/>
    <row r="736" s="315" customFormat="1" ht="14"/>
    <row r="737" s="315" customFormat="1" ht="14"/>
    <row r="738" s="315" customFormat="1" ht="14"/>
    <row r="739" s="315" customFormat="1" ht="14"/>
    <row r="740" s="315" customFormat="1" ht="14"/>
    <row r="741" s="315" customFormat="1" ht="14"/>
    <row r="742" s="315" customFormat="1" ht="14"/>
    <row r="743" s="315" customFormat="1" ht="14"/>
    <row r="744" s="315" customFormat="1" ht="14"/>
    <row r="745" s="315" customFormat="1" ht="14"/>
    <row r="746" s="315" customFormat="1" ht="14"/>
    <row r="747" s="315" customFormat="1" ht="14"/>
    <row r="748" s="315" customFormat="1" ht="14"/>
    <row r="749" s="315" customFormat="1" ht="14"/>
    <row r="750" s="315" customFormat="1" ht="14"/>
    <row r="751" s="315" customFormat="1" ht="14"/>
    <row r="752" s="315" customFormat="1" ht="14"/>
    <row r="753" s="315" customFormat="1" ht="14"/>
    <row r="754" s="315" customFormat="1" ht="14"/>
    <row r="755" s="315" customFormat="1" ht="14"/>
    <row r="756" s="315" customFormat="1" ht="14"/>
    <row r="757" s="315" customFormat="1" ht="14"/>
    <row r="758" s="315" customFormat="1" ht="14"/>
    <row r="759" s="315" customFormat="1" ht="14"/>
    <row r="760" s="315" customFormat="1" ht="14"/>
    <row r="761" s="315" customFormat="1" ht="14"/>
    <row r="762" s="315" customFormat="1" ht="14"/>
    <row r="763" s="315" customFormat="1" ht="14"/>
    <row r="764" s="315" customFormat="1" ht="14"/>
    <row r="765" s="315" customFormat="1" ht="14"/>
    <row r="766" s="315" customFormat="1" ht="14"/>
    <row r="767" s="315" customFormat="1" ht="14"/>
    <row r="768" s="315" customFormat="1" ht="14"/>
    <row r="769" s="315" customFormat="1" ht="14"/>
    <row r="770" s="315" customFormat="1" ht="14"/>
    <row r="771" s="315" customFormat="1" ht="14"/>
    <row r="772" s="315" customFormat="1" ht="14"/>
    <row r="773" s="315" customFormat="1" ht="14"/>
    <row r="774" s="315" customFormat="1" ht="14"/>
    <row r="775" s="315" customFormat="1" ht="14"/>
    <row r="776" s="315" customFormat="1" ht="14"/>
    <row r="777" s="315" customFormat="1" ht="14"/>
    <row r="778" s="315" customFormat="1" ht="14"/>
    <row r="779" s="315" customFormat="1" ht="14"/>
    <row r="780" s="315" customFormat="1" ht="14"/>
    <row r="781" s="315" customFormat="1" ht="14"/>
    <row r="782" s="315" customFormat="1" ht="14"/>
    <row r="783" s="315" customFormat="1" ht="14"/>
    <row r="784" s="315" customFormat="1" ht="14"/>
    <row r="785" s="315" customFormat="1" ht="14"/>
    <row r="786" s="315" customFormat="1" ht="14"/>
    <row r="787" s="315" customFormat="1" ht="14"/>
    <row r="788" s="315" customFormat="1" ht="14"/>
    <row r="789" s="315" customFormat="1" ht="14"/>
    <row r="790" s="315" customFormat="1" ht="14"/>
    <row r="791" s="315" customFormat="1" ht="14"/>
    <row r="792" s="315" customFormat="1" ht="14"/>
    <row r="793" s="315" customFormat="1" ht="14"/>
    <row r="794" s="315" customFormat="1" ht="14"/>
    <row r="795" s="315" customFormat="1" ht="14"/>
    <row r="796" s="315" customFormat="1" ht="14"/>
    <row r="797" s="315" customFormat="1" ht="14"/>
    <row r="798" s="315" customFormat="1" ht="14"/>
    <row r="799" s="315" customFormat="1" ht="14"/>
    <row r="800" s="315" customFormat="1" ht="14"/>
    <row r="801" s="315" customFormat="1" ht="14"/>
    <row r="802" s="315" customFormat="1" ht="14"/>
    <row r="803" s="315" customFormat="1" ht="14"/>
    <row r="804" s="315" customFormat="1" ht="14"/>
    <row r="805" s="315" customFormat="1" ht="14"/>
    <row r="806" s="315" customFormat="1" ht="14"/>
    <row r="807" s="315" customFormat="1" ht="14"/>
    <row r="808" s="315" customFormat="1" ht="14"/>
    <row r="809" s="315" customFormat="1" ht="14"/>
    <row r="810" s="315" customFormat="1" ht="14"/>
    <row r="811" s="315" customFormat="1" ht="14"/>
    <row r="812" s="315" customFormat="1" ht="14"/>
    <row r="813" s="315" customFormat="1" ht="14"/>
    <row r="814" s="315" customFormat="1" ht="14"/>
    <row r="815" s="315" customFormat="1" ht="14"/>
    <row r="816" s="315" customFormat="1" ht="14"/>
    <row r="817" s="315" customFormat="1" ht="14"/>
    <row r="818" s="315" customFormat="1" ht="14"/>
    <row r="819" s="315" customFormat="1" ht="14"/>
    <row r="820" s="315" customFormat="1" ht="14"/>
    <row r="821" s="315" customFormat="1" ht="14"/>
    <row r="822" s="315" customFormat="1" ht="14"/>
    <row r="823" s="315" customFormat="1" ht="14"/>
    <row r="824" s="315" customFormat="1" ht="14"/>
    <row r="825" s="315" customFormat="1" ht="14"/>
    <row r="826" s="315" customFormat="1" ht="14"/>
    <row r="827" s="315" customFormat="1" ht="14"/>
    <row r="828" s="315" customFormat="1" ht="14"/>
    <row r="829" s="315" customFormat="1" ht="14"/>
    <row r="830" s="315" customFormat="1" ht="14"/>
    <row r="831" s="315" customFormat="1" ht="14"/>
    <row r="832" s="315" customFormat="1" ht="14"/>
    <row r="833" s="315" customFormat="1" ht="14"/>
    <row r="834" s="315" customFormat="1" ht="14"/>
    <row r="835" s="315" customFormat="1" ht="14"/>
    <row r="836" s="315" customFormat="1" ht="14"/>
    <row r="837" s="315" customFormat="1" ht="14"/>
    <row r="838" s="315" customFormat="1" ht="14"/>
    <row r="839" s="315" customFormat="1" ht="14"/>
    <row r="840" s="315" customFormat="1" ht="14"/>
    <row r="841" s="315" customFormat="1" ht="14"/>
    <row r="842" s="315" customFormat="1" ht="14"/>
    <row r="843" s="315" customFormat="1" ht="14"/>
    <row r="844" s="315" customFormat="1" ht="14"/>
    <row r="845" s="315" customFormat="1" ht="14"/>
    <row r="846" s="315" customFormat="1" ht="14"/>
    <row r="847" s="315" customFormat="1" ht="14"/>
    <row r="848" s="315" customFormat="1" ht="14"/>
    <row r="849" s="315" customFormat="1" ht="14"/>
    <row r="850" s="315" customFormat="1" ht="14"/>
    <row r="851" s="315" customFormat="1" ht="14"/>
    <row r="852" s="315" customFormat="1" ht="14"/>
    <row r="853" s="315" customFormat="1" ht="14"/>
    <row r="854" s="315" customFormat="1" ht="14"/>
    <row r="855" s="315" customFormat="1" ht="14"/>
    <row r="856" s="315" customFormat="1" ht="14"/>
    <row r="857" s="315" customFormat="1" ht="14"/>
    <row r="858" s="315" customFormat="1" ht="14"/>
    <row r="859" s="315" customFormat="1" ht="14"/>
    <row r="860" s="315" customFormat="1" ht="14"/>
    <row r="861" s="315" customFormat="1" ht="14"/>
    <row r="862" s="315" customFormat="1" ht="14"/>
    <row r="863" s="315" customFormat="1" ht="14"/>
    <row r="864" s="315" customFormat="1" ht="14"/>
    <row r="865" s="315" customFormat="1" ht="14"/>
    <row r="866" s="315" customFormat="1" ht="14"/>
    <row r="867" s="315" customFormat="1" ht="14"/>
    <row r="868" s="315" customFormat="1" ht="14"/>
    <row r="869" s="315" customFormat="1" ht="14"/>
    <row r="870" s="315" customFormat="1" ht="14"/>
    <row r="871" s="315" customFormat="1" ht="14"/>
    <row r="872" s="315" customFormat="1" ht="14"/>
    <row r="873" s="315" customFormat="1" ht="14"/>
    <row r="874" s="315" customFormat="1" ht="14"/>
    <row r="875" s="315" customFormat="1" ht="14"/>
    <row r="876" s="315" customFormat="1" ht="14"/>
    <row r="877" s="315" customFormat="1" ht="14"/>
    <row r="878" s="315" customFormat="1" ht="14"/>
    <row r="879" s="315" customFormat="1" ht="14"/>
    <row r="880" s="315" customFormat="1" ht="14"/>
    <row r="881" s="315" customFormat="1" ht="14"/>
    <row r="882" s="315" customFormat="1" ht="14"/>
    <row r="883" s="315" customFormat="1" ht="14"/>
    <row r="884" s="315" customFormat="1" ht="14"/>
    <row r="885" s="315" customFormat="1" ht="14"/>
    <row r="886" s="315" customFormat="1" ht="14"/>
    <row r="887" s="315" customFormat="1" ht="14"/>
    <row r="888" s="315" customFormat="1" ht="14"/>
    <row r="889" s="315" customFormat="1" ht="14"/>
    <row r="890" s="315" customFormat="1" ht="14"/>
    <row r="891" s="315" customFormat="1" ht="14"/>
    <row r="892" s="315" customFormat="1" ht="14"/>
    <row r="893" s="315" customFormat="1" ht="14"/>
    <row r="894" s="315" customFormat="1" ht="14"/>
    <row r="895" s="315" customFormat="1" ht="14"/>
    <row r="896" s="315" customFormat="1" ht="14"/>
    <row r="897" s="315" customFormat="1" ht="14"/>
    <row r="898" s="315" customFormat="1" ht="14"/>
    <row r="899" s="315" customFormat="1" ht="14"/>
    <row r="900" s="315" customFormat="1" ht="14"/>
    <row r="901" s="315" customFormat="1" ht="14"/>
    <row r="902" s="315" customFormat="1" ht="14"/>
    <row r="903" s="315" customFormat="1" ht="14"/>
    <row r="904" s="315" customFormat="1" ht="14"/>
    <row r="905" s="315" customFormat="1" ht="14"/>
    <row r="906" s="315" customFormat="1" ht="14"/>
    <row r="907" s="315" customFormat="1" ht="14"/>
    <row r="908" s="315" customFormat="1" ht="14"/>
    <row r="909" s="315" customFormat="1" ht="14"/>
    <row r="910" s="315" customFormat="1" ht="14"/>
    <row r="911" s="315" customFormat="1" ht="14"/>
    <row r="912" s="315" customFormat="1" ht="14"/>
    <row r="913" s="315" customFormat="1" ht="14"/>
    <row r="914" s="315" customFormat="1" ht="14"/>
    <row r="915" s="315" customFormat="1" ht="14"/>
    <row r="916" s="315" customFormat="1" ht="14"/>
    <row r="917" s="315" customFormat="1" ht="14"/>
    <row r="918" s="315" customFormat="1" ht="14"/>
    <row r="919" s="315" customFormat="1" ht="14"/>
    <row r="920" s="315" customFormat="1" ht="14"/>
    <row r="921" s="315" customFormat="1" ht="14"/>
    <row r="922" s="315" customFormat="1" ht="14"/>
    <row r="923" s="315" customFormat="1" ht="14"/>
    <row r="924" s="315" customFormat="1" ht="14"/>
    <row r="925" s="315" customFormat="1" ht="14"/>
    <row r="926" s="315" customFormat="1" ht="14"/>
    <row r="927" s="315" customFormat="1" ht="14"/>
    <row r="928" s="315" customFormat="1" ht="14"/>
    <row r="929" s="315" customFormat="1" ht="14"/>
    <row r="930" s="315" customFormat="1" ht="14"/>
    <row r="931" s="315" customFormat="1" ht="14"/>
    <row r="932" s="315" customFormat="1" ht="14"/>
    <row r="933" s="315" customFormat="1" ht="14"/>
    <row r="934" s="315" customFormat="1" ht="14"/>
    <row r="935" s="315" customFormat="1" ht="14"/>
    <row r="936" s="315" customFormat="1" ht="14"/>
    <row r="937" s="315" customFormat="1" ht="14"/>
    <row r="938" s="315" customFormat="1" ht="14"/>
    <row r="939" s="315" customFormat="1" ht="14"/>
    <row r="940" s="315" customFormat="1" ht="14"/>
    <row r="941" s="315" customFormat="1" ht="14"/>
    <row r="942" s="315" customFormat="1" ht="14"/>
    <row r="943" s="315" customFormat="1" ht="14"/>
    <row r="944" s="315" customFormat="1" ht="14"/>
    <row r="945" s="315" customFormat="1" ht="14"/>
    <row r="946" s="315" customFormat="1" ht="14"/>
    <row r="947" s="315" customFormat="1" ht="14"/>
    <row r="948" s="315" customFormat="1" ht="14"/>
    <row r="949" s="315" customFormat="1" ht="14"/>
    <row r="950" s="315" customFormat="1" ht="14"/>
    <row r="951" s="315" customFormat="1" ht="14"/>
    <row r="952" s="315" customFormat="1" ht="14"/>
    <row r="953" s="315" customFormat="1" ht="14"/>
    <row r="954" s="315" customFormat="1" ht="14"/>
    <row r="955" s="315" customFormat="1" ht="14"/>
    <row r="956" s="315" customFormat="1" ht="14"/>
    <row r="957" s="315" customFormat="1" ht="14"/>
    <row r="958" s="315" customFormat="1" ht="14"/>
    <row r="959" s="315" customFormat="1" ht="14"/>
    <row r="960" s="315" customFormat="1" ht="14"/>
    <row r="961" s="315" customFormat="1" ht="14"/>
    <row r="962" s="315" customFormat="1" ht="14"/>
    <row r="963" s="315" customFormat="1" ht="14"/>
    <row r="964" s="315" customFormat="1" ht="14"/>
    <row r="965" s="315" customFormat="1" ht="14"/>
    <row r="966" s="315" customFormat="1" ht="14"/>
    <row r="967" s="315" customFormat="1" ht="14"/>
    <row r="968" s="315" customFormat="1" ht="14"/>
    <row r="969" s="315" customFormat="1" ht="14"/>
    <row r="970" s="315" customFormat="1" ht="14"/>
    <row r="971" s="315" customFormat="1" ht="14"/>
    <row r="972" s="315" customFormat="1" ht="14"/>
    <row r="973" s="315" customFormat="1" ht="14"/>
    <row r="974" s="315" customFormat="1" ht="14"/>
    <row r="975" s="315" customFormat="1" ht="14"/>
    <row r="976" s="315" customFormat="1" ht="14"/>
    <row r="977" s="315" customFormat="1" ht="14"/>
    <row r="978" s="315" customFormat="1" ht="14"/>
    <row r="979" s="315" customFormat="1" ht="14"/>
    <row r="980" s="315" customFormat="1" ht="14"/>
    <row r="981" s="315" customFormat="1" ht="14"/>
    <row r="982" s="315" customFormat="1" ht="14"/>
    <row r="983" s="315" customFormat="1" ht="14"/>
    <row r="984" s="315" customFormat="1" ht="14"/>
    <row r="985" s="315" customFormat="1" ht="14"/>
    <row r="986" s="315" customFormat="1" ht="14"/>
    <row r="987" s="315" customFormat="1" ht="14"/>
    <row r="988" s="315" customFormat="1" ht="14"/>
    <row r="989" s="315" customFormat="1" ht="14"/>
    <row r="990" s="315" customFormat="1" ht="14"/>
    <row r="991" s="315" customFormat="1" ht="14"/>
    <row r="992" s="315" customFormat="1" ht="14"/>
    <row r="993" s="315" customFormat="1" ht="14"/>
    <row r="994" s="315" customFormat="1" ht="14"/>
    <row r="995" s="315" customFormat="1" ht="14"/>
    <row r="996" s="315" customFormat="1" ht="14"/>
    <row r="997" s="315" customFormat="1" ht="14"/>
    <row r="998" s="315" customFormat="1" ht="14"/>
    <row r="999" s="315" customFormat="1" ht="14"/>
    <row r="1000" s="315" customFormat="1" ht="14"/>
    <row r="1001" s="315" customFormat="1" ht="14"/>
    <row r="1002" s="315" customFormat="1" ht="14"/>
    <row r="1003" s="315" customFormat="1" ht="14"/>
    <row r="1004" s="315" customFormat="1" ht="14"/>
    <row r="1005" s="315" customFormat="1" ht="14"/>
    <row r="1006" s="315" customFormat="1" ht="14"/>
    <row r="1007" s="315" customFormat="1" ht="14"/>
    <row r="1008" s="315" customFormat="1" ht="14"/>
    <row r="1009" s="315" customFormat="1" ht="14"/>
    <row r="1010" s="315" customFormat="1" ht="14"/>
    <row r="1011" s="315" customFormat="1" ht="14"/>
    <row r="1012" s="315" customFormat="1" ht="14"/>
    <row r="1013" s="315" customFormat="1" ht="14"/>
    <row r="1014" s="315" customFormat="1" ht="14"/>
    <row r="1015" s="315" customFormat="1" ht="14"/>
    <row r="1016" s="315" customFormat="1" ht="14"/>
    <row r="1017" s="315" customFormat="1" ht="14"/>
    <row r="1018" s="315" customFormat="1" ht="14"/>
    <row r="1019" s="315" customFormat="1" ht="14"/>
    <row r="1020" s="315" customFormat="1" ht="14"/>
    <row r="1021" s="315" customFormat="1" ht="14"/>
    <row r="1022" s="315" customFormat="1" ht="14"/>
    <row r="1023" s="315" customFormat="1" ht="14"/>
    <row r="1024" s="315" customFormat="1" ht="14"/>
    <row r="1025" s="315" customFormat="1" ht="14"/>
    <row r="1026" s="315" customFormat="1" ht="14"/>
    <row r="1027" s="315" customFormat="1" ht="14"/>
    <row r="1028" s="315" customFormat="1" ht="14"/>
    <row r="1029" s="315" customFormat="1" ht="14"/>
    <row r="1030" s="315" customFormat="1" ht="14"/>
    <row r="1031" s="315" customFormat="1" ht="14"/>
    <row r="1032" s="315" customFormat="1" ht="14"/>
    <row r="1033" s="315" customFormat="1" ht="14"/>
    <row r="1034" s="315" customFormat="1" ht="14"/>
    <row r="1035" s="315" customFormat="1" ht="14"/>
    <row r="1036" s="315" customFormat="1" ht="14"/>
    <row r="1037" s="315" customFormat="1" ht="14"/>
    <row r="1038" s="315" customFormat="1" ht="14"/>
    <row r="1039" s="315" customFormat="1" ht="14"/>
    <row r="1040" s="315" customFormat="1" ht="14"/>
    <row r="1041" s="315" customFormat="1" ht="14"/>
    <row r="1042" s="315" customFormat="1" ht="14"/>
    <row r="1043" s="315" customFormat="1" ht="14"/>
    <row r="1044" s="315" customFormat="1" ht="14"/>
    <row r="1045" s="315" customFormat="1" ht="14"/>
    <row r="1046" s="315" customFormat="1" ht="14"/>
    <row r="1047" s="315" customFormat="1" ht="14"/>
    <row r="1048" s="315" customFormat="1" ht="14"/>
    <row r="1049" s="315" customFormat="1" ht="14"/>
    <row r="1050" s="315" customFormat="1" ht="14"/>
    <row r="1051" s="315" customFormat="1" ht="14"/>
    <row r="1052" s="315" customFormat="1" ht="14"/>
    <row r="1053" s="315" customFormat="1" ht="14"/>
    <row r="1054" s="315" customFormat="1" ht="14"/>
    <row r="1055" s="315" customFormat="1" ht="14"/>
    <row r="1056" s="315" customFormat="1" ht="14"/>
    <row r="1057" s="315" customFormat="1" ht="14"/>
    <row r="1058" s="315" customFormat="1" ht="14"/>
    <row r="1059" s="315" customFormat="1" ht="14"/>
    <row r="1060" s="315" customFormat="1" ht="14"/>
    <row r="1061" s="315" customFormat="1" ht="14"/>
    <row r="1062" s="315" customFormat="1" ht="14"/>
    <row r="1063" s="315" customFormat="1" ht="14"/>
    <row r="1064" s="315" customFormat="1" ht="14"/>
    <row r="1065" s="315" customFormat="1" ht="14"/>
    <row r="1066" s="315" customFormat="1" ht="14"/>
    <row r="1067" s="315" customFormat="1" ht="14"/>
    <row r="1068" s="315" customFormat="1" ht="14"/>
    <row r="1069" s="315" customFormat="1" ht="14"/>
    <row r="1070" s="315" customFormat="1" ht="14"/>
    <row r="1071" s="315" customFormat="1" ht="14"/>
    <row r="1072" s="315" customFormat="1" ht="14"/>
    <row r="1073" s="315" customFormat="1" ht="14"/>
    <row r="1074" s="315" customFormat="1" ht="14"/>
    <row r="1075" s="315" customFormat="1" ht="14"/>
    <row r="1076" s="315" customFormat="1" ht="14"/>
    <row r="1077" s="315" customFormat="1" ht="14"/>
    <row r="1078" s="315" customFormat="1" ht="14"/>
    <row r="1079" s="315" customFormat="1" ht="14"/>
    <row r="1080" s="315" customFormat="1" ht="14"/>
    <row r="1081" s="315" customFormat="1" ht="14"/>
    <row r="1082" s="315" customFormat="1" ht="14"/>
    <row r="1083" s="315" customFormat="1" ht="14"/>
    <row r="1084" s="315" customFormat="1" ht="14"/>
    <row r="1085" s="315" customFormat="1" ht="14"/>
    <row r="1086" s="315" customFormat="1" ht="14"/>
    <row r="1087" s="315" customFormat="1" ht="14"/>
    <row r="1088" s="315" customFormat="1" ht="14"/>
    <row r="1089" s="315" customFormat="1" ht="14"/>
    <row r="1090" s="315" customFormat="1" ht="14"/>
    <row r="1091" s="315" customFormat="1" ht="14"/>
    <row r="1092" s="315" customFormat="1" ht="14"/>
    <row r="1093" s="315" customFormat="1" ht="14"/>
    <row r="1094" s="315" customFormat="1" ht="14"/>
    <row r="1095" s="315" customFormat="1" ht="14"/>
    <row r="1096" s="315" customFormat="1" ht="14"/>
    <row r="1097" s="315" customFormat="1" ht="14"/>
    <row r="1098" s="315" customFormat="1" ht="14"/>
    <row r="1099" s="315" customFormat="1" ht="14"/>
    <row r="1100" s="315" customFormat="1" ht="14"/>
    <row r="1101" s="315" customFormat="1" ht="14"/>
    <row r="1102" s="315" customFormat="1" ht="14"/>
    <row r="1103" s="315" customFormat="1" ht="14"/>
    <row r="1104" s="315" customFormat="1" ht="14"/>
    <row r="1105" s="315" customFormat="1" ht="14"/>
    <row r="1106" s="315" customFormat="1" ht="14"/>
    <row r="1107" s="315" customFormat="1" ht="14"/>
    <row r="1108" s="315" customFormat="1" ht="14"/>
    <row r="1109" s="315" customFormat="1" ht="14"/>
    <row r="1110" s="315" customFormat="1" ht="14"/>
    <row r="1111" s="315" customFormat="1" ht="14"/>
    <row r="1112" s="315" customFormat="1" ht="14"/>
    <row r="1113" s="315" customFormat="1" ht="14"/>
    <row r="1114" s="315" customFormat="1" ht="14"/>
    <row r="1115" s="315" customFormat="1" ht="14"/>
    <row r="1116" s="315" customFormat="1" ht="14"/>
    <row r="1117" s="315" customFormat="1" ht="14"/>
    <row r="1118" s="315" customFormat="1" ht="14"/>
    <row r="1119" s="315" customFormat="1" ht="14"/>
    <row r="1120" s="315" customFormat="1" ht="14"/>
    <row r="1121" s="315" customFormat="1" ht="14"/>
    <row r="1122" s="315" customFormat="1" ht="14"/>
    <row r="1123" s="315" customFormat="1" ht="14"/>
    <row r="1124" s="315" customFormat="1" ht="14"/>
    <row r="1125" s="315" customFormat="1" ht="14"/>
    <row r="1126" s="315" customFormat="1" ht="14"/>
    <row r="1127" s="315" customFormat="1" ht="14"/>
    <row r="1128" s="315" customFormat="1" ht="14"/>
    <row r="1129" s="315" customFormat="1" ht="14"/>
    <row r="1130" s="315" customFormat="1" ht="14"/>
    <row r="1131" s="315" customFormat="1" ht="14"/>
    <row r="1132" s="315" customFormat="1" ht="14"/>
    <row r="1133" s="315" customFormat="1" ht="14"/>
    <row r="1134" s="315" customFormat="1" ht="14"/>
    <row r="1135" s="315" customFormat="1" ht="14"/>
    <row r="1136" s="315" customFormat="1" ht="14"/>
    <row r="1137" s="315" customFormat="1" ht="14"/>
    <row r="1138" s="315" customFormat="1" ht="14"/>
    <row r="1139" s="315" customFormat="1" ht="14"/>
    <row r="1140" s="315" customFormat="1" ht="14"/>
    <row r="1141" s="315" customFormat="1" ht="14"/>
    <row r="1142" s="315" customFormat="1" ht="14"/>
    <row r="1143" s="315" customFormat="1" ht="14"/>
    <row r="1144" s="315" customFormat="1" ht="14"/>
    <row r="1145" s="315" customFormat="1" ht="14"/>
    <row r="1146" s="315" customFormat="1" ht="14"/>
    <row r="1147" s="315" customFormat="1" ht="14"/>
    <row r="1148" s="315" customFormat="1" ht="14"/>
    <row r="1149" s="315" customFormat="1" ht="14"/>
    <row r="1150" s="315" customFormat="1" ht="14"/>
    <row r="1151" s="315" customFormat="1" ht="14"/>
    <row r="1152" s="315" customFormat="1" ht="14"/>
    <row r="1153" s="315" customFormat="1" ht="14"/>
    <row r="1154" s="315" customFormat="1" ht="14"/>
    <row r="1155" s="315" customFormat="1" ht="14"/>
    <row r="1156" s="315" customFormat="1" ht="14"/>
    <row r="1157" s="315" customFormat="1" ht="14"/>
    <row r="1158" s="315" customFormat="1" ht="14"/>
    <row r="1159" s="315" customFormat="1" ht="14"/>
    <row r="1160" s="315" customFormat="1" ht="14"/>
    <row r="1161" s="315" customFormat="1" ht="14"/>
    <row r="1162" s="315" customFormat="1" ht="14"/>
    <row r="1163" s="315" customFormat="1" ht="14"/>
    <row r="1164" s="315" customFormat="1" ht="14"/>
    <row r="1165" s="315" customFormat="1" ht="14"/>
    <row r="1166" s="315" customFormat="1" ht="14"/>
    <row r="1167" s="315" customFormat="1" ht="14"/>
    <row r="1168" s="315" customFormat="1" ht="14"/>
    <row r="1169" s="315" customFormat="1" ht="14"/>
    <row r="1170" s="315" customFormat="1" ht="14"/>
    <row r="1171" s="315" customFormat="1" ht="14"/>
    <row r="1172" s="315" customFormat="1" ht="14"/>
    <row r="1173" s="315" customFormat="1" ht="14"/>
    <row r="1174" s="315" customFormat="1" ht="14"/>
    <row r="1175" s="315" customFormat="1" ht="14"/>
    <row r="1176" s="315" customFormat="1" ht="14"/>
    <row r="1177" s="315" customFormat="1" ht="14"/>
    <row r="1178" s="315" customFormat="1" ht="14"/>
    <row r="1179" s="315" customFormat="1" ht="14"/>
    <row r="1180" s="315" customFormat="1" ht="14"/>
    <row r="1181" s="315" customFormat="1" ht="14"/>
    <row r="1182" s="315" customFormat="1" ht="14"/>
    <row r="1183" s="315" customFormat="1" ht="14"/>
    <row r="1184" s="315" customFormat="1" ht="14"/>
    <row r="1185" s="315" customFormat="1" ht="14"/>
    <row r="1186" s="315" customFormat="1" ht="14"/>
    <row r="1187" s="315" customFormat="1" ht="14"/>
    <row r="1188" s="315" customFormat="1" ht="14"/>
    <row r="1189" s="315" customFormat="1" ht="14"/>
    <row r="1190" s="315" customFormat="1" ht="14"/>
    <row r="1191" s="315" customFormat="1" ht="14"/>
    <row r="1192" s="315" customFormat="1" ht="14"/>
    <row r="1193" s="315" customFormat="1" ht="14"/>
    <row r="1194" s="315" customFormat="1" ht="14"/>
    <row r="1195" s="315" customFormat="1" ht="14"/>
    <row r="1196" s="315" customFormat="1" ht="14"/>
    <row r="1197" s="315" customFormat="1" ht="14"/>
    <row r="1198" s="315" customFormat="1" ht="14"/>
    <row r="1199" s="315" customFormat="1" ht="14"/>
    <row r="1200" s="315" customFormat="1" ht="14"/>
    <row r="1201" s="315" customFormat="1" ht="14"/>
    <row r="1202" s="315" customFormat="1" ht="14"/>
    <row r="1203" s="315" customFormat="1" ht="14"/>
    <row r="1204" s="315" customFormat="1" ht="14"/>
    <row r="1205" s="315" customFormat="1" ht="14"/>
    <row r="1206" s="315" customFormat="1" ht="14"/>
    <row r="1207" s="315" customFormat="1" ht="14"/>
    <row r="1208" s="315" customFormat="1" ht="14"/>
    <row r="1209" s="315" customFormat="1" ht="14"/>
    <row r="1210" s="315" customFormat="1" ht="14"/>
    <row r="1211" s="315" customFormat="1" ht="14"/>
    <row r="1212" s="315" customFormat="1" ht="14"/>
    <row r="1213" s="315" customFormat="1" ht="14"/>
    <row r="1214" s="315" customFormat="1" ht="14"/>
    <row r="1215" s="315" customFormat="1" ht="14"/>
    <row r="1216" s="315" customFormat="1" ht="14"/>
    <row r="1217" s="315" customFormat="1" ht="14"/>
    <row r="1218" s="315" customFormat="1" ht="14"/>
    <row r="1219" s="315" customFormat="1" ht="14"/>
    <row r="1220" s="315" customFormat="1" ht="14"/>
    <row r="1221" s="315" customFormat="1" ht="14"/>
    <row r="1222" s="315" customFormat="1" ht="14"/>
    <row r="1223" s="315" customFormat="1" ht="14"/>
    <row r="1224" s="315" customFormat="1" ht="14"/>
    <row r="1225" s="315" customFormat="1" ht="14"/>
    <row r="1226" s="315" customFormat="1" ht="14"/>
    <row r="1227" s="315" customFormat="1" ht="14"/>
    <row r="1228" s="315" customFormat="1" ht="14"/>
    <row r="1229" s="315" customFormat="1" ht="14"/>
    <row r="1230" s="315" customFormat="1" ht="14"/>
    <row r="1231" s="315" customFormat="1" ht="14"/>
    <row r="1232" s="315" customFormat="1" ht="14"/>
    <row r="1233" s="315" customFormat="1" ht="14"/>
    <row r="1234" s="315" customFormat="1" ht="14"/>
    <row r="1235" s="315" customFormat="1" ht="14"/>
    <row r="1236" s="315" customFormat="1" ht="14"/>
    <row r="1237" s="315" customFormat="1" ht="14"/>
    <row r="1238" s="315" customFormat="1" ht="14"/>
    <row r="1239" s="315" customFormat="1" ht="14"/>
    <row r="1240" s="315" customFormat="1" ht="14"/>
    <row r="1241" s="315" customFormat="1" ht="14"/>
    <row r="1242" s="315" customFormat="1" ht="14"/>
    <row r="1243" s="315" customFormat="1" ht="14"/>
    <row r="1244" s="315" customFormat="1" ht="14"/>
    <row r="1245" s="315" customFormat="1" ht="14"/>
    <row r="1246" s="315" customFormat="1" ht="14"/>
    <row r="1247" s="315" customFormat="1" ht="14"/>
    <row r="1248" s="315" customFormat="1" ht="14"/>
    <row r="1249" s="315" customFormat="1" ht="14"/>
    <row r="1250" s="315" customFormat="1" ht="14"/>
    <row r="1251" s="315" customFormat="1" ht="14"/>
    <row r="1252" s="315" customFormat="1" ht="14"/>
    <row r="1253" s="315" customFormat="1" ht="14"/>
    <row r="1254" s="315" customFormat="1" ht="14"/>
    <row r="1255" s="315" customFormat="1" ht="14"/>
    <row r="1256" s="315" customFormat="1" ht="14"/>
    <row r="1257" s="315" customFormat="1" ht="14"/>
    <row r="1258" s="315" customFormat="1" ht="14"/>
    <row r="1259" s="315" customFormat="1" ht="14"/>
    <row r="1260" s="315" customFormat="1" ht="14"/>
    <row r="1261" s="315" customFormat="1" ht="14"/>
    <row r="1262" s="315" customFormat="1" ht="14"/>
    <row r="1263" s="315" customFormat="1" ht="14"/>
    <row r="1264" s="315" customFormat="1" ht="14"/>
    <row r="1265" s="315" customFormat="1" ht="14"/>
    <row r="1266" s="315" customFormat="1" ht="14"/>
    <row r="1267" s="315" customFormat="1" ht="14"/>
    <row r="1268" s="315" customFormat="1" ht="14"/>
    <row r="1269" s="315" customFormat="1" ht="14"/>
    <row r="1270" s="315" customFormat="1" ht="14"/>
    <row r="1271" s="315" customFormat="1" ht="14"/>
    <row r="1272" s="315" customFormat="1" ht="14"/>
    <row r="1273" s="315" customFormat="1" ht="14"/>
    <row r="1274" s="315" customFormat="1" ht="14"/>
    <row r="1275" s="315" customFormat="1" ht="14"/>
    <row r="1276" s="315" customFormat="1" ht="14"/>
    <row r="1277" s="315" customFormat="1" ht="14"/>
    <row r="1278" s="315" customFormat="1" ht="14"/>
    <row r="1279" s="315" customFormat="1" ht="14"/>
    <row r="1280" s="315" customFormat="1" ht="14"/>
    <row r="1281" s="315" customFormat="1" ht="14"/>
    <row r="1282" s="315" customFormat="1" ht="14"/>
    <row r="1283" s="315" customFormat="1" ht="14"/>
    <row r="1284" s="315" customFormat="1" ht="14"/>
    <row r="1285" s="315" customFormat="1" ht="14"/>
    <row r="1286" s="315" customFormat="1" ht="14"/>
    <row r="1287" s="315" customFormat="1" ht="14"/>
    <row r="1288" s="315" customFormat="1" ht="14"/>
    <row r="1289" s="315" customFormat="1" ht="14"/>
    <row r="1290" s="315" customFormat="1" ht="14"/>
    <row r="1291" s="315" customFormat="1" ht="14"/>
    <row r="1292" s="315" customFormat="1" ht="14"/>
    <row r="1293" s="315" customFormat="1" ht="14"/>
    <row r="1294" s="315" customFormat="1" ht="14"/>
    <row r="1295" s="315" customFormat="1" ht="14"/>
    <row r="1296" s="315" customFormat="1" ht="14"/>
    <row r="1297" s="315" customFormat="1" ht="14"/>
    <row r="1298" s="315" customFormat="1" ht="14"/>
    <row r="1299" s="315" customFormat="1" ht="14"/>
    <row r="1300" s="315" customFormat="1" ht="14"/>
    <row r="1301" s="315" customFormat="1" ht="14"/>
    <row r="1302" s="315" customFormat="1" ht="14"/>
    <row r="1303" s="315" customFormat="1" ht="14"/>
    <row r="1304" s="315" customFormat="1" ht="14"/>
    <row r="1305" s="315" customFormat="1" ht="14"/>
    <row r="1306" s="315" customFormat="1" ht="14"/>
    <row r="1307" s="315" customFormat="1" ht="14"/>
    <row r="1308" s="315" customFormat="1" ht="14"/>
    <row r="1309" s="315" customFormat="1" ht="14"/>
    <row r="1310" s="315" customFormat="1" ht="14"/>
    <row r="1311" s="315" customFormat="1" ht="14"/>
    <row r="1312" s="315" customFormat="1" ht="14"/>
    <row r="1313" s="315" customFormat="1" ht="14"/>
    <row r="1314" s="315" customFormat="1" ht="14"/>
    <row r="1315" s="315" customFormat="1" ht="14"/>
    <row r="1316" s="315" customFormat="1" ht="14"/>
    <row r="1317" s="315" customFormat="1" ht="14"/>
    <row r="1318" s="315" customFormat="1" ht="14"/>
    <row r="1319" s="315" customFormat="1" ht="14"/>
    <row r="1320" s="315" customFormat="1" ht="14"/>
    <row r="1321" s="315" customFormat="1" ht="14"/>
    <row r="1322" s="315" customFormat="1" ht="14"/>
    <row r="1323" s="315" customFormat="1" ht="14"/>
    <row r="1324" s="315" customFormat="1" ht="14"/>
    <row r="1325" s="315" customFormat="1" ht="14"/>
    <row r="1326" s="315" customFormat="1" ht="14"/>
    <row r="1327" s="315" customFormat="1" ht="14"/>
    <row r="1328" s="315" customFormat="1" ht="14"/>
    <row r="1329" s="315" customFormat="1" ht="14"/>
    <row r="1330" s="315" customFormat="1" ht="14"/>
    <row r="1331" s="315" customFormat="1" ht="14"/>
    <row r="1332" s="315" customFormat="1" ht="14"/>
    <row r="1333" s="315" customFormat="1" ht="14"/>
    <row r="1334" s="315" customFormat="1" ht="14"/>
    <row r="1335" s="315" customFormat="1" ht="14"/>
    <row r="1336" s="315" customFormat="1" ht="14"/>
    <row r="1337" s="315" customFormat="1" ht="14"/>
    <row r="1338" s="315" customFormat="1" ht="14"/>
    <row r="1339" s="315" customFormat="1" ht="14"/>
    <row r="1340" s="315" customFormat="1" ht="14"/>
    <row r="1341" s="315" customFormat="1" ht="14"/>
    <row r="1342" s="315" customFormat="1" ht="14"/>
    <row r="1343" s="315" customFormat="1" ht="14"/>
    <row r="1344" s="315" customFormat="1" ht="14"/>
    <row r="1345" s="315" customFormat="1" ht="14"/>
    <row r="1346" s="315" customFormat="1" ht="14"/>
    <row r="1347" s="315" customFormat="1" ht="14"/>
    <row r="1348" s="315" customFormat="1" ht="14"/>
    <row r="1349" s="315" customFormat="1" ht="14"/>
    <row r="1350" s="315" customFormat="1" ht="14"/>
    <row r="1351" s="315" customFormat="1" ht="14"/>
    <row r="1352" s="315" customFormat="1" ht="14"/>
    <row r="1353" s="315" customFormat="1" ht="14"/>
    <row r="1354" s="315" customFormat="1" ht="14"/>
    <row r="1355" s="315" customFormat="1" ht="14"/>
    <row r="1356" s="315" customFormat="1" ht="14"/>
    <row r="1357" s="315" customFormat="1" ht="14"/>
    <row r="1358" s="315" customFormat="1" ht="14"/>
    <row r="1359" s="315" customFormat="1" ht="14"/>
    <row r="1360" s="315" customFormat="1" ht="14"/>
    <row r="1361" s="315" customFormat="1" ht="14"/>
    <row r="1362" s="315" customFormat="1" ht="14"/>
    <row r="1363" s="315" customFormat="1" ht="14"/>
    <row r="1364" s="315" customFormat="1" ht="14"/>
    <row r="1365" s="315" customFormat="1" ht="14"/>
    <row r="1366" s="315" customFormat="1" ht="14"/>
    <row r="1367" s="315" customFormat="1" ht="14"/>
    <row r="1368" s="315" customFormat="1" ht="14"/>
    <row r="1369" s="315" customFormat="1" ht="14"/>
    <row r="1370" s="315" customFormat="1" ht="14"/>
    <row r="1371" s="315" customFormat="1" ht="14"/>
    <row r="1372" s="315" customFormat="1" ht="14"/>
    <row r="1373" s="315" customFormat="1" ht="14"/>
    <row r="1374" s="315" customFormat="1" ht="14"/>
    <row r="1375" s="315" customFormat="1" ht="14"/>
    <row r="1376" s="315" customFormat="1" ht="14"/>
    <row r="1377" s="315" customFormat="1" ht="14"/>
    <row r="1378" s="315" customFormat="1" ht="14"/>
    <row r="1379" s="315" customFormat="1" ht="14"/>
    <row r="1380" s="315" customFormat="1" ht="14"/>
    <row r="1381" s="315" customFormat="1" ht="14"/>
    <row r="1382" s="315" customFormat="1" ht="14"/>
    <row r="1383" s="315" customFormat="1" ht="14"/>
    <row r="1384" s="315" customFormat="1" ht="14"/>
    <row r="1385" s="315" customFormat="1" ht="14"/>
    <row r="1386" s="315" customFormat="1" ht="14"/>
    <row r="1387" s="315" customFormat="1" ht="14"/>
    <row r="1388" s="315" customFormat="1" ht="14"/>
    <row r="1389" s="315" customFormat="1" ht="14"/>
    <row r="1390" s="315" customFormat="1" ht="14"/>
    <row r="1391" s="315" customFormat="1" ht="14"/>
    <row r="1392" s="315" customFormat="1" ht="14"/>
    <row r="1393" s="315" customFormat="1" ht="14"/>
    <row r="1394" s="315" customFormat="1" ht="14"/>
    <row r="1395" s="315" customFormat="1" ht="14"/>
    <row r="1396" s="315" customFormat="1" ht="14"/>
    <row r="1397" s="315" customFormat="1" ht="14"/>
    <row r="1398" s="315" customFormat="1" ht="14"/>
    <row r="1399" s="315" customFormat="1" ht="14"/>
    <row r="1400" s="315" customFormat="1" ht="14"/>
    <row r="1401" s="315" customFormat="1" ht="14"/>
    <row r="1402" s="315" customFormat="1" ht="14"/>
    <row r="1403" s="315" customFormat="1" ht="14"/>
    <row r="1404" s="315" customFormat="1" ht="14"/>
    <row r="1405" s="315" customFormat="1" ht="14"/>
    <row r="1406" s="315" customFormat="1" ht="14"/>
    <row r="1407" s="315" customFormat="1" ht="14"/>
    <row r="1408" s="315" customFormat="1" ht="14"/>
    <row r="1409" s="315" customFormat="1" ht="14"/>
    <row r="1410" s="315" customFormat="1" ht="14"/>
    <row r="1411" s="315" customFormat="1" ht="14"/>
    <row r="1412" s="315" customFormat="1" ht="14"/>
    <row r="1413" s="315" customFormat="1" ht="14"/>
    <row r="1414" s="315" customFormat="1" ht="14"/>
    <row r="1415" s="315" customFormat="1" ht="14"/>
    <row r="1416" s="315" customFormat="1" ht="14"/>
    <row r="1417" s="315" customFormat="1" ht="14"/>
    <row r="1418" s="315" customFormat="1" ht="14"/>
    <row r="1419" s="315" customFormat="1" ht="14"/>
    <row r="1420" s="315" customFormat="1" ht="14"/>
    <row r="1421" s="315" customFormat="1" ht="14"/>
    <row r="1422" s="315" customFormat="1" ht="14"/>
    <row r="1423" s="315" customFormat="1" ht="14"/>
    <row r="1424" s="315" customFormat="1" ht="14"/>
    <row r="1425" s="315" customFormat="1" ht="14"/>
    <row r="1426" s="315" customFormat="1" ht="14"/>
    <row r="1427" s="315" customFormat="1" ht="14"/>
    <row r="1428" s="315" customFormat="1" ht="14"/>
    <row r="1429" s="315" customFormat="1" ht="14"/>
    <row r="1430" s="315" customFormat="1" ht="14"/>
    <row r="1431" s="315" customFormat="1" ht="14"/>
    <row r="1432" s="315" customFormat="1" ht="14"/>
    <row r="1433" s="315" customFormat="1" ht="14"/>
    <row r="1434" s="315" customFormat="1" ht="14"/>
    <row r="1435" s="315" customFormat="1" ht="14"/>
    <row r="1436" s="315" customFormat="1" ht="14"/>
    <row r="1437" s="315" customFormat="1" ht="14"/>
    <row r="1438" s="315" customFormat="1" ht="14"/>
    <row r="1439" s="315" customFormat="1" ht="14"/>
    <row r="1440" s="315" customFormat="1" ht="14"/>
    <row r="1441" s="315" customFormat="1" ht="14"/>
    <row r="1442" s="315" customFormat="1" ht="14"/>
    <row r="1443" s="315" customFormat="1" ht="14"/>
    <row r="1444" s="315" customFormat="1" ht="14"/>
    <row r="1445" s="315" customFormat="1" ht="14"/>
    <row r="1446" s="315" customFormat="1" ht="14"/>
    <row r="1447" s="315" customFormat="1" ht="14"/>
    <row r="1448" s="315" customFormat="1" ht="14"/>
    <row r="1449" s="315" customFormat="1" ht="14"/>
    <row r="1450" s="315" customFormat="1" ht="14"/>
    <row r="1451" s="315" customFormat="1" ht="14"/>
    <row r="1452" s="315" customFormat="1" ht="14"/>
    <row r="1453" s="315" customFormat="1" ht="14"/>
    <row r="1454" s="315" customFormat="1" ht="14"/>
    <row r="1455" s="315" customFormat="1" ht="14"/>
    <row r="1456" s="315" customFormat="1" ht="14"/>
    <row r="1457" s="315" customFormat="1" ht="14"/>
    <row r="1458" s="315" customFormat="1" ht="14"/>
    <row r="1459" s="315" customFormat="1" ht="14"/>
    <row r="1460" s="315" customFormat="1" ht="14"/>
    <row r="1461" s="315" customFormat="1" ht="14"/>
    <row r="1462" s="315" customFormat="1" ht="14"/>
    <row r="1463" s="315" customFormat="1" ht="14"/>
    <row r="1464" s="315" customFormat="1" ht="14"/>
    <row r="1465" s="315" customFormat="1" ht="14"/>
    <row r="1466" s="315" customFormat="1" ht="14"/>
    <row r="1467" s="315" customFormat="1" ht="14"/>
    <row r="1468" s="315" customFormat="1" ht="14"/>
    <row r="1469" s="315" customFormat="1" ht="14"/>
    <row r="1470" s="315" customFormat="1" ht="14"/>
    <row r="1471" s="315" customFormat="1" ht="14"/>
    <row r="1472" s="315" customFormat="1" ht="14"/>
    <row r="1473" s="315" customFormat="1" ht="14"/>
    <row r="1474" s="315" customFormat="1" ht="14"/>
    <row r="1475" s="315" customFormat="1" ht="14"/>
    <row r="1476" s="315" customFormat="1" ht="14"/>
    <row r="1477" s="315" customFormat="1" ht="14"/>
    <row r="1478" s="315" customFormat="1" ht="14"/>
    <row r="1479" s="315" customFormat="1" ht="14"/>
    <row r="1480" s="315" customFormat="1" ht="14"/>
    <row r="1481" s="315" customFormat="1" ht="14"/>
    <row r="1482" s="315" customFormat="1" ht="14"/>
    <row r="1483" s="315" customFormat="1" ht="14"/>
    <row r="1484" s="315" customFormat="1" ht="14"/>
    <row r="1485" s="315" customFormat="1" ht="14"/>
    <row r="1486" s="315" customFormat="1" ht="14"/>
    <row r="1487" s="315" customFormat="1" ht="14"/>
    <row r="1488" s="315" customFormat="1" ht="14"/>
    <row r="1489" s="315" customFormat="1" ht="14"/>
    <row r="1490" s="315" customFormat="1" ht="14"/>
    <row r="1491" s="315" customFormat="1" ht="14"/>
    <row r="1492" s="315" customFormat="1" ht="14"/>
    <row r="1493" s="315" customFormat="1" ht="14"/>
    <row r="1494" s="315" customFormat="1" ht="14"/>
    <row r="1495" s="315" customFormat="1" ht="14"/>
    <row r="1496" s="315" customFormat="1" ht="14"/>
    <row r="1497" s="315" customFormat="1" ht="14"/>
    <row r="1498" s="315" customFormat="1" ht="14"/>
    <row r="1499" s="315" customFormat="1" ht="14"/>
    <row r="1500" s="315" customFormat="1" ht="14"/>
    <row r="1501" s="315" customFormat="1" ht="14"/>
    <row r="1502" s="315" customFormat="1" ht="14"/>
    <row r="1503" s="315" customFormat="1" ht="14"/>
    <row r="1504" s="315" customFormat="1" ht="14"/>
    <row r="1505" s="315" customFormat="1" ht="14"/>
    <row r="1506" s="315" customFormat="1" ht="14"/>
    <row r="1507" s="315" customFormat="1" ht="14"/>
    <row r="1508" s="315" customFormat="1" ht="14"/>
    <row r="1509" s="315" customFormat="1" ht="14"/>
    <row r="1510" s="315" customFormat="1" ht="14"/>
    <row r="1511" s="315" customFormat="1" ht="14"/>
    <row r="1512" s="315" customFormat="1" ht="14"/>
    <row r="1513" s="315" customFormat="1" ht="14"/>
    <row r="1514" s="315" customFormat="1" ht="14"/>
    <row r="1515" s="315" customFormat="1" ht="14"/>
    <row r="1516" s="315" customFormat="1" ht="14"/>
    <row r="1517" s="315" customFormat="1" ht="14"/>
    <row r="1518" s="315" customFormat="1" ht="14"/>
    <row r="1519" s="315" customFormat="1" ht="14"/>
    <row r="1520" s="315" customFormat="1" ht="14"/>
    <row r="1521" s="315" customFormat="1" ht="14"/>
    <row r="1522" s="315" customFormat="1" ht="14"/>
    <row r="1523" s="315" customFormat="1" ht="14"/>
    <row r="1524" s="315" customFormat="1" ht="14"/>
    <row r="1525" s="315" customFormat="1" ht="14"/>
    <row r="1526" s="315" customFormat="1" ht="14"/>
    <row r="1527" s="315" customFormat="1" ht="14"/>
    <row r="1528" s="315" customFormat="1" ht="14"/>
    <row r="1529" s="315" customFormat="1" ht="14"/>
    <row r="1530" s="315" customFormat="1" ht="14"/>
    <row r="1531" s="315" customFormat="1" ht="14"/>
    <row r="1532" s="315" customFormat="1" ht="14"/>
    <row r="1533" s="315" customFormat="1" ht="14"/>
    <row r="1534" s="315" customFormat="1" ht="14"/>
    <row r="1535" s="315" customFormat="1" ht="14"/>
    <row r="1536" s="315" customFormat="1" ht="14"/>
    <row r="1537" s="315" customFormat="1" ht="14"/>
    <row r="1538" s="315" customFormat="1" ht="14"/>
    <row r="1539" s="315" customFormat="1" ht="14"/>
    <row r="1540" s="315" customFormat="1" ht="14"/>
    <row r="1541" s="315" customFormat="1" ht="14"/>
    <row r="1542" s="315" customFormat="1" ht="14"/>
    <row r="1543" s="315" customFormat="1" ht="14"/>
    <row r="1544" s="315" customFormat="1" ht="14"/>
    <row r="1545" s="315" customFormat="1" ht="14"/>
    <row r="1546" s="315" customFormat="1" ht="14"/>
    <row r="1547" s="315" customFormat="1" ht="14"/>
    <row r="1548" s="315" customFormat="1" ht="14"/>
    <row r="1549" s="315" customFormat="1" ht="14"/>
    <row r="1550" s="315" customFormat="1" ht="14"/>
    <row r="1551" s="315" customFormat="1" ht="14"/>
    <row r="1552" s="315" customFormat="1" ht="14"/>
    <row r="1553" s="315" customFormat="1" ht="14"/>
    <row r="1554" s="315" customFormat="1" ht="14"/>
    <row r="1555" s="315" customFormat="1" ht="14"/>
    <row r="1556" s="315" customFormat="1" ht="14"/>
    <row r="1557" s="315" customFormat="1" ht="14"/>
    <row r="1558" s="315" customFormat="1" ht="14"/>
    <row r="1559" s="315" customFormat="1" ht="14"/>
    <row r="1560" s="315" customFormat="1" ht="14"/>
    <row r="1561" s="315" customFormat="1" ht="14"/>
    <row r="1562" s="315" customFormat="1" ht="14"/>
    <row r="1563" s="315" customFormat="1" ht="14"/>
    <row r="1564" s="315" customFormat="1" ht="14"/>
    <row r="1565" s="315" customFormat="1" ht="14"/>
    <row r="1566" s="315" customFormat="1" ht="14"/>
    <row r="1567" s="315" customFormat="1" ht="14"/>
    <row r="1568" s="315" customFormat="1" ht="14"/>
    <row r="1569" s="315" customFormat="1" ht="14"/>
    <row r="1570" s="315" customFormat="1" ht="14"/>
    <row r="1571" s="315" customFormat="1" ht="14"/>
    <row r="1572" s="315" customFormat="1" ht="14"/>
    <row r="1573" s="315" customFormat="1" ht="14"/>
    <row r="1574" s="315" customFormat="1" ht="14"/>
    <row r="1575" s="315" customFormat="1" ht="14"/>
    <row r="1576" s="315" customFormat="1" ht="14"/>
    <row r="1577" s="315" customFormat="1" ht="14"/>
    <row r="1578" s="315" customFormat="1" ht="14"/>
    <row r="1579" s="315" customFormat="1" ht="14"/>
    <row r="1580" s="315" customFormat="1" ht="14"/>
    <row r="1581" s="315" customFormat="1" ht="14"/>
    <row r="1582" s="315" customFormat="1" ht="14"/>
    <row r="1583" s="315" customFormat="1" ht="14"/>
    <row r="1584" s="315" customFormat="1" ht="14"/>
    <row r="1585" s="315" customFormat="1" ht="14"/>
    <row r="1586" s="315" customFormat="1" ht="14"/>
    <row r="1587" s="315" customFormat="1" ht="14"/>
    <row r="1588" s="315" customFormat="1" ht="14"/>
    <row r="1589" s="315" customFormat="1" ht="14"/>
    <row r="1590" s="315" customFormat="1" ht="14"/>
    <row r="1591" s="315" customFormat="1" ht="14"/>
    <row r="1592" s="315" customFormat="1" ht="14"/>
    <row r="1593" s="315" customFormat="1" ht="14"/>
    <row r="1594" s="315" customFormat="1" ht="14"/>
    <row r="1595" s="315" customFormat="1" ht="14"/>
    <row r="1596" s="315" customFormat="1" ht="14"/>
    <row r="1597" s="315" customFormat="1" ht="14"/>
    <row r="1598" s="315" customFormat="1" ht="14"/>
    <row r="1599" s="315" customFormat="1" ht="14"/>
    <row r="1600" s="315" customFormat="1" ht="14"/>
    <row r="1601" s="315" customFormat="1" ht="14"/>
    <row r="1602" s="315" customFormat="1" ht="14"/>
    <row r="1603" s="315" customFormat="1" ht="14"/>
    <row r="1604" s="315" customFormat="1" ht="14"/>
    <row r="1605" s="315" customFormat="1" ht="14"/>
    <row r="1606" s="315" customFormat="1" ht="14"/>
    <row r="1607" s="315" customFormat="1" ht="14"/>
    <row r="1608" s="315" customFormat="1" ht="14"/>
    <row r="1609" s="315" customFormat="1" ht="14"/>
    <row r="1610" s="315" customFormat="1" ht="14"/>
    <row r="1611" s="315" customFormat="1" ht="14"/>
    <row r="1612" s="315" customFormat="1" ht="14"/>
    <row r="1613" s="315" customFormat="1" ht="14"/>
    <row r="1614" s="315" customFormat="1" ht="14"/>
    <row r="1615" s="315" customFormat="1" ht="14"/>
    <row r="1616" s="315" customFormat="1" ht="14"/>
    <row r="1617" s="315" customFormat="1" ht="14"/>
    <row r="1618" s="315" customFormat="1" ht="14"/>
    <row r="1619" s="315" customFormat="1" ht="14"/>
    <row r="1620" s="315" customFormat="1" ht="14"/>
    <row r="1621" s="315" customFormat="1" ht="14"/>
    <row r="1622" s="315" customFormat="1" ht="14"/>
    <row r="1623" s="315" customFormat="1" ht="14"/>
    <row r="1624" s="315" customFormat="1" ht="14"/>
    <row r="1625" s="315" customFormat="1" ht="14"/>
    <row r="1626" s="315" customFormat="1" ht="14"/>
    <row r="1627" s="315" customFormat="1" ht="14"/>
    <row r="1628" s="315" customFormat="1" ht="14"/>
    <row r="1629" s="315" customFormat="1" ht="14"/>
    <row r="1630" s="315" customFormat="1" ht="14"/>
    <row r="1631" s="315" customFormat="1" ht="14"/>
    <row r="1632" s="315" customFormat="1" ht="14"/>
    <row r="1633" s="315" customFormat="1" ht="14"/>
    <row r="1634" s="315" customFormat="1" ht="14"/>
    <row r="1635" s="315" customFormat="1" ht="14"/>
    <row r="1636" s="315" customFormat="1" ht="14"/>
    <row r="1637" s="315" customFormat="1" ht="14"/>
    <row r="1638" s="315" customFormat="1" ht="14"/>
    <row r="1639" s="315" customFormat="1" ht="14"/>
    <row r="1640" s="315" customFormat="1" ht="14"/>
    <row r="1641" s="315" customFormat="1" ht="14"/>
    <row r="1642" s="315" customFormat="1" ht="14"/>
    <row r="1643" s="315" customFormat="1" ht="14"/>
    <row r="1644" s="315" customFormat="1" ht="14"/>
    <row r="1645" s="315" customFormat="1" ht="14"/>
    <row r="1646" s="315" customFormat="1" ht="14"/>
    <row r="1647" s="315" customFormat="1" ht="14"/>
    <row r="1648" s="315" customFormat="1" ht="14"/>
    <row r="1649" s="315" customFormat="1" ht="14"/>
    <row r="1650" s="315" customFormat="1" ht="14"/>
    <row r="1651" s="315" customFormat="1" ht="14"/>
    <row r="1652" s="315" customFormat="1" ht="14"/>
    <row r="1653" s="315" customFormat="1" ht="14"/>
    <row r="1654" s="315" customFormat="1" ht="14"/>
    <row r="1655" s="315" customFormat="1" ht="14"/>
    <row r="1656" s="315" customFormat="1" ht="14"/>
    <row r="1657" s="315" customFormat="1" ht="14"/>
    <row r="1658" s="315" customFormat="1" ht="14"/>
    <row r="1659" s="315" customFormat="1" ht="14"/>
    <row r="1660" s="315" customFormat="1" ht="14"/>
    <row r="1661" s="315" customFormat="1" ht="14"/>
    <row r="1662" s="315" customFormat="1" ht="14"/>
    <row r="1663" s="315" customFormat="1" ht="14"/>
    <row r="1664" s="315" customFormat="1" ht="14"/>
    <row r="1665" s="315" customFormat="1" ht="14"/>
    <row r="1666" s="315" customFormat="1" ht="14"/>
    <row r="1667" s="315" customFormat="1" ht="14"/>
    <row r="1668" s="315" customFormat="1" ht="14"/>
    <row r="1669" s="315" customFormat="1" ht="14"/>
    <row r="1670" s="315" customFormat="1" ht="14"/>
    <row r="1671" s="315" customFormat="1" ht="14"/>
    <row r="1672" s="315" customFormat="1" ht="14"/>
    <row r="1673" s="315" customFormat="1" ht="14"/>
    <row r="1674" s="315" customFormat="1" ht="14"/>
    <row r="1675" s="315" customFormat="1" ht="14"/>
    <row r="1676" s="315" customFormat="1" ht="14"/>
    <row r="1677" s="315" customFormat="1" ht="14"/>
    <row r="1678" s="315" customFormat="1" ht="14"/>
    <row r="1679" s="315" customFormat="1" ht="14"/>
    <row r="1680" s="315" customFormat="1" ht="14"/>
    <row r="1681" s="315" customFormat="1" ht="14"/>
    <row r="1682" s="315" customFormat="1" ht="14"/>
    <row r="1683" s="315" customFormat="1" ht="14"/>
    <row r="1684" s="315" customFormat="1" ht="14"/>
    <row r="1685" s="315" customFormat="1" ht="14"/>
    <row r="1686" s="315" customFormat="1" ht="14"/>
    <row r="1687" s="315" customFormat="1" ht="14"/>
    <row r="1688" s="315" customFormat="1" ht="14"/>
    <row r="1689" s="315" customFormat="1" ht="14"/>
    <row r="1690" s="315" customFormat="1" ht="14"/>
    <row r="1691" s="315" customFormat="1" ht="14"/>
    <row r="1692" s="315" customFormat="1" ht="14"/>
    <row r="1693" s="315" customFormat="1" ht="14"/>
    <row r="1694" s="315" customFormat="1" ht="14"/>
    <row r="1695" s="315" customFormat="1" ht="14"/>
    <row r="1696" s="315" customFormat="1" ht="14"/>
    <row r="1697" s="315" customFormat="1" ht="14"/>
    <row r="1698" s="315" customFormat="1" ht="14"/>
    <row r="1699" s="315" customFormat="1" ht="14"/>
    <row r="1700" s="315" customFormat="1" ht="14"/>
    <row r="1701" s="315" customFormat="1" ht="14"/>
    <row r="1702" s="315" customFormat="1" ht="14"/>
    <row r="1703" s="315" customFormat="1" ht="14"/>
    <row r="1704" s="315" customFormat="1" ht="14"/>
    <row r="1705" s="315" customFormat="1" ht="14"/>
    <row r="1706" s="315" customFormat="1" ht="14"/>
    <row r="1707" s="315" customFormat="1" ht="14"/>
    <row r="1708" s="315" customFormat="1" ht="14"/>
    <row r="1709" s="315" customFormat="1" ht="14"/>
    <row r="1710" s="315" customFormat="1" ht="14"/>
    <row r="1711" s="315" customFormat="1" ht="14"/>
    <row r="1712" s="315" customFormat="1" ht="14"/>
    <row r="1713" s="315" customFormat="1" ht="14"/>
    <row r="1714" s="315" customFormat="1" ht="14"/>
    <row r="1715" s="315" customFormat="1" ht="14"/>
    <row r="1716" s="315" customFormat="1" ht="14"/>
    <row r="1717" s="315" customFormat="1" ht="14"/>
    <row r="1718" s="315" customFormat="1" ht="14"/>
    <row r="1719" s="315" customFormat="1" ht="14"/>
    <row r="1720" s="315" customFormat="1" ht="14"/>
    <row r="1721" s="315" customFormat="1" ht="14"/>
    <row r="1722" s="315" customFormat="1" ht="14"/>
    <row r="1723" s="315" customFormat="1" ht="14"/>
    <row r="1724" s="315" customFormat="1" ht="14"/>
    <row r="1725" s="315" customFormat="1" ht="14"/>
    <row r="1726" s="315" customFormat="1" ht="14"/>
    <row r="1727" s="315" customFormat="1" ht="14"/>
    <row r="1728" s="315" customFormat="1" ht="14"/>
    <row r="1729" s="315" customFormat="1" ht="14"/>
    <row r="1730" s="315" customFormat="1" ht="14"/>
    <row r="1731" s="315" customFormat="1" ht="14"/>
    <row r="1732" s="315" customFormat="1" ht="14"/>
    <row r="1733" s="315" customFormat="1" ht="14"/>
    <row r="1734" s="315" customFormat="1" ht="14"/>
    <row r="1735" s="315" customFormat="1" ht="14"/>
    <row r="1736" s="315" customFormat="1" ht="14"/>
    <row r="1737" s="315" customFormat="1" ht="14"/>
    <row r="1738" s="315" customFormat="1" ht="14"/>
    <row r="1739" s="315" customFormat="1" ht="14"/>
    <row r="1740" s="315" customFormat="1" ht="14"/>
    <row r="1741" s="315" customFormat="1" ht="14"/>
    <row r="1742" s="315" customFormat="1" ht="14"/>
    <row r="1743" s="315" customFormat="1" ht="14"/>
    <row r="1744" s="315" customFormat="1" ht="14"/>
    <row r="1745" s="315" customFormat="1" ht="14"/>
    <row r="1746" s="315" customFormat="1" ht="14"/>
    <row r="1747" s="315" customFormat="1" ht="14"/>
    <row r="1748" s="315" customFormat="1" ht="14"/>
    <row r="1749" s="315" customFormat="1" ht="14"/>
    <row r="1750" s="315" customFormat="1" ht="14"/>
    <row r="1751" s="315" customFormat="1" ht="14"/>
    <row r="1752" s="315" customFormat="1" ht="14"/>
    <row r="1753" s="315" customFormat="1" ht="14"/>
    <row r="1754" s="315" customFormat="1" ht="14"/>
    <row r="1755" s="315" customFormat="1" ht="14"/>
    <row r="1756" s="315" customFormat="1" ht="14"/>
    <row r="1757" s="315" customFormat="1" ht="14"/>
    <row r="1758" s="315" customFormat="1" ht="14"/>
    <row r="1759" s="315" customFormat="1" ht="14"/>
    <row r="1760" s="315" customFormat="1" ht="14"/>
    <row r="1761" s="315" customFormat="1" ht="14"/>
    <row r="1762" s="315" customFormat="1" ht="14"/>
    <row r="1763" s="315" customFormat="1" ht="14"/>
    <row r="1764" s="315" customFormat="1" ht="14"/>
    <row r="1765" s="315" customFormat="1" ht="14"/>
    <row r="1766" s="315" customFormat="1" ht="14"/>
    <row r="1767" s="315" customFormat="1" ht="14"/>
    <row r="1768" s="315" customFormat="1" ht="14"/>
    <row r="1769" s="315" customFormat="1" ht="14"/>
    <row r="1770" s="315" customFormat="1" ht="14"/>
    <row r="1771" s="315" customFormat="1" ht="14"/>
    <row r="1772" s="315" customFormat="1" ht="14"/>
    <row r="1773" s="315" customFormat="1" ht="14"/>
    <row r="1774" s="315" customFormat="1" ht="14"/>
    <row r="1775" s="315" customFormat="1" ht="14"/>
    <row r="1776" s="315" customFormat="1" ht="14"/>
    <row r="1777" s="315" customFormat="1" ht="14"/>
    <row r="1778" s="315" customFormat="1" ht="14"/>
    <row r="1779" s="315" customFormat="1" ht="14"/>
    <row r="1780" s="315" customFormat="1" ht="14"/>
    <row r="1781" s="315" customFormat="1" ht="14"/>
    <row r="1782" s="315" customFormat="1" ht="14"/>
    <row r="1783" s="315" customFormat="1" ht="14"/>
    <row r="1784" s="315" customFormat="1" ht="14"/>
    <row r="1785" s="315" customFormat="1" ht="14"/>
    <row r="1786" s="315" customFormat="1" ht="14"/>
    <row r="1787" s="315" customFormat="1" ht="14"/>
    <row r="1788" s="315" customFormat="1" ht="14"/>
    <row r="1789" s="315" customFormat="1" ht="14"/>
    <row r="1790" s="315" customFormat="1" ht="14"/>
    <row r="1791" s="315" customFormat="1" ht="14"/>
    <row r="1792" s="315" customFormat="1" ht="14"/>
    <row r="1793" s="315" customFormat="1" ht="14"/>
    <row r="1794" s="315" customFormat="1" ht="14"/>
    <row r="1795" s="315" customFormat="1" ht="14"/>
    <row r="1796" s="315" customFormat="1" ht="14"/>
  </sheetData>
  <mergeCells count="35">
    <mergeCell ref="C68:E68"/>
    <mergeCell ref="A50:L50"/>
    <mergeCell ref="B61:K61"/>
    <mergeCell ref="B62:K62"/>
    <mergeCell ref="F63:K63"/>
    <mergeCell ref="B64:K64"/>
    <mergeCell ref="B65:K65"/>
    <mergeCell ref="B49:K49"/>
    <mergeCell ref="B18:K18"/>
    <mergeCell ref="A19:L19"/>
    <mergeCell ref="B20:E20"/>
    <mergeCell ref="B28:C28"/>
    <mergeCell ref="D28:K28"/>
    <mergeCell ref="A29:L29"/>
    <mergeCell ref="G32:I32"/>
    <mergeCell ref="J32:K32"/>
    <mergeCell ref="G33:H33"/>
    <mergeCell ref="B35:K35"/>
    <mergeCell ref="A36:L36"/>
    <mergeCell ref="A15:L15"/>
    <mergeCell ref="A1:L1"/>
    <mergeCell ref="A2:L2"/>
    <mergeCell ref="A4:F4"/>
    <mergeCell ref="A5:F5"/>
    <mergeCell ref="A10:L10"/>
    <mergeCell ref="A11:A12"/>
    <mergeCell ref="B11:B12"/>
    <mergeCell ref="C11:C12"/>
    <mergeCell ref="D11:D12"/>
    <mergeCell ref="E11:K11"/>
    <mergeCell ref="L11:L12"/>
    <mergeCell ref="F12:G12"/>
    <mergeCell ref="H12:K12"/>
    <mergeCell ref="E13:K13"/>
    <mergeCell ref="A14:L14"/>
  </mergeCells>
  <conditionalFormatting sqref="D59 L34 L37:L46 L32 L20:L27 L16:L17">
    <cfRule type="cellIs" dxfId="0" priority="1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9"/>
  <sheetViews>
    <sheetView view="pageBreakPreview" topLeftCell="A19" zoomScale="115" zoomScaleNormal="90" zoomScaleSheetLayoutView="115" workbookViewId="0">
      <selection activeCell="A8" sqref="A8"/>
    </sheetView>
  </sheetViews>
  <sheetFormatPr baseColWidth="10" defaultColWidth="8.83203125" defaultRowHeight="15"/>
  <cols>
    <col min="1" max="1" width="4.5" style="348" customWidth="1"/>
    <col min="2" max="2" width="30.5" style="348" customWidth="1"/>
    <col min="3" max="3" width="6.1640625" style="348" customWidth="1"/>
    <col min="4" max="4" width="7.5" style="348" customWidth="1"/>
    <col min="5" max="5" width="22" style="348" customWidth="1"/>
    <col min="6" max="6" width="16.5" style="348" customWidth="1"/>
    <col min="7" max="7" width="12.6640625" style="348" customWidth="1"/>
    <col min="8" max="8" width="13.1640625" style="318" customWidth="1"/>
    <col min="9" max="9" width="9.1640625" style="318"/>
    <col min="10" max="10" width="21.83203125" style="318" customWidth="1"/>
    <col min="11" max="12" width="9.1640625" style="318"/>
    <col min="13" max="13" width="16.5" style="318" customWidth="1"/>
    <col min="14" max="14" width="9.1640625" style="318"/>
    <col min="15" max="15" width="12.5" style="318" customWidth="1"/>
    <col min="16" max="16" width="12.1640625" style="318" customWidth="1"/>
    <col min="17" max="256" width="9.1640625" style="318"/>
    <col min="257" max="257" width="4.5" style="318" customWidth="1"/>
    <col min="258" max="258" width="30.5" style="318" customWidth="1"/>
    <col min="259" max="259" width="6.1640625" style="318" customWidth="1"/>
    <col min="260" max="260" width="7.5" style="318" customWidth="1"/>
    <col min="261" max="261" width="22" style="318" customWidth="1"/>
    <col min="262" max="262" width="16.5" style="318" customWidth="1"/>
    <col min="263" max="263" width="12.6640625" style="318" customWidth="1"/>
    <col min="264" max="264" width="13.1640625" style="318" customWidth="1"/>
    <col min="265" max="265" width="9.1640625" style="318"/>
    <col min="266" max="266" width="21.83203125" style="318" customWidth="1"/>
    <col min="267" max="268" width="9.1640625" style="318"/>
    <col min="269" max="269" width="16.5" style="318" customWidth="1"/>
    <col min="270" max="270" width="9.1640625" style="318"/>
    <col min="271" max="271" width="12.5" style="318" customWidth="1"/>
    <col min="272" max="272" width="12.1640625" style="318" customWidth="1"/>
    <col min="273" max="512" width="9.1640625" style="318"/>
    <col min="513" max="513" width="4.5" style="318" customWidth="1"/>
    <col min="514" max="514" width="30.5" style="318" customWidth="1"/>
    <col min="515" max="515" width="6.1640625" style="318" customWidth="1"/>
    <col min="516" max="516" width="7.5" style="318" customWidth="1"/>
    <col min="517" max="517" width="22" style="318" customWidth="1"/>
    <col min="518" max="518" width="16.5" style="318" customWidth="1"/>
    <col min="519" max="519" width="12.6640625" style="318" customWidth="1"/>
    <col min="520" max="520" width="13.1640625" style="318" customWidth="1"/>
    <col min="521" max="521" width="9.1640625" style="318"/>
    <col min="522" max="522" width="21.83203125" style="318" customWidth="1"/>
    <col min="523" max="524" width="9.1640625" style="318"/>
    <col min="525" max="525" width="16.5" style="318" customWidth="1"/>
    <col min="526" max="526" width="9.1640625" style="318"/>
    <col min="527" max="527" width="12.5" style="318" customWidth="1"/>
    <col min="528" max="528" width="12.1640625" style="318" customWidth="1"/>
    <col min="529" max="768" width="9.1640625" style="318"/>
    <col min="769" max="769" width="4.5" style="318" customWidth="1"/>
    <col min="770" max="770" width="30.5" style="318" customWidth="1"/>
    <col min="771" max="771" width="6.1640625" style="318" customWidth="1"/>
    <col min="772" max="772" width="7.5" style="318" customWidth="1"/>
    <col min="773" max="773" width="22" style="318" customWidth="1"/>
    <col min="774" max="774" width="16.5" style="318" customWidth="1"/>
    <col min="775" max="775" width="12.6640625" style="318" customWidth="1"/>
    <col min="776" max="776" width="13.1640625" style="318" customWidth="1"/>
    <col min="777" max="777" width="9.1640625" style="318"/>
    <col min="778" max="778" width="21.83203125" style="318" customWidth="1"/>
    <col min="779" max="780" width="9.1640625" style="318"/>
    <col min="781" max="781" width="16.5" style="318" customWidth="1"/>
    <col min="782" max="782" width="9.1640625" style="318"/>
    <col min="783" max="783" width="12.5" style="318" customWidth="1"/>
    <col min="784" max="784" width="12.1640625" style="318" customWidth="1"/>
    <col min="785" max="1024" width="9.1640625" style="318"/>
    <col min="1025" max="1025" width="4.5" style="318" customWidth="1"/>
    <col min="1026" max="1026" width="30.5" style="318" customWidth="1"/>
    <col min="1027" max="1027" width="6.1640625" style="318" customWidth="1"/>
    <col min="1028" max="1028" width="7.5" style="318" customWidth="1"/>
    <col min="1029" max="1029" width="22" style="318" customWidth="1"/>
    <col min="1030" max="1030" width="16.5" style="318" customWidth="1"/>
    <col min="1031" max="1031" width="12.6640625" style="318" customWidth="1"/>
    <col min="1032" max="1032" width="13.1640625" style="318" customWidth="1"/>
    <col min="1033" max="1033" width="9.1640625" style="318"/>
    <col min="1034" max="1034" width="21.83203125" style="318" customWidth="1"/>
    <col min="1035" max="1036" width="9.1640625" style="318"/>
    <col min="1037" max="1037" width="16.5" style="318" customWidth="1"/>
    <col min="1038" max="1038" width="9.1640625" style="318"/>
    <col min="1039" max="1039" width="12.5" style="318" customWidth="1"/>
    <col min="1040" max="1040" width="12.1640625" style="318" customWidth="1"/>
    <col min="1041" max="1280" width="9.1640625" style="318"/>
    <col min="1281" max="1281" width="4.5" style="318" customWidth="1"/>
    <col min="1282" max="1282" width="30.5" style="318" customWidth="1"/>
    <col min="1283" max="1283" width="6.1640625" style="318" customWidth="1"/>
    <col min="1284" max="1284" width="7.5" style="318" customWidth="1"/>
    <col min="1285" max="1285" width="22" style="318" customWidth="1"/>
    <col min="1286" max="1286" width="16.5" style="318" customWidth="1"/>
    <col min="1287" max="1287" width="12.6640625" style="318" customWidth="1"/>
    <col min="1288" max="1288" width="13.1640625" style="318" customWidth="1"/>
    <col min="1289" max="1289" width="9.1640625" style="318"/>
    <col min="1290" max="1290" width="21.83203125" style="318" customWidth="1"/>
    <col min="1291" max="1292" width="9.1640625" style="318"/>
    <col min="1293" max="1293" width="16.5" style="318" customWidth="1"/>
    <col min="1294" max="1294" width="9.1640625" style="318"/>
    <col min="1295" max="1295" width="12.5" style="318" customWidth="1"/>
    <col min="1296" max="1296" width="12.1640625" style="318" customWidth="1"/>
    <col min="1297" max="1536" width="9.1640625" style="318"/>
    <col min="1537" max="1537" width="4.5" style="318" customWidth="1"/>
    <col min="1538" max="1538" width="30.5" style="318" customWidth="1"/>
    <col min="1539" max="1539" width="6.1640625" style="318" customWidth="1"/>
    <col min="1540" max="1540" width="7.5" style="318" customWidth="1"/>
    <col min="1541" max="1541" width="22" style="318" customWidth="1"/>
    <col min="1542" max="1542" width="16.5" style="318" customWidth="1"/>
    <col min="1543" max="1543" width="12.6640625" style="318" customWidth="1"/>
    <col min="1544" max="1544" width="13.1640625" style="318" customWidth="1"/>
    <col min="1545" max="1545" width="9.1640625" style="318"/>
    <col min="1546" max="1546" width="21.83203125" style="318" customWidth="1"/>
    <col min="1547" max="1548" width="9.1640625" style="318"/>
    <col min="1549" max="1549" width="16.5" style="318" customWidth="1"/>
    <col min="1550" max="1550" width="9.1640625" style="318"/>
    <col min="1551" max="1551" width="12.5" style="318" customWidth="1"/>
    <col min="1552" max="1552" width="12.1640625" style="318" customWidth="1"/>
    <col min="1553" max="1792" width="9.1640625" style="318"/>
    <col min="1793" max="1793" width="4.5" style="318" customWidth="1"/>
    <col min="1794" max="1794" width="30.5" style="318" customWidth="1"/>
    <col min="1795" max="1795" width="6.1640625" style="318" customWidth="1"/>
    <col min="1796" max="1796" width="7.5" style="318" customWidth="1"/>
    <col min="1797" max="1797" width="22" style="318" customWidth="1"/>
    <col min="1798" max="1798" width="16.5" style="318" customWidth="1"/>
    <col min="1799" max="1799" width="12.6640625" style="318" customWidth="1"/>
    <col min="1800" max="1800" width="13.1640625" style="318" customWidth="1"/>
    <col min="1801" max="1801" width="9.1640625" style="318"/>
    <col min="1802" max="1802" width="21.83203125" style="318" customWidth="1"/>
    <col min="1803" max="1804" width="9.1640625" style="318"/>
    <col min="1805" max="1805" width="16.5" style="318" customWidth="1"/>
    <col min="1806" max="1806" width="9.1640625" style="318"/>
    <col min="1807" max="1807" width="12.5" style="318" customWidth="1"/>
    <col min="1808" max="1808" width="12.1640625" style="318" customWidth="1"/>
    <col min="1809" max="2048" width="9.1640625" style="318"/>
    <col min="2049" max="2049" width="4.5" style="318" customWidth="1"/>
    <col min="2050" max="2050" width="30.5" style="318" customWidth="1"/>
    <col min="2051" max="2051" width="6.1640625" style="318" customWidth="1"/>
    <col min="2052" max="2052" width="7.5" style="318" customWidth="1"/>
    <col min="2053" max="2053" width="22" style="318" customWidth="1"/>
    <col min="2054" max="2054" width="16.5" style="318" customWidth="1"/>
    <col min="2055" max="2055" width="12.6640625" style="318" customWidth="1"/>
    <col min="2056" max="2056" width="13.1640625" style="318" customWidth="1"/>
    <col min="2057" max="2057" width="9.1640625" style="318"/>
    <col min="2058" max="2058" width="21.83203125" style="318" customWidth="1"/>
    <col min="2059" max="2060" width="9.1640625" style="318"/>
    <col min="2061" max="2061" width="16.5" style="318" customWidth="1"/>
    <col min="2062" max="2062" width="9.1640625" style="318"/>
    <col min="2063" max="2063" width="12.5" style="318" customWidth="1"/>
    <col min="2064" max="2064" width="12.1640625" style="318" customWidth="1"/>
    <col min="2065" max="2304" width="9.1640625" style="318"/>
    <col min="2305" max="2305" width="4.5" style="318" customWidth="1"/>
    <col min="2306" max="2306" width="30.5" style="318" customWidth="1"/>
    <col min="2307" max="2307" width="6.1640625" style="318" customWidth="1"/>
    <col min="2308" max="2308" width="7.5" style="318" customWidth="1"/>
    <col min="2309" max="2309" width="22" style="318" customWidth="1"/>
    <col min="2310" max="2310" width="16.5" style="318" customWidth="1"/>
    <col min="2311" max="2311" width="12.6640625" style="318" customWidth="1"/>
    <col min="2312" max="2312" width="13.1640625" style="318" customWidth="1"/>
    <col min="2313" max="2313" width="9.1640625" style="318"/>
    <col min="2314" max="2314" width="21.83203125" style="318" customWidth="1"/>
    <col min="2315" max="2316" width="9.1640625" style="318"/>
    <col min="2317" max="2317" width="16.5" style="318" customWidth="1"/>
    <col min="2318" max="2318" width="9.1640625" style="318"/>
    <col min="2319" max="2319" width="12.5" style="318" customWidth="1"/>
    <col min="2320" max="2320" width="12.1640625" style="318" customWidth="1"/>
    <col min="2321" max="2560" width="9.1640625" style="318"/>
    <col min="2561" max="2561" width="4.5" style="318" customWidth="1"/>
    <col min="2562" max="2562" width="30.5" style="318" customWidth="1"/>
    <col min="2563" max="2563" width="6.1640625" style="318" customWidth="1"/>
    <col min="2564" max="2564" width="7.5" style="318" customWidth="1"/>
    <col min="2565" max="2565" width="22" style="318" customWidth="1"/>
    <col min="2566" max="2566" width="16.5" style="318" customWidth="1"/>
    <col min="2567" max="2567" width="12.6640625" style="318" customWidth="1"/>
    <col min="2568" max="2568" width="13.1640625" style="318" customWidth="1"/>
    <col min="2569" max="2569" width="9.1640625" style="318"/>
    <col min="2570" max="2570" width="21.83203125" style="318" customWidth="1"/>
    <col min="2571" max="2572" width="9.1640625" style="318"/>
    <col min="2573" max="2573" width="16.5" style="318" customWidth="1"/>
    <col min="2574" max="2574" width="9.1640625" style="318"/>
    <col min="2575" max="2575" width="12.5" style="318" customWidth="1"/>
    <col min="2576" max="2576" width="12.1640625" style="318" customWidth="1"/>
    <col min="2577" max="2816" width="9.1640625" style="318"/>
    <col min="2817" max="2817" width="4.5" style="318" customWidth="1"/>
    <col min="2818" max="2818" width="30.5" style="318" customWidth="1"/>
    <col min="2819" max="2819" width="6.1640625" style="318" customWidth="1"/>
    <col min="2820" max="2820" width="7.5" style="318" customWidth="1"/>
    <col min="2821" max="2821" width="22" style="318" customWidth="1"/>
    <col min="2822" max="2822" width="16.5" style="318" customWidth="1"/>
    <col min="2823" max="2823" width="12.6640625" style="318" customWidth="1"/>
    <col min="2824" max="2824" width="13.1640625" style="318" customWidth="1"/>
    <col min="2825" max="2825" width="9.1640625" style="318"/>
    <col min="2826" max="2826" width="21.83203125" style="318" customWidth="1"/>
    <col min="2827" max="2828" width="9.1640625" style="318"/>
    <col min="2829" max="2829" width="16.5" style="318" customWidth="1"/>
    <col min="2830" max="2830" width="9.1640625" style="318"/>
    <col min="2831" max="2831" width="12.5" style="318" customWidth="1"/>
    <col min="2832" max="2832" width="12.1640625" style="318" customWidth="1"/>
    <col min="2833" max="3072" width="9.1640625" style="318"/>
    <col min="3073" max="3073" width="4.5" style="318" customWidth="1"/>
    <col min="3074" max="3074" width="30.5" style="318" customWidth="1"/>
    <col min="3075" max="3075" width="6.1640625" style="318" customWidth="1"/>
    <col min="3076" max="3076" width="7.5" style="318" customWidth="1"/>
    <col min="3077" max="3077" width="22" style="318" customWidth="1"/>
    <col min="3078" max="3078" width="16.5" style="318" customWidth="1"/>
    <col min="3079" max="3079" width="12.6640625" style="318" customWidth="1"/>
    <col min="3080" max="3080" width="13.1640625" style="318" customWidth="1"/>
    <col min="3081" max="3081" width="9.1640625" style="318"/>
    <col min="3082" max="3082" width="21.83203125" style="318" customWidth="1"/>
    <col min="3083" max="3084" width="9.1640625" style="318"/>
    <col min="3085" max="3085" width="16.5" style="318" customWidth="1"/>
    <col min="3086" max="3086" width="9.1640625" style="318"/>
    <col min="3087" max="3087" width="12.5" style="318" customWidth="1"/>
    <col min="3088" max="3088" width="12.1640625" style="318" customWidth="1"/>
    <col min="3089" max="3328" width="9.1640625" style="318"/>
    <col min="3329" max="3329" width="4.5" style="318" customWidth="1"/>
    <col min="3330" max="3330" width="30.5" style="318" customWidth="1"/>
    <col min="3331" max="3331" width="6.1640625" style="318" customWidth="1"/>
    <col min="3332" max="3332" width="7.5" style="318" customWidth="1"/>
    <col min="3333" max="3333" width="22" style="318" customWidth="1"/>
    <col min="3334" max="3334" width="16.5" style="318" customWidth="1"/>
    <col min="3335" max="3335" width="12.6640625" style="318" customWidth="1"/>
    <col min="3336" max="3336" width="13.1640625" style="318" customWidth="1"/>
    <col min="3337" max="3337" width="9.1640625" style="318"/>
    <col min="3338" max="3338" width="21.83203125" style="318" customWidth="1"/>
    <col min="3339" max="3340" width="9.1640625" style="318"/>
    <col min="3341" max="3341" width="16.5" style="318" customWidth="1"/>
    <col min="3342" max="3342" width="9.1640625" style="318"/>
    <col min="3343" max="3343" width="12.5" style="318" customWidth="1"/>
    <col min="3344" max="3344" width="12.1640625" style="318" customWidth="1"/>
    <col min="3345" max="3584" width="9.1640625" style="318"/>
    <col min="3585" max="3585" width="4.5" style="318" customWidth="1"/>
    <col min="3586" max="3586" width="30.5" style="318" customWidth="1"/>
    <col min="3587" max="3587" width="6.1640625" style="318" customWidth="1"/>
    <col min="3588" max="3588" width="7.5" style="318" customWidth="1"/>
    <col min="3589" max="3589" width="22" style="318" customWidth="1"/>
    <col min="3590" max="3590" width="16.5" style="318" customWidth="1"/>
    <col min="3591" max="3591" width="12.6640625" style="318" customWidth="1"/>
    <col min="3592" max="3592" width="13.1640625" style="318" customWidth="1"/>
    <col min="3593" max="3593" width="9.1640625" style="318"/>
    <col min="3594" max="3594" width="21.83203125" style="318" customWidth="1"/>
    <col min="3595" max="3596" width="9.1640625" style="318"/>
    <col min="3597" max="3597" width="16.5" style="318" customWidth="1"/>
    <col min="3598" max="3598" width="9.1640625" style="318"/>
    <col min="3599" max="3599" width="12.5" style="318" customWidth="1"/>
    <col min="3600" max="3600" width="12.1640625" style="318" customWidth="1"/>
    <col min="3601" max="3840" width="9.1640625" style="318"/>
    <col min="3841" max="3841" width="4.5" style="318" customWidth="1"/>
    <col min="3842" max="3842" width="30.5" style="318" customWidth="1"/>
    <col min="3843" max="3843" width="6.1640625" style="318" customWidth="1"/>
    <col min="3844" max="3844" width="7.5" style="318" customWidth="1"/>
    <col min="3845" max="3845" width="22" style="318" customWidth="1"/>
    <col min="3846" max="3846" width="16.5" style="318" customWidth="1"/>
    <col min="3847" max="3847" width="12.6640625" style="318" customWidth="1"/>
    <col min="3848" max="3848" width="13.1640625" style="318" customWidth="1"/>
    <col min="3849" max="3849" width="9.1640625" style="318"/>
    <col min="3850" max="3850" width="21.83203125" style="318" customWidth="1"/>
    <col min="3851" max="3852" width="9.1640625" style="318"/>
    <col min="3853" max="3853" width="16.5" style="318" customWidth="1"/>
    <col min="3854" max="3854" width="9.1640625" style="318"/>
    <col min="3855" max="3855" width="12.5" style="318" customWidth="1"/>
    <col min="3856" max="3856" width="12.1640625" style="318" customWidth="1"/>
    <col min="3857" max="4096" width="9.1640625" style="318"/>
    <col min="4097" max="4097" width="4.5" style="318" customWidth="1"/>
    <col min="4098" max="4098" width="30.5" style="318" customWidth="1"/>
    <col min="4099" max="4099" width="6.1640625" style="318" customWidth="1"/>
    <col min="4100" max="4100" width="7.5" style="318" customWidth="1"/>
    <col min="4101" max="4101" width="22" style="318" customWidth="1"/>
    <col min="4102" max="4102" width="16.5" style="318" customWidth="1"/>
    <col min="4103" max="4103" width="12.6640625" style="318" customWidth="1"/>
    <col min="4104" max="4104" width="13.1640625" style="318" customWidth="1"/>
    <col min="4105" max="4105" width="9.1640625" style="318"/>
    <col min="4106" max="4106" width="21.83203125" style="318" customWidth="1"/>
    <col min="4107" max="4108" width="9.1640625" style="318"/>
    <col min="4109" max="4109" width="16.5" style="318" customWidth="1"/>
    <col min="4110" max="4110" width="9.1640625" style="318"/>
    <col min="4111" max="4111" width="12.5" style="318" customWidth="1"/>
    <col min="4112" max="4112" width="12.1640625" style="318" customWidth="1"/>
    <col min="4113" max="4352" width="9.1640625" style="318"/>
    <col min="4353" max="4353" width="4.5" style="318" customWidth="1"/>
    <col min="4354" max="4354" width="30.5" style="318" customWidth="1"/>
    <col min="4355" max="4355" width="6.1640625" style="318" customWidth="1"/>
    <col min="4356" max="4356" width="7.5" style="318" customWidth="1"/>
    <col min="4357" max="4357" width="22" style="318" customWidth="1"/>
    <col min="4358" max="4358" width="16.5" style="318" customWidth="1"/>
    <col min="4359" max="4359" width="12.6640625" style="318" customWidth="1"/>
    <col min="4360" max="4360" width="13.1640625" style="318" customWidth="1"/>
    <col min="4361" max="4361" width="9.1640625" style="318"/>
    <col min="4362" max="4362" width="21.83203125" style="318" customWidth="1"/>
    <col min="4363" max="4364" width="9.1640625" style="318"/>
    <col min="4365" max="4365" width="16.5" style="318" customWidth="1"/>
    <col min="4366" max="4366" width="9.1640625" style="318"/>
    <col min="4367" max="4367" width="12.5" style="318" customWidth="1"/>
    <col min="4368" max="4368" width="12.1640625" style="318" customWidth="1"/>
    <col min="4369" max="4608" width="9.1640625" style="318"/>
    <col min="4609" max="4609" width="4.5" style="318" customWidth="1"/>
    <col min="4610" max="4610" width="30.5" style="318" customWidth="1"/>
    <col min="4611" max="4611" width="6.1640625" style="318" customWidth="1"/>
    <col min="4612" max="4612" width="7.5" style="318" customWidth="1"/>
    <col min="4613" max="4613" width="22" style="318" customWidth="1"/>
    <col min="4614" max="4614" width="16.5" style="318" customWidth="1"/>
    <col min="4615" max="4615" width="12.6640625" style="318" customWidth="1"/>
    <col min="4616" max="4616" width="13.1640625" style="318" customWidth="1"/>
    <col min="4617" max="4617" width="9.1640625" style="318"/>
    <col min="4618" max="4618" width="21.83203125" style="318" customWidth="1"/>
    <col min="4619" max="4620" width="9.1640625" style="318"/>
    <col min="4621" max="4621" width="16.5" style="318" customWidth="1"/>
    <col min="4622" max="4622" width="9.1640625" style="318"/>
    <col min="4623" max="4623" width="12.5" style="318" customWidth="1"/>
    <col min="4624" max="4624" width="12.1640625" style="318" customWidth="1"/>
    <col min="4625" max="4864" width="9.1640625" style="318"/>
    <col min="4865" max="4865" width="4.5" style="318" customWidth="1"/>
    <col min="4866" max="4866" width="30.5" style="318" customWidth="1"/>
    <col min="4867" max="4867" width="6.1640625" style="318" customWidth="1"/>
    <col min="4868" max="4868" width="7.5" style="318" customWidth="1"/>
    <col min="4869" max="4869" width="22" style="318" customWidth="1"/>
    <col min="4870" max="4870" width="16.5" style="318" customWidth="1"/>
    <col min="4871" max="4871" width="12.6640625" style="318" customWidth="1"/>
    <col min="4872" max="4872" width="13.1640625" style="318" customWidth="1"/>
    <col min="4873" max="4873" width="9.1640625" style="318"/>
    <col min="4874" max="4874" width="21.83203125" style="318" customWidth="1"/>
    <col min="4875" max="4876" width="9.1640625" style="318"/>
    <col min="4877" max="4877" width="16.5" style="318" customWidth="1"/>
    <col min="4878" max="4878" width="9.1640625" style="318"/>
    <col min="4879" max="4879" width="12.5" style="318" customWidth="1"/>
    <col min="4880" max="4880" width="12.1640625" style="318" customWidth="1"/>
    <col min="4881" max="5120" width="9.1640625" style="318"/>
    <col min="5121" max="5121" width="4.5" style="318" customWidth="1"/>
    <col min="5122" max="5122" width="30.5" style="318" customWidth="1"/>
    <col min="5123" max="5123" width="6.1640625" style="318" customWidth="1"/>
    <col min="5124" max="5124" width="7.5" style="318" customWidth="1"/>
    <col min="5125" max="5125" width="22" style="318" customWidth="1"/>
    <col min="5126" max="5126" width="16.5" style="318" customWidth="1"/>
    <col min="5127" max="5127" width="12.6640625" style="318" customWidth="1"/>
    <col min="5128" max="5128" width="13.1640625" style="318" customWidth="1"/>
    <col min="5129" max="5129" width="9.1640625" style="318"/>
    <col min="5130" max="5130" width="21.83203125" style="318" customWidth="1"/>
    <col min="5131" max="5132" width="9.1640625" style="318"/>
    <col min="5133" max="5133" width="16.5" style="318" customWidth="1"/>
    <col min="5134" max="5134" width="9.1640625" style="318"/>
    <col min="5135" max="5135" width="12.5" style="318" customWidth="1"/>
    <col min="5136" max="5136" width="12.1640625" style="318" customWidth="1"/>
    <col min="5137" max="5376" width="9.1640625" style="318"/>
    <col min="5377" max="5377" width="4.5" style="318" customWidth="1"/>
    <col min="5378" max="5378" width="30.5" style="318" customWidth="1"/>
    <col min="5379" max="5379" width="6.1640625" style="318" customWidth="1"/>
    <col min="5380" max="5380" width="7.5" style="318" customWidth="1"/>
    <col min="5381" max="5381" width="22" style="318" customWidth="1"/>
    <col min="5382" max="5382" width="16.5" style="318" customWidth="1"/>
    <col min="5383" max="5383" width="12.6640625" style="318" customWidth="1"/>
    <col min="5384" max="5384" width="13.1640625" style="318" customWidth="1"/>
    <col min="5385" max="5385" width="9.1640625" style="318"/>
    <col min="5386" max="5386" width="21.83203125" style="318" customWidth="1"/>
    <col min="5387" max="5388" width="9.1640625" style="318"/>
    <col min="5389" max="5389" width="16.5" style="318" customWidth="1"/>
    <col min="5390" max="5390" width="9.1640625" style="318"/>
    <col min="5391" max="5391" width="12.5" style="318" customWidth="1"/>
    <col min="5392" max="5392" width="12.1640625" style="318" customWidth="1"/>
    <col min="5393" max="5632" width="9.1640625" style="318"/>
    <col min="5633" max="5633" width="4.5" style="318" customWidth="1"/>
    <col min="5634" max="5634" width="30.5" style="318" customWidth="1"/>
    <col min="5635" max="5635" width="6.1640625" style="318" customWidth="1"/>
    <col min="5636" max="5636" width="7.5" style="318" customWidth="1"/>
    <col min="5637" max="5637" width="22" style="318" customWidth="1"/>
    <col min="5638" max="5638" width="16.5" style="318" customWidth="1"/>
    <col min="5639" max="5639" width="12.6640625" style="318" customWidth="1"/>
    <col min="5640" max="5640" width="13.1640625" style="318" customWidth="1"/>
    <col min="5641" max="5641" width="9.1640625" style="318"/>
    <col min="5642" max="5642" width="21.83203125" style="318" customWidth="1"/>
    <col min="5643" max="5644" width="9.1640625" style="318"/>
    <col min="5645" max="5645" width="16.5" style="318" customWidth="1"/>
    <col min="5646" max="5646" width="9.1640625" style="318"/>
    <col min="5647" max="5647" width="12.5" style="318" customWidth="1"/>
    <col min="5648" max="5648" width="12.1640625" style="318" customWidth="1"/>
    <col min="5649" max="5888" width="9.1640625" style="318"/>
    <col min="5889" max="5889" width="4.5" style="318" customWidth="1"/>
    <col min="5890" max="5890" width="30.5" style="318" customWidth="1"/>
    <col min="5891" max="5891" width="6.1640625" style="318" customWidth="1"/>
    <col min="5892" max="5892" width="7.5" style="318" customWidth="1"/>
    <col min="5893" max="5893" width="22" style="318" customWidth="1"/>
    <col min="5894" max="5894" width="16.5" style="318" customWidth="1"/>
    <col min="5895" max="5895" width="12.6640625" style="318" customWidth="1"/>
    <col min="5896" max="5896" width="13.1640625" style="318" customWidth="1"/>
    <col min="5897" max="5897" width="9.1640625" style="318"/>
    <col min="5898" max="5898" width="21.83203125" style="318" customWidth="1"/>
    <col min="5899" max="5900" width="9.1640625" style="318"/>
    <col min="5901" max="5901" width="16.5" style="318" customWidth="1"/>
    <col min="5902" max="5902" width="9.1640625" style="318"/>
    <col min="5903" max="5903" width="12.5" style="318" customWidth="1"/>
    <col min="5904" max="5904" width="12.1640625" style="318" customWidth="1"/>
    <col min="5905" max="6144" width="9.1640625" style="318"/>
    <col min="6145" max="6145" width="4.5" style="318" customWidth="1"/>
    <col min="6146" max="6146" width="30.5" style="318" customWidth="1"/>
    <col min="6147" max="6147" width="6.1640625" style="318" customWidth="1"/>
    <col min="6148" max="6148" width="7.5" style="318" customWidth="1"/>
    <col min="6149" max="6149" width="22" style="318" customWidth="1"/>
    <col min="6150" max="6150" width="16.5" style="318" customWidth="1"/>
    <col min="6151" max="6151" width="12.6640625" style="318" customWidth="1"/>
    <col min="6152" max="6152" width="13.1640625" style="318" customWidth="1"/>
    <col min="6153" max="6153" width="9.1640625" style="318"/>
    <col min="6154" max="6154" width="21.83203125" style="318" customWidth="1"/>
    <col min="6155" max="6156" width="9.1640625" style="318"/>
    <col min="6157" max="6157" width="16.5" style="318" customWidth="1"/>
    <col min="6158" max="6158" width="9.1640625" style="318"/>
    <col min="6159" max="6159" width="12.5" style="318" customWidth="1"/>
    <col min="6160" max="6160" width="12.1640625" style="318" customWidth="1"/>
    <col min="6161" max="6400" width="9.1640625" style="318"/>
    <col min="6401" max="6401" width="4.5" style="318" customWidth="1"/>
    <col min="6402" max="6402" width="30.5" style="318" customWidth="1"/>
    <col min="6403" max="6403" width="6.1640625" style="318" customWidth="1"/>
    <col min="6404" max="6404" width="7.5" style="318" customWidth="1"/>
    <col min="6405" max="6405" width="22" style="318" customWidth="1"/>
    <col min="6406" max="6406" width="16.5" style="318" customWidth="1"/>
    <col min="6407" max="6407" width="12.6640625" style="318" customWidth="1"/>
    <col min="6408" max="6408" width="13.1640625" style="318" customWidth="1"/>
    <col min="6409" max="6409" width="9.1640625" style="318"/>
    <col min="6410" max="6410" width="21.83203125" style="318" customWidth="1"/>
    <col min="6411" max="6412" width="9.1640625" style="318"/>
    <col min="6413" max="6413" width="16.5" style="318" customWidth="1"/>
    <col min="6414" max="6414" width="9.1640625" style="318"/>
    <col min="6415" max="6415" width="12.5" style="318" customWidth="1"/>
    <col min="6416" max="6416" width="12.1640625" style="318" customWidth="1"/>
    <col min="6417" max="6656" width="9.1640625" style="318"/>
    <col min="6657" max="6657" width="4.5" style="318" customWidth="1"/>
    <col min="6658" max="6658" width="30.5" style="318" customWidth="1"/>
    <col min="6659" max="6659" width="6.1640625" style="318" customWidth="1"/>
    <col min="6660" max="6660" width="7.5" style="318" customWidth="1"/>
    <col min="6661" max="6661" width="22" style="318" customWidth="1"/>
    <col min="6662" max="6662" width="16.5" style="318" customWidth="1"/>
    <col min="6663" max="6663" width="12.6640625" style="318" customWidth="1"/>
    <col min="6664" max="6664" width="13.1640625" style="318" customWidth="1"/>
    <col min="6665" max="6665" width="9.1640625" style="318"/>
    <col min="6666" max="6666" width="21.83203125" style="318" customWidth="1"/>
    <col min="6667" max="6668" width="9.1640625" style="318"/>
    <col min="6669" max="6669" width="16.5" style="318" customWidth="1"/>
    <col min="6670" max="6670" width="9.1640625" style="318"/>
    <col min="6671" max="6671" width="12.5" style="318" customWidth="1"/>
    <col min="6672" max="6672" width="12.1640625" style="318" customWidth="1"/>
    <col min="6673" max="6912" width="9.1640625" style="318"/>
    <col min="6913" max="6913" width="4.5" style="318" customWidth="1"/>
    <col min="6914" max="6914" width="30.5" style="318" customWidth="1"/>
    <col min="6915" max="6915" width="6.1640625" style="318" customWidth="1"/>
    <col min="6916" max="6916" width="7.5" style="318" customWidth="1"/>
    <col min="6917" max="6917" width="22" style="318" customWidth="1"/>
    <col min="6918" max="6918" width="16.5" style="318" customWidth="1"/>
    <col min="6919" max="6919" width="12.6640625" style="318" customWidth="1"/>
    <col min="6920" max="6920" width="13.1640625" style="318" customWidth="1"/>
    <col min="6921" max="6921" width="9.1640625" style="318"/>
    <col min="6922" max="6922" width="21.83203125" style="318" customWidth="1"/>
    <col min="6923" max="6924" width="9.1640625" style="318"/>
    <col min="6925" max="6925" width="16.5" style="318" customWidth="1"/>
    <col min="6926" max="6926" width="9.1640625" style="318"/>
    <col min="6927" max="6927" width="12.5" style="318" customWidth="1"/>
    <col min="6928" max="6928" width="12.1640625" style="318" customWidth="1"/>
    <col min="6929" max="7168" width="9.1640625" style="318"/>
    <col min="7169" max="7169" width="4.5" style="318" customWidth="1"/>
    <col min="7170" max="7170" width="30.5" style="318" customWidth="1"/>
    <col min="7171" max="7171" width="6.1640625" style="318" customWidth="1"/>
    <col min="7172" max="7172" width="7.5" style="318" customWidth="1"/>
    <col min="7173" max="7173" width="22" style="318" customWidth="1"/>
    <col min="7174" max="7174" width="16.5" style="318" customWidth="1"/>
    <col min="7175" max="7175" width="12.6640625" style="318" customWidth="1"/>
    <col min="7176" max="7176" width="13.1640625" style="318" customWidth="1"/>
    <col min="7177" max="7177" width="9.1640625" style="318"/>
    <col min="7178" max="7178" width="21.83203125" style="318" customWidth="1"/>
    <col min="7179" max="7180" width="9.1640625" style="318"/>
    <col min="7181" max="7181" width="16.5" style="318" customWidth="1"/>
    <col min="7182" max="7182" width="9.1640625" style="318"/>
    <col min="7183" max="7183" width="12.5" style="318" customWidth="1"/>
    <col min="7184" max="7184" width="12.1640625" style="318" customWidth="1"/>
    <col min="7185" max="7424" width="9.1640625" style="318"/>
    <col min="7425" max="7425" width="4.5" style="318" customWidth="1"/>
    <col min="7426" max="7426" width="30.5" style="318" customWidth="1"/>
    <col min="7427" max="7427" width="6.1640625" style="318" customWidth="1"/>
    <col min="7428" max="7428" width="7.5" style="318" customWidth="1"/>
    <col min="7429" max="7429" width="22" style="318" customWidth="1"/>
    <col min="7430" max="7430" width="16.5" style="318" customWidth="1"/>
    <col min="7431" max="7431" width="12.6640625" style="318" customWidth="1"/>
    <col min="7432" max="7432" width="13.1640625" style="318" customWidth="1"/>
    <col min="7433" max="7433" width="9.1640625" style="318"/>
    <col min="7434" max="7434" width="21.83203125" style="318" customWidth="1"/>
    <col min="7435" max="7436" width="9.1640625" style="318"/>
    <col min="7437" max="7437" width="16.5" style="318" customWidth="1"/>
    <col min="7438" max="7438" width="9.1640625" style="318"/>
    <col min="7439" max="7439" width="12.5" style="318" customWidth="1"/>
    <col min="7440" max="7440" width="12.1640625" style="318" customWidth="1"/>
    <col min="7441" max="7680" width="9.1640625" style="318"/>
    <col min="7681" max="7681" width="4.5" style="318" customWidth="1"/>
    <col min="7682" max="7682" width="30.5" style="318" customWidth="1"/>
    <col min="7683" max="7683" width="6.1640625" style="318" customWidth="1"/>
    <col min="7684" max="7684" width="7.5" style="318" customWidth="1"/>
    <col min="7685" max="7685" width="22" style="318" customWidth="1"/>
    <col min="7686" max="7686" width="16.5" style="318" customWidth="1"/>
    <col min="7687" max="7687" width="12.6640625" style="318" customWidth="1"/>
    <col min="7688" max="7688" width="13.1640625" style="318" customWidth="1"/>
    <col min="7689" max="7689" width="9.1640625" style="318"/>
    <col min="7690" max="7690" width="21.83203125" style="318" customWidth="1"/>
    <col min="7691" max="7692" width="9.1640625" style="318"/>
    <col min="7693" max="7693" width="16.5" style="318" customWidth="1"/>
    <col min="7694" max="7694" width="9.1640625" style="318"/>
    <col min="7695" max="7695" width="12.5" style="318" customWidth="1"/>
    <col min="7696" max="7696" width="12.1640625" style="318" customWidth="1"/>
    <col min="7697" max="7936" width="9.1640625" style="318"/>
    <col min="7937" max="7937" width="4.5" style="318" customWidth="1"/>
    <col min="7938" max="7938" width="30.5" style="318" customWidth="1"/>
    <col min="7939" max="7939" width="6.1640625" style="318" customWidth="1"/>
    <col min="7940" max="7940" width="7.5" style="318" customWidth="1"/>
    <col min="7941" max="7941" width="22" style="318" customWidth="1"/>
    <col min="7942" max="7942" width="16.5" style="318" customWidth="1"/>
    <col min="7943" max="7943" width="12.6640625" style="318" customWidth="1"/>
    <col min="7944" max="7944" width="13.1640625" style="318" customWidth="1"/>
    <col min="7945" max="7945" width="9.1640625" style="318"/>
    <col min="7946" max="7946" width="21.83203125" style="318" customWidth="1"/>
    <col min="7947" max="7948" width="9.1640625" style="318"/>
    <col min="7949" max="7949" width="16.5" style="318" customWidth="1"/>
    <col min="7950" max="7950" width="9.1640625" style="318"/>
    <col min="7951" max="7951" width="12.5" style="318" customWidth="1"/>
    <col min="7952" max="7952" width="12.1640625" style="318" customWidth="1"/>
    <col min="7953" max="8192" width="9.1640625" style="318"/>
    <col min="8193" max="8193" width="4.5" style="318" customWidth="1"/>
    <col min="8194" max="8194" width="30.5" style="318" customWidth="1"/>
    <col min="8195" max="8195" width="6.1640625" style="318" customWidth="1"/>
    <col min="8196" max="8196" width="7.5" style="318" customWidth="1"/>
    <col min="8197" max="8197" width="22" style="318" customWidth="1"/>
    <col min="8198" max="8198" width="16.5" style="318" customWidth="1"/>
    <col min="8199" max="8199" width="12.6640625" style="318" customWidth="1"/>
    <col min="8200" max="8200" width="13.1640625" style="318" customWidth="1"/>
    <col min="8201" max="8201" width="9.1640625" style="318"/>
    <col min="8202" max="8202" width="21.83203125" style="318" customWidth="1"/>
    <col min="8203" max="8204" width="9.1640625" style="318"/>
    <col min="8205" max="8205" width="16.5" style="318" customWidth="1"/>
    <col min="8206" max="8206" width="9.1640625" style="318"/>
    <col min="8207" max="8207" width="12.5" style="318" customWidth="1"/>
    <col min="8208" max="8208" width="12.1640625" style="318" customWidth="1"/>
    <col min="8209" max="8448" width="9.1640625" style="318"/>
    <col min="8449" max="8449" width="4.5" style="318" customWidth="1"/>
    <col min="8450" max="8450" width="30.5" style="318" customWidth="1"/>
    <col min="8451" max="8451" width="6.1640625" style="318" customWidth="1"/>
    <col min="8452" max="8452" width="7.5" style="318" customWidth="1"/>
    <col min="8453" max="8453" width="22" style="318" customWidth="1"/>
    <col min="8454" max="8454" width="16.5" style="318" customWidth="1"/>
    <col min="8455" max="8455" width="12.6640625" style="318" customWidth="1"/>
    <col min="8456" max="8456" width="13.1640625" style="318" customWidth="1"/>
    <col min="8457" max="8457" width="9.1640625" style="318"/>
    <col min="8458" max="8458" width="21.83203125" style="318" customWidth="1"/>
    <col min="8459" max="8460" width="9.1640625" style="318"/>
    <col min="8461" max="8461" width="16.5" style="318" customWidth="1"/>
    <col min="8462" max="8462" width="9.1640625" style="318"/>
    <col min="8463" max="8463" width="12.5" style="318" customWidth="1"/>
    <col min="8464" max="8464" width="12.1640625" style="318" customWidth="1"/>
    <col min="8465" max="8704" width="9.1640625" style="318"/>
    <col min="8705" max="8705" width="4.5" style="318" customWidth="1"/>
    <col min="8706" max="8706" width="30.5" style="318" customWidth="1"/>
    <col min="8707" max="8707" width="6.1640625" style="318" customWidth="1"/>
    <col min="8708" max="8708" width="7.5" style="318" customWidth="1"/>
    <col min="8709" max="8709" width="22" style="318" customWidth="1"/>
    <col min="8710" max="8710" width="16.5" style="318" customWidth="1"/>
    <col min="8711" max="8711" width="12.6640625" style="318" customWidth="1"/>
    <col min="8712" max="8712" width="13.1640625" style="318" customWidth="1"/>
    <col min="8713" max="8713" width="9.1640625" style="318"/>
    <col min="8714" max="8714" width="21.83203125" style="318" customWidth="1"/>
    <col min="8715" max="8716" width="9.1640625" style="318"/>
    <col min="8717" max="8717" width="16.5" style="318" customWidth="1"/>
    <col min="8718" max="8718" width="9.1640625" style="318"/>
    <col min="8719" max="8719" width="12.5" style="318" customWidth="1"/>
    <col min="8720" max="8720" width="12.1640625" style="318" customWidth="1"/>
    <col min="8721" max="8960" width="9.1640625" style="318"/>
    <col min="8961" max="8961" width="4.5" style="318" customWidth="1"/>
    <col min="8962" max="8962" width="30.5" style="318" customWidth="1"/>
    <col min="8963" max="8963" width="6.1640625" style="318" customWidth="1"/>
    <col min="8964" max="8964" width="7.5" style="318" customWidth="1"/>
    <col min="8965" max="8965" width="22" style="318" customWidth="1"/>
    <col min="8966" max="8966" width="16.5" style="318" customWidth="1"/>
    <col min="8967" max="8967" width="12.6640625" style="318" customWidth="1"/>
    <col min="8968" max="8968" width="13.1640625" style="318" customWidth="1"/>
    <col min="8969" max="8969" width="9.1640625" style="318"/>
    <col min="8970" max="8970" width="21.83203125" style="318" customWidth="1"/>
    <col min="8971" max="8972" width="9.1640625" style="318"/>
    <col min="8973" max="8973" width="16.5" style="318" customWidth="1"/>
    <col min="8974" max="8974" width="9.1640625" style="318"/>
    <col min="8975" max="8975" width="12.5" style="318" customWidth="1"/>
    <col min="8976" max="8976" width="12.1640625" style="318" customWidth="1"/>
    <col min="8977" max="9216" width="9.1640625" style="318"/>
    <col min="9217" max="9217" width="4.5" style="318" customWidth="1"/>
    <col min="9218" max="9218" width="30.5" style="318" customWidth="1"/>
    <col min="9219" max="9219" width="6.1640625" style="318" customWidth="1"/>
    <col min="9220" max="9220" width="7.5" style="318" customWidth="1"/>
    <col min="9221" max="9221" width="22" style="318" customWidth="1"/>
    <col min="9222" max="9222" width="16.5" style="318" customWidth="1"/>
    <col min="9223" max="9223" width="12.6640625" style="318" customWidth="1"/>
    <col min="9224" max="9224" width="13.1640625" style="318" customWidth="1"/>
    <col min="9225" max="9225" width="9.1640625" style="318"/>
    <col min="9226" max="9226" width="21.83203125" style="318" customWidth="1"/>
    <col min="9227" max="9228" width="9.1640625" style="318"/>
    <col min="9229" max="9229" width="16.5" style="318" customWidth="1"/>
    <col min="9230" max="9230" width="9.1640625" style="318"/>
    <col min="9231" max="9231" width="12.5" style="318" customWidth="1"/>
    <col min="9232" max="9232" width="12.1640625" style="318" customWidth="1"/>
    <col min="9233" max="9472" width="9.1640625" style="318"/>
    <col min="9473" max="9473" width="4.5" style="318" customWidth="1"/>
    <col min="9474" max="9474" width="30.5" style="318" customWidth="1"/>
    <col min="9475" max="9475" width="6.1640625" style="318" customWidth="1"/>
    <col min="9476" max="9476" width="7.5" style="318" customWidth="1"/>
    <col min="9477" max="9477" width="22" style="318" customWidth="1"/>
    <col min="9478" max="9478" width="16.5" style="318" customWidth="1"/>
    <col min="9479" max="9479" width="12.6640625" style="318" customWidth="1"/>
    <col min="9480" max="9480" width="13.1640625" style="318" customWidth="1"/>
    <col min="9481" max="9481" width="9.1640625" style="318"/>
    <col min="9482" max="9482" width="21.83203125" style="318" customWidth="1"/>
    <col min="9483" max="9484" width="9.1640625" style="318"/>
    <col min="9485" max="9485" width="16.5" style="318" customWidth="1"/>
    <col min="9486" max="9486" width="9.1640625" style="318"/>
    <col min="9487" max="9487" width="12.5" style="318" customWidth="1"/>
    <col min="9488" max="9488" width="12.1640625" style="318" customWidth="1"/>
    <col min="9489" max="9728" width="9.1640625" style="318"/>
    <col min="9729" max="9729" width="4.5" style="318" customWidth="1"/>
    <col min="9730" max="9730" width="30.5" style="318" customWidth="1"/>
    <col min="9731" max="9731" width="6.1640625" style="318" customWidth="1"/>
    <col min="9732" max="9732" width="7.5" style="318" customWidth="1"/>
    <col min="9733" max="9733" width="22" style="318" customWidth="1"/>
    <col min="9734" max="9734" width="16.5" style="318" customWidth="1"/>
    <col min="9735" max="9735" width="12.6640625" style="318" customWidth="1"/>
    <col min="9736" max="9736" width="13.1640625" style="318" customWidth="1"/>
    <col min="9737" max="9737" width="9.1640625" style="318"/>
    <col min="9738" max="9738" width="21.83203125" style="318" customWidth="1"/>
    <col min="9739" max="9740" width="9.1640625" style="318"/>
    <col min="9741" max="9741" width="16.5" style="318" customWidth="1"/>
    <col min="9742" max="9742" width="9.1640625" style="318"/>
    <col min="9743" max="9743" width="12.5" style="318" customWidth="1"/>
    <col min="9744" max="9744" width="12.1640625" style="318" customWidth="1"/>
    <col min="9745" max="9984" width="9.1640625" style="318"/>
    <col min="9985" max="9985" width="4.5" style="318" customWidth="1"/>
    <col min="9986" max="9986" width="30.5" style="318" customWidth="1"/>
    <col min="9987" max="9987" width="6.1640625" style="318" customWidth="1"/>
    <col min="9988" max="9988" width="7.5" style="318" customWidth="1"/>
    <col min="9989" max="9989" width="22" style="318" customWidth="1"/>
    <col min="9990" max="9990" width="16.5" style="318" customWidth="1"/>
    <col min="9991" max="9991" width="12.6640625" style="318" customWidth="1"/>
    <col min="9992" max="9992" width="13.1640625" style="318" customWidth="1"/>
    <col min="9993" max="9993" width="9.1640625" style="318"/>
    <col min="9994" max="9994" width="21.83203125" style="318" customWidth="1"/>
    <col min="9995" max="9996" width="9.1640625" style="318"/>
    <col min="9997" max="9997" width="16.5" style="318" customWidth="1"/>
    <col min="9998" max="9998" width="9.1640625" style="318"/>
    <col min="9999" max="9999" width="12.5" style="318" customWidth="1"/>
    <col min="10000" max="10000" width="12.1640625" style="318" customWidth="1"/>
    <col min="10001" max="10240" width="9.1640625" style="318"/>
    <col min="10241" max="10241" width="4.5" style="318" customWidth="1"/>
    <col min="10242" max="10242" width="30.5" style="318" customWidth="1"/>
    <col min="10243" max="10243" width="6.1640625" style="318" customWidth="1"/>
    <col min="10244" max="10244" width="7.5" style="318" customWidth="1"/>
    <col min="10245" max="10245" width="22" style="318" customWidth="1"/>
    <col min="10246" max="10246" width="16.5" style="318" customWidth="1"/>
    <col min="10247" max="10247" width="12.6640625" style="318" customWidth="1"/>
    <col min="10248" max="10248" width="13.1640625" style="318" customWidth="1"/>
    <col min="10249" max="10249" width="9.1640625" style="318"/>
    <col min="10250" max="10250" width="21.83203125" style="318" customWidth="1"/>
    <col min="10251" max="10252" width="9.1640625" style="318"/>
    <col min="10253" max="10253" width="16.5" style="318" customWidth="1"/>
    <col min="10254" max="10254" width="9.1640625" style="318"/>
    <col min="10255" max="10255" width="12.5" style="318" customWidth="1"/>
    <col min="10256" max="10256" width="12.1640625" style="318" customWidth="1"/>
    <col min="10257" max="10496" width="9.1640625" style="318"/>
    <col min="10497" max="10497" width="4.5" style="318" customWidth="1"/>
    <col min="10498" max="10498" width="30.5" style="318" customWidth="1"/>
    <col min="10499" max="10499" width="6.1640625" style="318" customWidth="1"/>
    <col min="10500" max="10500" width="7.5" style="318" customWidth="1"/>
    <col min="10501" max="10501" width="22" style="318" customWidth="1"/>
    <col min="10502" max="10502" width="16.5" style="318" customWidth="1"/>
    <col min="10503" max="10503" width="12.6640625" style="318" customWidth="1"/>
    <col min="10504" max="10504" width="13.1640625" style="318" customWidth="1"/>
    <col min="10505" max="10505" width="9.1640625" style="318"/>
    <col min="10506" max="10506" width="21.83203125" style="318" customWidth="1"/>
    <col min="10507" max="10508" width="9.1640625" style="318"/>
    <col min="10509" max="10509" width="16.5" style="318" customWidth="1"/>
    <col min="10510" max="10510" width="9.1640625" style="318"/>
    <col min="10511" max="10511" width="12.5" style="318" customWidth="1"/>
    <col min="10512" max="10512" width="12.1640625" style="318" customWidth="1"/>
    <col min="10513" max="10752" width="9.1640625" style="318"/>
    <col min="10753" max="10753" width="4.5" style="318" customWidth="1"/>
    <col min="10754" max="10754" width="30.5" style="318" customWidth="1"/>
    <col min="10755" max="10755" width="6.1640625" style="318" customWidth="1"/>
    <col min="10756" max="10756" width="7.5" style="318" customWidth="1"/>
    <col min="10757" max="10757" width="22" style="318" customWidth="1"/>
    <col min="10758" max="10758" width="16.5" style="318" customWidth="1"/>
    <col min="10759" max="10759" width="12.6640625" style="318" customWidth="1"/>
    <col min="10760" max="10760" width="13.1640625" style="318" customWidth="1"/>
    <col min="10761" max="10761" width="9.1640625" style="318"/>
    <col min="10762" max="10762" width="21.83203125" style="318" customWidth="1"/>
    <col min="10763" max="10764" width="9.1640625" style="318"/>
    <col min="10765" max="10765" width="16.5" style="318" customWidth="1"/>
    <col min="10766" max="10766" width="9.1640625" style="318"/>
    <col min="10767" max="10767" width="12.5" style="318" customWidth="1"/>
    <col min="10768" max="10768" width="12.1640625" style="318" customWidth="1"/>
    <col min="10769" max="11008" width="9.1640625" style="318"/>
    <col min="11009" max="11009" width="4.5" style="318" customWidth="1"/>
    <col min="11010" max="11010" width="30.5" style="318" customWidth="1"/>
    <col min="11011" max="11011" width="6.1640625" style="318" customWidth="1"/>
    <col min="11012" max="11012" width="7.5" style="318" customWidth="1"/>
    <col min="11013" max="11013" width="22" style="318" customWidth="1"/>
    <col min="11014" max="11014" width="16.5" style="318" customWidth="1"/>
    <col min="11015" max="11015" width="12.6640625" style="318" customWidth="1"/>
    <col min="11016" max="11016" width="13.1640625" style="318" customWidth="1"/>
    <col min="11017" max="11017" width="9.1640625" style="318"/>
    <col min="11018" max="11018" width="21.83203125" style="318" customWidth="1"/>
    <col min="11019" max="11020" width="9.1640625" style="318"/>
    <col min="11021" max="11021" width="16.5" style="318" customWidth="1"/>
    <col min="11022" max="11022" width="9.1640625" style="318"/>
    <col min="11023" max="11023" width="12.5" style="318" customWidth="1"/>
    <col min="11024" max="11024" width="12.1640625" style="318" customWidth="1"/>
    <col min="11025" max="11264" width="9.1640625" style="318"/>
    <col min="11265" max="11265" width="4.5" style="318" customWidth="1"/>
    <col min="11266" max="11266" width="30.5" style="318" customWidth="1"/>
    <col min="11267" max="11267" width="6.1640625" style="318" customWidth="1"/>
    <col min="11268" max="11268" width="7.5" style="318" customWidth="1"/>
    <col min="11269" max="11269" width="22" style="318" customWidth="1"/>
    <col min="11270" max="11270" width="16.5" style="318" customWidth="1"/>
    <col min="11271" max="11271" width="12.6640625" style="318" customWidth="1"/>
    <col min="11272" max="11272" width="13.1640625" style="318" customWidth="1"/>
    <col min="11273" max="11273" width="9.1640625" style="318"/>
    <col min="11274" max="11274" width="21.83203125" style="318" customWidth="1"/>
    <col min="11275" max="11276" width="9.1640625" style="318"/>
    <col min="11277" max="11277" width="16.5" style="318" customWidth="1"/>
    <col min="11278" max="11278" width="9.1640625" style="318"/>
    <col min="11279" max="11279" width="12.5" style="318" customWidth="1"/>
    <col min="11280" max="11280" width="12.1640625" style="318" customWidth="1"/>
    <col min="11281" max="11520" width="9.1640625" style="318"/>
    <col min="11521" max="11521" width="4.5" style="318" customWidth="1"/>
    <col min="11522" max="11522" width="30.5" style="318" customWidth="1"/>
    <col min="11523" max="11523" width="6.1640625" style="318" customWidth="1"/>
    <col min="11524" max="11524" width="7.5" style="318" customWidth="1"/>
    <col min="11525" max="11525" width="22" style="318" customWidth="1"/>
    <col min="11526" max="11526" width="16.5" style="318" customWidth="1"/>
    <col min="11527" max="11527" width="12.6640625" style="318" customWidth="1"/>
    <col min="11528" max="11528" width="13.1640625" style="318" customWidth="1"/>
    <col min="11529" max="11529" width="9.1640625" style="318"/>
    <col min="11530" max="11530" width="21.83203125" style="318" customWidth="1"/>
    <col min="11531" max="11532" width="9.1640625" style="318"/>
    <col min="11533" max="11533" width="16.5" style="318" customWidth="1"/>
    <col min="11534" max="11534" width="9.1640625" style="318"/>
    <col min="11535" max="11535" width="12.5" style="318" customWidth="1"/>
    <col min="11536" max="11536" width="12.1640625" style="318" customWidth="1"/>
    <col min="11537" max="11776" width="9.1640625" style="318"/>
    <col min="11777" max="11777" width="4.5" style="318" customWidth="1"/>
    <col min="11778" max="11778" width="30.5" style="318" customWidth="1"/>
    <col min="11779" max="11779" width="6.1640625" style="318" customWidth="1"/>
    <col min="11780" max="11780" width="7.5" style="318" customWidth="1"/>
    <col min="11781" max="11781" width="22" style="318" customWidth="1"/>
    <col min="11782" max="11782" width="16.5" style="318" customWidth="1"/>
    <col min="11783" max="11783" width="12.6640625" style="318" customWidth="1"/>
    <col min="11784" max="11784" width="13.1640625" style="318" customWidth="1"/>
    <col min="11785" max="11785" width="9.1640625" style="318"/>
    <col min="11786" max="11786" width="21.83203125" style="318" customWidth="1"/>
    <col min="11787" max="11788" width="9.1640625" style="318"/>
    <col min="11789" max="11789" width="16.5" style="318" customWidth="1"/>
    <col min="11790" max="11790" width="9.1640625" style="318"/>
    <col min="11791" max="11791" width="12.5" style="318" customWidth="1"/>
    <col min="11792" max="11792" width="12.1640625" style="318" customWidth="1"/>
    <col min="11793" max="12032" width="9.1640625" style="318"/>
    <col min="12033" max="12033" width="4.5" style="318" customWidth="1"/>
    <col min="12034" max="12034" width="30.5" style="318" customWidth="1"/>
    <col min="12035" max="12035" width="6.1640625" style="318" customWidth="1"/>
    <col min="12036" max="12036" width="7.5" style="318" customWidth="1"/>
    <col min="12037" max="12037" width="22" style="318" customWidth="1"/>
    <col min="12038" max="12038" width="16.5" style="318" customWidth="1"/>
    <col min="12039" max="12039" width="12.6640625" style="318" customWidth="1"/>
    <col min="12040" max="12040" width="13.1640625" style="318" customWidth="1"/>
    <col min="12041" max="12041" width="9.1640625" style="318"/>
    <col min="12042" max="12042" width="21.83203125" style="318" customWidth="1"/>
    <col min="12043" max="12044" width="9.1640625" style="318"/>
    <col min="12045" max="12045" width="16.5" style="318" customWidth="1"/>
    <col min="12046" max="12046" width="9.1640625" style="318"/>
    <col min="12047" max="12047" width="12.5" style="318" customWidth="1"/>
    <col min="12048" max="12048" width="12.1640625" style="318" customWidth="1"/>
    <col min="12049" max="12288" width="9.1640625" style="318"/>
    <col min="12289" max="12289" width="4.5" style="318" customWidth="1"/>
    <col min="12290" max="12290" width="30.5" style="318" customWidth="1"/>
    <col min="12291" max="12291" width="6.1640625" style="318" customWidth="1"/>
    <col min="12292" max="12292" width="7.5" style="318" customWidth="1"/>
    <col min="12293" max="12293" width="22" style="318" customWidth="1"/>
    <col min="12294" max="12294" width="16.5" style="318" customWidth="1"/>
    <col min="12295" max="12295" width="12.6640625" style="318" customWidth="1"/>
    <col min="12296" max="12296" width="13.1640625" style="318" customWidth="1"/>
    <col min="12297" max="12297" width="9.1640625" style="318"/>
    <col min="12298" max="12298" width="21.83203125" style="318" customWidth="1"/>
    <col min="12299" max="12300" width="9.1640625" style="318"/>
    <col min="12301" max="12301" width="16.5" style="318" customWidth="1"/>
    <col min="12302" max="12302" width="9.1640625" style="318"/>
    <col min="12303" max="12303" width="12.5" style="318" customWidth="1"/>
    <col min="12304" max="12304" width="12.1640625" style="318" customWidth="1"/>
    <col min="12305" max="12544" width="9.1640625" style="318"/>
    <col min="12545" max="12545" width="4.5" style="318" customWidth="1"/>
    <col min="12546" max="12546" width="30.5" style="318" customWidth="1"/>
    <col min="12547" max="12547" width="6.1640625" style="318" customWidth="1"/>
    <col min="12548" max="12548" width="7.5" style="318" customWidth="1"/>
    <col min="12549" max="12549" width="22" style="318" customWidth="1"/>
    <col min="12550" max="12550" width="16.5" style="318" customWidth="1"/>
    <col min="12551" max="12551" width="12.6640625" style="318" customWidth="1"/>
    <col min="12552" max="12552" width="13.1640625" style="318" customWidth="1"/>
    <col min="12553" max="12553" width="9.1640625" style="318"/>
    <col min="12554" max="12554" width="21.83203125" style="318" customWidth="1"/>
    <col min="12555" max="12556" width="9.1640625" style="318"/>
    <col min="12557" max="12557" width="16.5" style="318" customWidth="1"/>
    <col min="12558" max="12558" width="9.1640625" style="318"/>
    <col min="12559" max="12559" width="12.5" style="318" customWidth="1"/>
    <col min="12560" max="12560" width="12.1640625" style="318" customWidth="1"/>
    <col min="12561" max="12800" width="9.1640625" style="318"/>
    <col min="12801" max="12801" width="4.5" style="318" customWidth="1"/>
    <col min="12802" max="12802" width="30.5" style="318" customWidth="1"/>
    <col min="12803" max="12803" width="6.1640625" style="318" customWidth="1"/>
    <col min="12804" max="12804" width="7.5" style="318" customWidth="1"/>
    <col min="12805" max="12805" width="22" style="318" customWidth="1"/>
    <col min="12806" max="12806" width="16.5" style="318" customWidth="1"/>
    <col min="12807" max="12807" width="12.6640625" style="318" customWidth="1"/>
    <col min="12808" max="12808" width="13.1640625" style="318" customWidth="1"/>
    <col min="12809" max="12809" width="9.1640625" style="318"/>
    <col min="12810" max="12810" width="21.83203125" style="318" customWidth="1"/>
    <col min="12811" max="12812" width="9.1640625" style="318"/>
    <col min="12813" max="12813" width="16.5" style="318" customWidth="1"/>
    <col min="12814" max="12814" width="9.1640625" style="318"/>
    <col min="12815" max="12815" width="12.5" style="318" customWidth="1"/>
    <col min="12816" max="12816" width="12.1640625" style="318" customWidth="1"/>
    <col min="12817" max="13056" width="9.1640625" style="318"/>
    <col min="13057" max="13057" width="4.5" style="318" customWidth="1"/>
    <col min="13058" max="13058" width="30.5" style="318" customWidth="1"/>
    <col min="13059" max="13059" width="6.1640625" style="318" customWidth="1"/>
    <col min="13060" max="13060" width="7.5" style="318" customWidth="1"/>
    <col min="13061" max="13061" width="22" style="318" customWidth="1"/>
    <col min="13062" max="13062" width="16.5" style="318" customWidth="1"/>
    <col min="13063" max="13063" width="12.6640625" style="318" customWidth="1"/>
    <col min="13064" max="13064" width="13.1640625" style="318" customWidth="1"/>
    <col min="13065" max="13065" width="9.1640625" style="318"/>
    <col min="13066" max="13066" width="21.83203125" style="318" customWidth="1"/>
    <col min="13067" max="13068" width="9.1640625" style="318"/>
    <col min="13069" max="13069" width="16.5" style="318" customWidth="1"/>
    <col min="13070" max="13070" width="9.1640625" style="318"/>
    <col min="13071" max="13071" width="12.5" style="318" customWidth="1"/>
    <col min="13072" max="13072" width="12.1640625" style="318" customWidth="1"/>
    <col min="13073" max="13312" width="9.1640625" style="318"/>
    <col min="13313" max="13313" width="4.5" style="318" customWidth="1"/>
    <col min="13314" max="13314" width="30.5" style="318" customWidth="1"/>
    <col min="13315" max="13315" width="6.1640625" style="318" customWidth="1"/>
    <col min="13316" max="13316" width="7.5" style="318" customWidth="1"/>
    <col min="13317" max="13317" width="22" style="318" customWidth="1"/>
    <col min="13318" max="13318" width="16.5" style="318" customWidth="1"/>
    <col min="13319" max="13319" width="12.6640625" style="318" customWidth="1"/>
    <col min="13320" max="13320" width="13.1640625" style="318" customWidth="1"/>
    <col min="13321" max="13321" width="9.1640625" style="318"/>
    <col min="13322" max="13322" width="21.83203125" style="318" customWidth="1"/>
    <col min="13323" max="13324" width="9.1640625" style="318"/>
    <col min="13325" max="13325" width="16.5" style="318" customWidth="1"/>
    <col min="13326" max="13326" width="9.1640625" style="318"/>
    <col min="13327" max="13327" width="12.5" style="318" customWidth="1"/>
    <col min="13328" max="13328" width="12.1640625" style="318" customWidth="1"/>
    <col min="13329" max="13568" width="9.1640625" style="318"/>
    <col min="13569" max="13569" width="4.5" style="318" customWidth="1"/>
    <col min="13570" max="13570" width="30.5" style="318" customWidth="1"/>
    <col min="13571" max="13571" width="6.1640625" style="318" customWidth="1"/>
    <col min="13572" max="13572" width="7.5" style="318" customWidth="1"/>
    <col min="13573" max="13573" width="22" style="318" customWidth="1"/>
    <col min="13574" max="13574" width="16.5" style="318" customWidth="1"/>
    <col min="13575" max="13575" width="12.6640625" style="318" customWidth="1"/>
    <col min="13576" max="13576" width="13.1640625" style="318" customWidth="1"/>
    <col min="13577" max="13577" width="9.1640625" style="318"/>
    <col min="13578" max="13578" width="21.83203125" style="318" customWidth="1"/>
    <col min="13579" max="13580" width="9.1640625" style="318"/>
    <col min="13581" max="13581" width="16.5" style="318" customWidth="1"/>
    <col min="13582" max="13582" width="9.1640625" style="318"/>
    <col min="13583" max="13583" width="12.5" style="318" customWidth="1"/>
    <col min="13584" max="13584" width="12.1640625" style="318" customWidth="1"/>
    <col min="13585" max="13824" width="9.1640625" style="318"/>
    <col min="13825" max="13825" width="4.5" style="318" customWidth="1"/>
    <col min="13826" max="13826" width="30.5" style="318" customWidth="1"/>
    <col min="13827" max="13827" width="6.1640625" style="318" customWidth="1"/>
    <col min="13828" max="13828" width="7.5" style="318" customWidth="1"/>
    <col min="13829" max="13829" width="22" style="318" customWidth="1"/>
    <col min="13830" max="13830" width="16.5" style="318" customWidth="1"/>
    <col min="13831" max="13831" width="12.6640625" style="318" customWidth="1"/>
    <col min="13832" max="13832" width="13.1640625" style="318" customWidth="1"/>
    <col min="13833" max="13833" width="9.1640625" style="318"/>
    <col min="13834" max="13834" width="21.83203125" style="318" customWidth="1"/>
    <col min="13835" max="13836" width="9.1640625" style="318"/>
    <col min="13837" max="13837" width="16.5" style="318" customWidth="1"/>
    <col min="13838" max="13838" width="9.1640625" style="318"/>
    <col min="13839" max="13839" width="12.5" style="318" customWidth="1"/>
    <col min="13840" max="13840" width="12.1640625" style="318" customWidth="1"/>
    <col min="13841" max="14080" width="9.1640625" style="318"/>
    <col min="14081" max="14081" width="4.5" style="318" customWidth="1"/>
    <col min="14082" max="14082" width="30.5" style="318" customWidth="1"/>
    <col min="14083" max="14083" width="6.1640625" style="318" customWidth="1"/>
    <col min="14084" max="14084" width="7.5" style="318" customWidth="1"/>
    <col min="14085" max="14085" width="22" style="318" customWidth="1"/>
    <col min="14086" max="14086" width="16.5" style="318" customWidth="1"/>
    <col min="14087" max="14087" width="12.6640625" style="318" customWidth="1"/>
    <col min="14088" max="14088" width="13.1640625" style="318" customWidth="1"/>
    <col min="14089" max="14089" width="9.1640625" style="318"/>
    <col min="14090" max="14090" width="21.83203125" style="318" customWidth="1"/>
    <col min="14091" max="14092" width="9.1640625" style="318"/>
    <col min="14093" max="14093" width="16.5" style="318" customWidth="1"/>
    <col min="14094" max="14094" width="9.1640625" style="318"/>
    <col min="14095" max="14095" width="12.5" style="318" customWidth="1"/>
    <col min="14096" max="14096" width="12.1640625" style="318" customWidth="1"/>
    <col min="14097" max="14336" width="9.1640625" style="318"/>
    <col min="14337" max="14337" width="4.5" style="318" customWidth="1"/>
    <col min="14338" max="14338" width="30.5" style="318" customWidth="1"/>
    <col min="14339" max="14339" width="6.1640625" style="318" customWidth="1"/>
    <col min="14340" max="14340" width="7.5" style="318" customWidth="1"/>
    <col min="14341" max="14341" width="22" style="318" customWidth="1"/>
    <col min="14342" max="14342" width="16.5" style="318" customWidth="1"/>
    <col min="14343" max="14343" width="12.6640625" style="318" customWidth="1"/>
    <col min="14344" max="14344" width="13.1640625" style="318" customWidth="1"/>
    <col min="14345" max="14345" width="9.1640625" style="318"/>
    <col min="14346" max="14346" width="21.83203125" style="318" customWidth="1"/>
    <col min="14347" max="14348" width="9.1640625" style="318"/>
    <col min="14349" max="14349" width="16.5" style="318" customWidth="1"/>
    <col min="14350" max="14350" width="9.1640625" style="318"/>
    <col min="14351" max="14351" width="12.5" style="318" customWidth="1"/>
    <col min="14352" max="14352" width="12.1640625" style="318" customWidth="1"/>
    <col min="14353" max="14592" width="9.1640625" style="318"/>
    <col min="14593" max="14593" width="4.5" style="318" customWidth="1"/>
    <col min="14594" max="14594" width="30.5" style="318" customWidth="1"/>
    <col min="14595" max="14595" width="6.1640625" style="318" customWidth="1"/>
    <col min="14596" max="14596" width="7.5" style="318" customWidth="1"/>
    <col min="14597" max="14597" width="22" style="318" customWidth="1"/>
    <col min="14598" max="14598" width="16.5" style="318" customWidth="1"/>
    <col min="14599" max="14599" width="12.6640625" style="318" customWidth="1"/>
    <col min="14600" max="14600" width="13.1640625" style="318" customWidth="1"/>
    <col min="14601" max="14601" width="9.1640625" style="318"/>
    <col min="14602" max="14602" width="21.83203125" style="318" customWidth="1"/>
    <col min="14603" max="14604" width="9.1640625" style="318"/>
    <col min="14605" max="14605" width="16.5" style="318" customWidth="1"/>
    <col min="14606" max="14606" width="9.1640625" style="318"/>
    <col min="14607" max="14607" width="12.5" style="318" customWidth="1"/>
    <col min="14608" max="14608" width="12.1640625" style="318" customWidth="1"/>
    <col min="14609" max="14848" width="9.1640625" style="318"/>
    <col min="14849" max="14849" width="4.5" style="318" customWidth="1"/>
    <col min="14850" max="14850" width="30.5" style="318" customWidth="1"/>
    <col min="14851" max="14851" width="6.1640625" style="318" customWidth="1"/>
    <col min="14852" max="14852" width="7.5" style="318" customWidth="1"/>
    <col min="14853" max="14853" width="22" style="318" customWidth="1"/>
    <col min="14854" max="14854" width="16.5" style="318" customWidth="1"/>
    <col min="14855" max="14855" width="12.6640625" style="318" customWidth="1"/>
    <col min="14856" max="14856" width="13.1640625" style="318" customWidth="1"/>
    <col min="14857" max="14857" width="9.1640625" style="318"/>
    <col min="14858" max="14858" width="21.83203125" style="318" customWidth="1"/>
    <col min="14859" max="14860" width="9.1640625" style="318"/>
    <col min="14861" max="14861" width="16.5" style="318" customWidth="1"/>
    <col min="14862" max="14862" width="9.1640625" style="318"/>
    <col min="14863" max="14863" width="12.5" style="318" customWidth="1"/>
    <col min="14864" max="14864" width="12.1640625" style="318" customWidth="1"/>
    <col min="14865" max="15104" width="9.1640625" style="318"/>
    <col min="15105" max="15105" width="4.5" style="318" customWidth="1"/>
    <col min="15106" max="15106" width="30.5" style="318" customWidth="1"/>
    <col min="15107" max="15107" width="6.1640625" style="318" customWidth="1"/>
    <col min="15108" max="15108" width="7.5" style="318" customWidth="1"/>
    <col min="15109" max="15109" width="22" style="318" customWidth="1"/>
    <col min="15110" max="15110" width="16.5" style="318" customWidth="1"/>
    <col min="15111" max="15111" width="12.6640625" style="318" customWidth="1"/>
    <col min="15112" max="15112" width="13.1640625" style="318" customWidth="1"/>
    <col min="15113" max="15113" width="9.1640625" style="318"/>
    <col min="15114" max="15114" width="21.83203125" style="318" customWidth="1"/>
    <col min="15115" max="15116" width="9.1640625" style="318"/>
    <col min="15117" max="15117" width="16.5" style="318" customWidth="1"/>
    <col min="15118" max="15118" width="9.1640625" style="318"/>
    <col min="15119" max="15119" width="12.5" style="318" customWidth="1"/>
    <col min="15120" max="15120" width="12.1640625" style="318" customWidth="1"/>
    <col min="15121" max="15360" width="9.1640625" style="318"/>
    <col min="15361" max="15361" width="4.5" style="318" customWidth="1"/>
    <col min="15362" max="15362" width="30.5" style="318" customWidth="1"/>
    <col min="15363" max="15363" width="6.1640625" style="318" customWidth="1"/>
    <col min="15364" max="15364" width="7.5" style="318" customWidth="1"/>
    <col min="15365" max="15365" width="22" style="318" customWidth="1"/>
    <col min="15366" max="15366" width="16.5" style="318" customWidth="1"/>
    <col min="15367" max="15367" width="12.6640625" style="318" customWidth="1"/>
    <col min="15368" max="15368" width="13.1640625" style="318" customWidth="1"/>
    <col min="15369" max="15369" width="9.1640625" style="318"/>
    <col min="15370" max="15370" width="21.83203125" style="318" customWidth="1"/>
    <col min="15371" max="15372" width="9.1640625" style="318"/>
    <col min="15373" max="15373" width="16.5" style="318" customWidth="1"/>
    <col min="15374" max="15374" width="9.1640625" style="318"/>
    <col min="15375" max="15375" width="12.5" style="318" customWidth="1"/>
    <col min="15376" max="15376" width="12.1640625" style="318" customWidth="1"/>
    <col min="15377" max="15616" width="9.1640625" style="318"/>
    <col min="15617" max="15617" width="4.5" style="318" customWidth="1"/>
    <col min="15618" max="15618" width="30.5" style="318" customWidth="1"/>
    <col min="15619" max="15619" width="6.1640625" style="318" customWidth="1"/>
    <col min="15620" max="15620" width="7.5" style="318" customWidth="1"/>
    <col min="15621" max="15621" width="22" style="318" customWidth="1"/>
    <col min="15622" max="15622" width="16.5" style="318" customWidth="1"/>
    <col min="15623" max="15623" width="12.6640625" style="318" customWidth="1"/>
    <col min="15624" max="15624" width="13.1640625" style="318" customWidth="1"/>
    <col min="15625" max="15625" width="9.1640625" style="318"/>
    <col min="15626" max="15626" width="21.83203125" style="318" customWidth="1"/>
    <col min="15627" max="15628" width="9.1640625" style="318"/>
    <col min="15629" max="15629" width="16.5" style="318" customWidth="1"/>
    <col min="15630" max="15630" width="9.1640625" style="318"/>
    <col min="15631" max="15631" width="12.5" style="318" customWidth="1"/>
    <col min="15632" max="15632" width="12.1640625" style="318" customWidth="1"/>
    <col min="15633" max="15872" width="9.1640625" style="318"/>
    <col min="15873" max="15873" width="4.5" style="318" customWidth="1"/>
    <col min="15874" max="15874" width="30.5" style="318" customWidth="1"/>
    <col min="15875" max="15875" width="6.1640625" style="318" customWidth="1"/>
    <col min="15876" max="15876" width="7.5" style="318" customWidth="1"/>
    <col min="15877" max="15877" width="22" style="318" customWidth="1"/>
    <col min="15878" max="15878" width="16.5" style="318" customWidth="1"/>
    <col min="15879" max="15879" width="12.6640625" style="318" customWidth="1"/>
    <col min="15880" max="15880" width="13.1640625" style="318" customWidth="1"/>
    <col min="15881" max="15881" width="9.1640625" style="318"/>
    <col min="15882" max="15882" width="21.83203125" style="318" customWidth="1"/>
    <col min="15883" max="15884" width="9.1640625" style="318"/>
    <col min="15885" max="15885" width="16.5" style="318" customWidth="1"/>
    <col min="15886" max="15886" width="9.1640625" style="318"/>
    <col min="15887" max="15887" width="12.5" style="318" customWidth="1"/>
    <col min="15888" max="15888" width="12.1640625" style="318" customWidth="1"/>
    <col min="15889" max="16128" width="9.1640625" style="318"/>
    <col min="16129" max="16129" width="4.5" style="318" customWidth="1"/>
    <col min="16130" max="16130" width="30.5" style="318" customWidth="1"/>
    <col min="16131" max="16131" width="6.1640625" style="318" customWidth="1"/>
    <col min="16132" max="16132" width="7.5" style="318" customWidth="1"/>
    <col min="16133" max="16133" width="22" style="318" customWidth="1"/>
    <col min="16134" max="16134" width="16.5" style="318" customWidth="1"/>
    <col min="16135" max="16135" width="12.6640625" style="318" customWidth="1"/>
    <col min="16136" max="16136" width="13.1640625" style="318" customWidth="1"/>
    <col min="16137" max="16137" width="9.1640625" style="318"/>
    <col min="16138" max="16138" width="21.83203125" style="318" customWidth="1"/>
    <col min="16139" max="16140" width="9.1640625" style="318"/>
    <col min="16141" max="16141" width="16.5" style="318" customWidth="1"/>
    <col min="16142" max="16142" width="9.1640625" style="318"/>
    <col min="16143" max="16143" width="12.5" style="318" customWidth="1"/>
    <col min="16144" max="16144" width="12.1640625" style="318" customWidth="1"/>
    <col min="16145" max="16384" width="9.1640625" style="318"/>
  </cols>
  <sheetData>
    <row r="1" spans="1:9">
      <c r="A1" s="830" t="s">
        <v>419</v>
      </c>
      <c r="B1" s="830"/>
      <c r="C1" s="830"/>
      <c r="D1" s="830"/>
      <c r="E1" s="830"/>
      <c r="F1" s="830"/>
      <c r="G1" s="830"/>
    </row>
    <row r="2" spans="1:9" ht="14">
      <c r="A2" s="831" t="s">
        <v>420</v>
      </c>
      <c r="B2" s="831"/>
      <c r="C2" s="831"/>
      <c r="D2" s="831"/>
      <c r="E2" s="831"/>
      <c r="F2" s="831"/>
      <c r="G2" s="831"/>
    </row>
    <row r="3" spans="1:9" s="1" customFormat="1" ht="27" customHeight="1">
      <c r="A3" s="791" t="s">
        <v>916</v>
      </c>
      <c r="B3" s="791"/>
      <c r="C3" s="791"/>
      <c r="D3" s="791"/>
      <c r="E3" s="791"/>
      <c r="F3" s="791"/>
    </row>
    <row r="4" spans="1:9" s="1" customFormat="1" ht="14">
      <c r="A4" s="796" t="s">
        <v>421</v>
      </c>
      <c r="B4" s="796"/>
      <c r="C4" s="796"/>
      <c r="D4" s="796"/>
      <c r="E4" s="796"/>
      <c r="F4" s="796"/>
    </row>
    <row r="5" spans="1:9" s="1" customFormat="1" ht="14">
      <c r="A5" s="16" t="s">
        <v>291</v>
      </c>
      <c r="B5" s="17"/>
      <c r="C5" s="17"/>
      <c r="D5" s="17"/>
      <c r="E5" s="17"/>
      <c r="F5" s="17"/>
    </row>
    <row r="6" spans="1:9" s="1" customFormat="1" ht="14">
      <c r="A6" s="16" t="s">
        <v>149</v>
      </c>
      <c r="B6" s="16"/>
      <c r="C6" s="18"/>
      <c r="D6" s="18"/>
      <c r="E6" s="18"/>
      <c r="F6" s="4"/>
    </row>
    <row r="7" spans="1:9" s="1" customFormat="1" ht="14">
      <c r="A7" s="16" t="s">
        <v>923</v>
      </c>
      <c r="B7" s="16"/>
      <c r="C7" s="19"/>
      <c r="D7" s="16"/>
      <c r="E7" s="16"/>
      <c r="F7" s="4"/>
    </row>
    <row r="8" spans="1:9" s="1" customFormat="1" ht="14">
      <c r="A8" s="16"/>
      <c r="B8" s="16"/>
      <c r="C8" s="19"/>
      <c r="D8" s="16"/>
      <c r="E8" s="16"/>
      <c r="F8" s="4"/>
    </row>
    <row r="9" spans="1:9" ht="45">
      <c r="A9" s="668" t="s">
        <v>0</v>
      </c>
      <c r="B9" s="668" t="s">
        <v>304</v>
      </c>
      <c r="C9" s="668" t="s">
        <v>422</v>
      </c>
      <c r="D9" s="668" t="s">
        <v>309</v>
      </c>
      <c r="E9" s="668" t="s">
        <v>306</v>
      </c>
      <c r="F9" s="668" t="s">
        <v>307</v>
      </c>
      <c r="G9" s="668" t="s">
        <v>308</v>
      </c>
      <c r="I9" s="320"/>
    </row>
    <row r="10" spans="1:9" s="321" customFormat="1" ht="11">
      <c r="A10" s="669">
        <v>1</v>
      </c>
      <c r="B10" s="669">
        <v>2</v>
      </c>
      <c r="C10" s="669">
        <v>3</v>
      </c>
      <c r="D10" s="669">
        <v>4</v>
      </c>
      <c r="E10" s="669">
        <v>5</v>
      </c>
      <c r="F10" s="669">
        <v>6</v>
      </c>
      <c r="G10" s="669">
        <v>7</v>
      </c>
      <c r="I10" s="322"/>
    </row>
    <row r="11" spans="1:9" ht="18.75" customHeight="1">
      <c r="A11" s="832" t="s">
        <v>322</v>
      </c>
      <c r="B11" s="832"/>
      <c r="C11" s="832"/>
      <c r="D11" s="832"/>
      <c r="E11" s="832"/>
      <c r="F11" s="832"/>
      <c r="G11" s="832"/>
      <c r="I11" s="320"/>
    </row>
    <row r="12" spans="1:9" ht="60">
      <c r="A12" s="323">
        <v>1</v>
      </c>
      <c r="B12" s="324" t="s">
        <v>878</v>
      </c>
      <c r="C12" s="325" t="s">
        <v>423</v>
      </c>
      <c r="D12" s="326" t="s">
        <v>140</v>
      </c>
      <c r="E12" s="324" t="s">
        <v>876</v>
      </c>
      <c r="F12" s="325" t="s">
        <v>877</v>
      </c>
      <c r="G12" s="327">
        <f>ROUND(2432*1.2*1.25*1.3*D12,2)</f>
        <v>56908.800000000003</v>
      </c>
      <c r="I12" s="328"/>
    </row>
    <row r="13" spans="1:9" ht="94.5" customHeight="1">
      <c r="A13" s="323">
        <v>2</v>
      </c>
      <c r="B13" s="324" t="s">
        <v>424</v>
      </c>
      <c r="C13" s="325" t="s">
        <v>425</v>
      </c>
      <c r="D13" s="329" t="s">
        <v>40</v>
      </c>
      <c r="E13" s="324" t="s">
        <v>426</v>
      </c>
      <c r="F13" s="330" t="s">
        <v>427</v>
      </c>
      <c r="G13" s="327">
        <f>ROUND(9172*0.7*1.3*1.25*1.3*D13,2)</f>
        <v>54252.38</v>
      </c>
      <c r="I13" s="328"/>
    </row>
    <row r="14" spans="1:9" ht="78" customHeight="1">
      <c r="A14" s="323">
        <v>3</v>
      </c>
      <c r="B14" s="324" t="s">
        <v>428</v>
      </c>
      <c r="C14" s="325" t="s">
        <v>425</v>
      </c>
      <c r="D14" s="329" t="s">
        <v>40</v>
      </c>
      <c r="E14" s="324" t="s">
        <v>429</v>
      </c>
      <c r="F14" s="330" t="s">
        <v>430</v>
      </c>
      <c r="G14" s="327">
        <f>ROUND(1897*0.4*1.25*1.3*D14,2)</f>
        <v>4932.2</v>
      </c>
      <c r="I14" s="328"/>
    </row>
    <row r="15" spans="1:9" ht="21.75" customHeight="1">
      <c r="A15" s="323">
        <v>4</v>
      </c>
      <c r="B15" s="331" t="s">
        <v>431</v>
      </c>
      <c r="C15" s="332"/>
      <c r="D15" s="332"/>
      <c r="E15" s="333"/>
      <c r="F15" s="334"/>
      <c r="G15" s="335">
        <f>SUM(G12:G14)</f>
        <v>116093.37999999999</v>
      </c>
      <c r="I15" s="328"/>
    </row>
    <row r="16" spans="1:9" ht="25.5" customHeight="1">
      <c r="A16" s="829" t="s">
        <v>385</v>
      </c>
      <c r="B16" s="829"/>
      <c r="C16" s="829"/>
      <c r="D16" s="829"/>
      <c r="E16" s="829"/>
      <c r="F16" s="829"/>
      <c r="G16" s="829"/>
      <c r="I16" s="328"/>
    </row>
    <row r="17" spans="1:9" ht="92.25" customHeight="1">
      <c r="A17" s="323">
        <v>5</v>
      </c>
      <c r="B17" s="324" t="s">
        <v>879</v>
      </c>
      <c r="C17" s="325" t="s">
        <v>423</v>
      </c>
      <c r="D17" s="326" t="s">
        <v>140</v>
      </c>
      <c r="E17" s="324" t="s">
        <v>432</v>
      </c>
      <c r="F17" s="325" t="s">
        <v>433</v>
      </c>
      <c r="G17" s="327">
        <f>ROUND(1938*1.75*1.1*1.2*D17,2)</f>
        <v>53721.36</v>
      </c>
      <c r="I17" s="328"/>
    </row>
    <row r="18" spans="1:9" ht="66.75" customHeight="1">
      <c r="A18" s="323">
        <v>6</v>
      </c>
      <c r="B18" s="324" t="s">
        <v>424</v>
      </c>
      <c r="C18" s="325" t="s">
        <v>425</v>
      </c>
      <c r="D18" s="329" t="s">
        <v>40</v>
      </c>
      <c r="E18" s="324" t="s">
        <v>434</v>
      </c>
      <c r="F18" s="325" t="s">
        <v>435</v>
      </c>
      <c r="G18" s="327">
        <f>ROUND(3599*1.3*1.1*1.2*D18,2)</f>
        <v>24703.54</v>
      </c>
      <c r="I18" s="328"/>
    </row>
    <row r="19" spans="1:9" ht="59.25" customHeight="1">
      <c r="A19" s="323">
        <v>7</v>
      </c>
      <c r="B19" s="324" t="s">
        <v>436</v>
      </c>
      <c r="C19" s="325" t="s">
        <v>6</v>
      </c>
      <c r="D19" s="329" t="s">
        <v>40</v>
      </c>
      <c r="E19" s="324" t="s">
        <v>437</v>
      </c>
      <c r="F19" s="325" t="s">
        <v>438</v>
      </c>
      <c r="G19" s="327">
        <f>ROUND(428*1.1*1.2*D19,2)</f>
        <v>2259.84</v>
      </c>
      <c r="I19" s="328"/>
    </row>
    <row r="20" spans="1:9" ht="15" customHeight="1">
      <c r="A20" s="323">
        <v>8</v>
      </c>
      <c r="B20" s="836" t="s">
        <v>410</v>
      </c>
      <c r="C20" s="836"/>
      <c r="D20" s="836"/>
      <c r="E20" s="836"/>
      <c r="F20" s="836"/>
      <c r="G20" s="336">
        <f>SUM(G17:G19)</f>
        <v>80684.739999999991</v>
      </c>
      <c r="I20" s="328"/>
    </row>
    <row r="21" spans="1:9" ht="18.75" customHeight="1">
      <c r="A21" s="829" t="s">
        <v>439</v>
      </c>
      <c r="B21" s="829"/>
      <c r="C21" s="829"/>
      <c r="D21" s="829"/>
      <c r="E21" s="829"/>
      <c r="F21" s="829"/>
      <c r="G21" s="829"/>
      <c r="I21" s="328"/>
    </row>
    <row r="22" spans="1:9" ht="48.75" customHeight="1">
      <c r="A22" s="337">
        <v>9</v>
      </c>
      <c r="B22" s="338" t="s">
        <v>440</v>
      </c>
      <c r="C22" s="319" t="s">
        <v>353</v>
      </c>
      <c r="D22" s="339">
        <v>23.75</v>
      </c>
      <c r="E22" s="340" t="s">
        <v>441</v>
      </c>
      <c r="F22" s="319" t="s">
        <v>442</v>
      </c>
      <c r="G22" s="341">
        <f>ROUND(D22/100*G15,2)</f>
        <v>27572.18</v>
      </c>
      <c r="I22" s="328"/>
    </row>
    <row r="23" spans="1:9" ht="45.75" customHeight="1">
      <c r="A23" s="337">
        <v>10</v>
      </c>
      <c r="B23" s="338" t="s">
        <v>443</v>
      </c>
      <c r="C23" s="319" t="s">
        <v>353</v>
      </c>
      <c r="D23" s="342">
        <v>39.200000000000003</v>
      </c>
      <c r="E23" s="340" t="s">
        <v>444</v>
      </c>
      <c r="F23" s="319" t="s">
        <v>445</v>
      </c>
      <c r="G23" s="341">
        <f>ROUND(D23/100*(G15+G22),2)</f>
        <v>56316.9</v>
      </c>
      <c r="I23" s="328"/>
    </row>
    <row r="24" spans="1:9" ht="44.25" customHeight="1">
      <c r="A24" s="319">
        <v>11</v>
      </c>
      <c r="B24" s="324" t="s">
        <v>352</v>
      </c>
      <c r="C24" s="325" t="s">
        <v>353</v>
      </c>
      <c r="D24" s="325">
        <v>6</v>
      </c>
      <c r="E24" s="343" t="s">
        <v>446</v>
      </c>
      <c r="F24" s="325" t="s">
        <v>447</v>
      </c>
      <c r="G24" s="327">
        <f>ROUND(SUM(G15+G22)*D24/100*2.5,2)</f>
        <v>21549.83</v>
      </c>
      <c r="I24" s="328"/>
    </row>
    <row r="25" spans="1:9" ht="15" customHeight="1">
      <c r="A25" s="337">
        <v>12</v>
      </c>
      <c r="B25" s="836" t="s">
        <v>448</v>
      </c>
      <c r="C25" s="836"/>
      <c r="D25" s="836"/>
      <c r="E25" s="836"/>
      <c r="F25" s="836"/>
      <c r="G25" s="336">
        <f>SUM(G22:G24)</f>
        <v>105438.91</v>
      </c>
      <c r="I25" s="328"/>
    </row>
    <row r="26" spans="1:9" ht="15" customHeight="1">
      <c r="A26" s="337">
        <v>13</v>
      </c>
      <c r="B26" s="836" t="s">
        <v>449</v>
      </c>
      <c r="C26" s="836"/>
      <c r="D26" s="836"/>
      <c r="E26" s="836"/>
      <c r="F26" s="836"/>
      <c r="G26" s="336">
        <f>SUM(G15+G20+G25)</f>
        <v>302217.03000000003</v>
      </c>
      <c r="I26" s="328"/>
    </row>
    <row r="27" spans="1:9" ht="45" customHeight="1">
      <c r="A27" s="337">
        <v>14</v>
      </c>
      <c r="B27" s="837" t="s">
        <v>450</v>
      </c>
      <c r="C27" s="838"/>
      <c r="D27" s="323">
        <v>1.1499999999999999</v>
      </c>
      <c r="E27" s="324" t="s">
        <v>451</v>
      </c>
      <c r="F27" s="323" t="s">
        <v>452</v>
      </c>
      <c r="G27" s="336">
        <f>G26*D27</f>
        <v>347549.5845</v>
      </c>
      <c r="I27" s="328"/>
    </row>
    <row r="28" spans="1:9" ht="29.25" customHeight="1">
      <c r="A28" s="337">
        <v>15</v>
      </c>
      <c r="B28" s="344" t="s">
        <v>412</v>
      </c>
      <c r="C28" s="325" t="s">
        <v>413</v>
      </c>
      <c r="D28" s="325">
        <v>10</v>
      </c>
      <c r="E28" s="343" t="s">
        <v>453</v>
      </c>
      <c r="F28" s="325" t="s">
        <v>454</v>
      </c>
      <c r="G28" s="345">
        <f>ROUND(G27*0.1,2)</f>
        <v>34754.959999999999</v>
      </c>
      <c r="I28" s="328"/>
    </row>
    <row r="29" spans="1:9" ht="18.75" customHeight="1">
      <c r="A29" s="337">
        <v>16</v>
      </c>
      <c r="B29" s="839" t="s">
        <v>455</v>
      </c>
      <c r="C29" s="839"/>
      <c r="D29" s="839"/>
      <c r="E29" s="839"/>
      <c r="F29" s="839"/>
      <c r="G29" s="336">
        <f>SUM(G27:G28)</f>
        <v>382304.54450000002</v>
      </c>
      <c r="I29" s="328"/>
    </row>
    <row r="30" spans="1:9" ht="9.75" customHeight="1">
      <c r="A30" s="346"/>
      <c r="B30" s="346"/>
      <c r="C30" s="346"/>
      <c r="D30" s="346"/>
      <c r="E30" s="346"/>
      <c r="F30" s="346"/>
      <c r="G30" s="346"/>
    </row>
    <row r="31" spans="1:9">
      <c r="A31" s="347" t="s">
        <v>456</v>
      </c>
      <c r="C31" s="349"/>
      <c r="D31" s="349"/>
      <c r="E31" s="349"/>
      <c r="F31" s="350" t="s">
        <v>457</v>
      </c>
    </row>
    <row r="32" spans="1:9">
      <c r="C32" s="833" t="s">
        <v>418</v>
      </c>
      <c r="D32" s="833"/>
      <c r="E32" s="833"/>
      <c r="F32" s="350"/>
    </row>
    <row r="33" spans="1:17">
      <c r="B33" s="834" t="s">
        <v>458</v>
      </c>
      <c r="C33" s="835"/>
      <c r="D33" s="835"/>
      <c r="E33" s="835"/>
      <c r="F33" s="835"/>
      <c r="G33" s="835"/>
    </row>
    <row r="36" spans="1:17">
      <c r="A36" s="351"/>
      <c r="B36" s="320"/>
      <c r="C36" s="320"/>
      <c r="D36" s="320"/>
      <c r="E36" s="320"/>
      <c r="F36" s="320"/>
      <c r="G36" s="320"/>
      <c r="H36" s="352"/>
    </row>
    <row r="37" spans="1:17">
      <c r="B37" s="353"/>
      <c r="C37" s="354"/>
      <c r="D37" s="353"/>
      <c r="E37" s="353"/>
      <c r="F37" s="353"/>
      <c r="G37" s="355"/>
      <c r="H37" s="356"/>
      <c r="I37" s="357"/>
      <c r="J37" s="358"/>
      <c r="K37" s="358"/>
      <c r="L37" s="359"/>
      <c r="M37" s="357"/>
      <c r="N37" s="357"/>
      <c r="O37" s="356"/>
      <c r="P37" s="357"/>
      <c r="Q37" s="352"/>
    </row>
    <row r="38" spans="1:17">
      <c r="B38" s="353"/>
      <c r="C38" s="353"/>
      <c r="D38" s="353"/>
      <c r="E38" s="360"/>
      <c r="F38" s="360"/>
      <c r="G38" s="361"/>
      <c r="H38" s="362"/>
      <c r="I38" s="363"/>
      <c r="J38" s="358"/>
      <c r="K38" s="358"/>
      <c r="L38" s="359"/>
      <c r="M38" s="357"/>
      <c r="N38" s="357"/>
      <c r="O38" s="356"/>
      <c r="P38" s="357"/>
      <c r="Q38" s="352"/>
    </row>
    <row r="39" spans="1:17">
      <c r="B39" s="364"/>
      <c r="C39" s="364"/>
      <c r="D39" s="364"/>
      <c r="E39" s="364"/>
      <c r="F39" s="364"/>
      <c r="G39" s="364"/>
      <c r="H39" s="365"/>
      <c r="I39" s="358"/>
      <c r="J39" s="358"/>
      <c r="K39" s="358"/>
      <c r="L39" s="366"/>
      <c r="M39" s="356"/>
      <c r="N39" s="356"/>
      <c r="O39" s="356"/>
      <c r="P39" s="367"/>
      <c r="Q39" s="352"/>
    </row>
    <row r="40" spans="1:17">
      <c r="B40" s="364"/>
      <c r="C40" s="364"/>
      <c r="D40" s="364"/>
      <c r="E40" s="364"/>
      <c r="F40" s="364"/>
      <c r="G40" s="364"/>
      <c r="H40" s="365"/>
      <c r="I40" s="358"/>
      <c r="J40" s="358"/>
      <c r="K40" s="358"/>
      <c r="L40" s="368"/>
      <c r="M40" s="368"/>
      <c r="N40" s="368"/>
      <c r="O40" s="368"/>
      <c r="P40" s="358"/>
      <c r="Q40" s="352"/>
    </row>
    <row r="41" spans="1:17">
      <c r="B41" s="364"/>
      <c r="C41" s="364"/>
      <c r="D41" s="364"/>
      <c r="E41" s="364"/>
      <c r="F41" s="364"/>
      <c r="G41" s="364"/>
      <c r="H41" s="365"/>
      <c r="I41" s="358"/>
      <c r="J41" s="358"/>
      <c r="K41" s="358"/>
      <c r="L41" s="368"/>
      <c r="M41" s="368"/>
      <c r="N41" s="368"/>
      <c r="O41" s="368"/>
      <c r="P41" s="358"/>
      <c r="Q41" s="352"/>
    </row>
    <row r="42" spans="1:17">
      <c r="B42" s="364"/>
      <c r="C42" s="364"/>
      <c r="D42" s="364"/>
      <c r="E42" s="364"/>
      <c r="F42" s="364"/>
      <c r="G42" s="364"/>
      <c r="H42" s="365"/>
      <c r="I42" s="358"/>
      <c r="J42" s="358"/>
      <c r="K42" s="358"/>
      <c r="L42" s="358"/>
      <c r="M42" s="358"/>
      <c r="N42" s="358"/>
      <c r="O42" s="358"/>
      <c r="P42" s="358"/>
      <c r="Q42" s="352"/>
    </row>
    <row r="43" spans="1:17">
      <c r="B43" s="364"/>
      <c r="C43" s="364"/>
      <c r="D43" s="364"/>
      <c r="E43" s="364"/>
      <c r="F43" s="364"/>
      <c r="G43" s="364"/>
      <c r="H43" s="365"/>
      <c r="I43" s="358"/>
      <c r="J43" s="358"/>
      <c r="K43" s="358"/>
      <c r="L43" s="358"/>
      <c r="M43" s="358"/>
      <c r="N43" s="358"/>
      <c r="O43" s="358"/>
      <c r="P43" s="358"/>
      <c r="Q43" s="352"/>
    </row>
    <row r="44" spans="1:17">
      <c r="B44" s="364"/>
      <c r="C44" s="369"/>
      <c r="D44" s="370"/>
      <c r="E44" s="370"/>
      <c r="F44" s="370"/>
      <c r="G44" s="370"/>
      <c r="H44" s="371"/>
      <c r="I44" s="358"/>
      <c r="J44" s="358"/>
      <c r="K44" s="358"/>
      <c r="L44" s="358"/>
      <c r="M44" s="358"/>
      <c r="N44" s="358"/>
      <c r="O44" s="358"/>
      <c r="P44" s="358"/>
      <c r="Q44" s="352"/>
    </row>
    <row r="45" spans="1:17">
      <c r="B45" s="364"/>
      <c r="C45" s="370"/>
      <c r="D45" s="370"/>
      <c r="E45" s="370"/>
      <c r="F45" s="370"/>
      <c r="G45" s="370"/>
      <c r="H45" s="371"/>
      <c r="I45" s="358"/>
      <c r="J45" s="358"/>
      <c r="K45" s="358"/>
      <c r="L45" s="358"/>
      <c r="M45" s="358"/>
      <c r="N45" s="358"/>
      <c r="O45" s="358"/>
      <c r="P45" s="358"/>
      <c r="Q45" s="352"/>
    </row>
    <row r="46" spans="1:17">
      <c r="B46" s="364"/>
      <c r="C46" s="364"/>
      <c r="D46" s="364"/>
      <c r="E46" s="364"/>
      <c r="F46" s="364"/>
      <c r="G46" s="364"/>
      <c r="H46" s="365"/>
      <c r="I46" s="358"/>
      <c r="J46" s="358"/>
      <c r="K46" s="358"/>
      <c r="L46" s="358"/>
      <c r="M46" s="358"/>
      <c r="N46" s="358"/>
      <c r="O46" s="358"/>
      <c r="P46" s="358"/>
      <c r="Q46" s="352"/>
    </row>
    <row r="47" spans="1:17">
      <c r="B47" s="364"/>
      <c r="C47" s="364"/>
      <c r="D47" s="364"/>
      <c r="E47" s="364"/>
      <c r="F47" s="364"/>
      <c r="G47" s="364"/>
      <c r="H47" s="365"/>
      <c r="I47" s="358"/>
      <c r="J47" s="358"/>
      <c r="K47" s="358"/>
      <c r="L47" s="358"/>
      <c r="M47" s="358"/>
      <c r="N47" s="358"/>
      <c r="O47" s="358"/>
      <c r="P47" s="358"/>
      <c r="Q47" s="352"/>
    </row>
    <row r="48" spans="1:17">
      <c r="B48" s="364"/>
      <c r="C48" s="364"/>
      <c r="D48" s="364"/>
      <c r="E48" s="364"/>
      <c r="F48" s="364"/>
      <c r="G48" s="364"/>
      <c r="H48" s="371"/>
      <c r="I48" s="358"/>
      <c r="J48" s="358"/>
      <c r="K48" s="358"/>
      <c r="L48" s="358"/>
      <c r="M48" s="358"/>
      <c r="N48" s="358"/>
      <c r="O48" s="358"/>
      <c r="P48" s="358"/>
      <c r="Q48" s="352"/>
    </row>
    <row r="49" spans="1:16">
      <c r="B49" s="353"/>
      <c r="C49" s="354"/>
      <c r="D49" s="372"/>
      <c r="E49" s="364"/>
      <c r="F49" s="364"/>
      <c r="G49" s="364"/>
      <c r="H49" s="373"/>
      <c r="I49" s="358"/>
      <c r="J49" s="358"/>
      <c r="K49" s="374"/>
      <c r="L49" s="374"/>
      <c r="M49" s="374"/>
      <c r="N49" s="374"/>
      <c r="O49" s="374"/>
      <c r="P49" s="374"/>
    </row>
    <row r="50" spans="1:16">
      <c r="B50" s="353"/>
      <c r="C50" s="354"/>
      <c r="D50" s="372"/>
      <c r="E50" s="364"/>
      <c r="F50" s="364"/>
      <c r="G50" s="364"/>
      <c r="H50" s="365"/>
      <c r="I50" s="358"/>
      <c r="J50" s="358"/>
      <c r="K50" s="374"/>
      <c r="L50" s="374"/>
      <c r="M50" s="374"/>
      <c r="N50" s="374"/>
      <c r="O50" s="374"/>
      <c r="P50" s="374"/>
    </row>
    <row r="51" spans="1:16">
      <c r="B51" s="375"/>
      <c r="C51" s="376"/>
      <c r="D51" s="375"/>
      <c r="E51" s="377"/>
      <c r="F51" s="377"/>
      <c r="G51" s="370"/>
      <c r="H51" s="371"/>
      <c r="I51" s="358"/>
      <c r="J51" s="358"/>
      <c r="K51" s="374"/>
      <c r="L51" s="374"/>
      <c r="M51" s="374"/>
      <c r="N51" s="374"/>
      <c r="O51" s="374"/>
      <c r="P51" s="374"/>
    </row>
    <row r="52" spans="1:16">
      <c r="B52" s="353"/>
      <c r="C52" s="354"/>
      <c r="D52" s="353"/>
      <c r="E52" s="364"/>
      <c r="F52" s="364"/>
      <c r="G52" s="364"/>
      <c r="H52" s="378"/>
      <c r="I52" s="358"/>
      <c r="J52" s="358"/>
      <c r="K52" s="374"/>
      <c r="L52" s="374"/>
      <c r="M52" s="374"/>
      <c r="N52" s="374"/>
      <c r="O52" s="374"/>
      <c r="P52" s="374"/>
    </row>
    <row r="53" spans="1:16">
      <c r="B53" s="375"/>
      <c r="C53" s="376"/>
      <c r="D53" s="375"/>
      <c r="E53" s="370"/>
      <c r="F53" s="370"/>
      <c r="G53" s="364"/>
      <c r="H53" s="371"/>
      <c r="I53" s="358"/>
      <c r="J53" s="358"/>
      <c r="K53" s="374"/>
      <c r="L53" s="374"/>
      <c r="M53" s="374"/>
      <c r="N53" s="374"/>
      <c r="O53" s="374"/>
      <c r="P53" s="374"/>
    </row>
    <row r="54" spans="1:16">
      <c r="D54" s="379"/>
      <c r="E54" s="370"/>
      <c r="F54" s="379"/>
      <c r="G54" s="379"/>
      <c r="H54" s="380"/>
      <c r="I54" s="374"/>
      <c r="J54" s="374"/>
      <c r="K54" s="374"/>
      <c r="L54" s="374"/>
      <c r="M54" s="374"/>
      <c r="N54" s="374"/>
      <c r="O54" s="374"/>
      <c r="P54" s="374"/>
    </row>
    <row r="55" spans="1:16">
      <c r="A55" s="350"/>
      <c r="B55" s="353"/>
      <c r="C55" s="354"/>
      <c r="D55" s="353"/>
      <c r="E55" s="350"/>
      <c r="F55" s="350"/>
      <c r="G55" s="350"/>
      <c r="H55" s="352"/>
    </row>
    <row r="56" spans="1:16">
      <c r="A56" s="350"/>
      <c r="B56" s="353"/>
      <c r="C56" s="354"/>
      <c r="D56" s="353"/>
      <c r="E56" s="350"/>
      <c r="F56" s="350"/>
      <c r="G56" s="350"/>
      <c r="H56" s="352"/>
    </row>
    <row r="57" spans="1:16">
      <c r="A57" s="350"/>
      <c r="B57" s="350"/>
      <c r="C57" s="350"/>
      <c r="D57" s="350"/>
      <c r="E57" s="350"/>
      <c r="F57" s="350"/>
      <c r="G57" s="350"/>
      <c r="H57" s="352"/>
    </row>
    <row r="58" spans="1:16">
      <c r="A58" s="350"/>
      <c r="B58" s="350"/>
      <c r="C58" s="350"/>
      <c r="D58" s="350"/>
      <c r="E58" s="350"/>
      <c r="F58" s="350"/>
      <c r="G58" s="350"/>
      <c r="H58" s="352"/>
    </row>
    <row r="59" spans="1:16">
      <c r="A59" s="350"/>
      <c r="B59" s="350"/>
      <c r="C59" s="350"/>
      <c r="D59" s="350"/>
      <c r="E59" s="350"/>
      <c r="F59" s="350"/>
      <c r="G59" s="350"/>
      <c r="H59" s="352"/>
    </row>
  </sheetData>
  <mergeCells count="14">
    <mergeCell ref="C32:E32"/>
    <mergeCell ref="B33:G33"/>
    <mergeCell ref="B20:F20"/>
    <mergeCell ref="A21:G21"/>
    <mergeCell ref="B25:F25"/>
    <mergeCell ref="B26:F26"/>
    <mergeCell ref="B27:C27"/>
    <mergeCell ref="B29:F29"/>
    <mergeCell ref="A16:G16"/>
    <mergeCell ref="A1:G1"/>
    <mergeCell ref="A2:G2"/>
    <mergeCell ref="A3:F3"/>
    <mergeCell ref="A4:F4"/>
    <mergeCell ref="A11:G11"/>
  </mergeCells>
  <pageMargins left="0.59055118110236227" right="0.59055118110236227" top="0.70866141732283472" bottom="0.70866141732283472" header="0.31496062992125984" footer="0.31496062992125984"/>
  <pageSetup paperSize="9" scale="90" orientation="portrait" horizontalDpi="180" verticalDpi="180" r:id="rId1"/>
  <headerFooter>
    <oddHeader>&amp;L&amp;"Times New Roman,обычный"&amp;8Форма 2ПМДС 81-35.2004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B247"/>
  <sheetViews>
    <sheetView view="pageBreakPreview" topLeftCell="A10" zoomScale="115" zoomScaleSheetLayoutView="115" zoomScalePageLayoutView="70" workbookViewId="0">
      <selection activeCell="M26" sqref="M26"/>
    </sheetView>
  </sheetViews>
  <sheetFormatPr baseColWidth="10" defaultColWidth="9.1640625" defaultRowHeight="16"/>
  <cols>
    <col min="1" max="1" width="4.5" style="474" customWidth="1"/>
    <col min="2" max="2" width="22" style="473" customWidth="1"/>
    <col min="3" max="3" width="8.33203125" style="406" customWidth="1"/>
    <col min="4" max="4" width="22.33203125" style="406" customWidth="1"/>
    <col min="5" max="5" width="7.33203125" style="406" customWidth="1"/>
    <col min="6" max="6" width="2.83203125" style="406" customWidth="1"/>
    <col min="7" max="7" width="10" style="406" customWidth="1"/>
    <col min="8" max="8" width="1.83203125" style="406" customWidth="1"/>
    <col min="9" max="9" width="5.33203125" style="406" customWidth="1"/>
    <col min="10" max="10" width="2" style="406" customWidth="1"/>
    <col min="11" max="11" width="3.33203125" style="406" customWidth="1"/>
    <col min="12" max="12" width="12.5" style="406" customWidth="1"/>
    <col min="13" max="13" width="18.5" style="381" customWidth="1"/>
    <col min="14" max="16384" width="9.1640625" style="381"/>
  </cols>
  <sheetData>
    <row r="1" spans="1:12" ht="15">
      <c r="A1" s="840" t="s">
        <v>459</v>
      </c>
      <c r="B1" s="840"/>
      <c r="C1" s="840"/>
      <c r="D1" s="840"/>
      <c r="E1" s="840"/>
      <c r="F1" s="840"/>
      <c r="G1" s="840"/>
      <c r="H1" s="840"/>
      <c r="I1" s="840"/>
      <c r="J1" s="840"/>
      <c r="K1" s="840"/>
      <c r="L1" s="840"/>
    </row>
    <row r="2" spans="1:12" ht="15">
      <c r="A2" s="841" t="s">
        <v>460</v>
      </c>
      <c r="B2" s="841"/>
      <c r="C2" s="841"/>
      <c r="D2" s="841"/>
      <c r="E2" s="841"/>
      <c r="F2" s="841"/>
      <c r="G2" s="841"/>
      <c r="H2" s="841"/>
      <c r="I2" s="841"/>
      <c r="J2" s="841"/>
      <c r="K2" s="841"/>
      <c r="L2" s="841"/>
    </row>
    <row r="3" spans="1:12" s="1" customFormat="1" ht="27" customHeight="1">
      <c r="A3" s="791" t="s">
        <v>916</v>
      </c>
      <c r="B3" s="791"/>
      <c r="C3" s="791"/>
      <c r="D3" s="791"/>
      <c r="E3" s="791"/>
      <c r="F3" s="791"/>
    </row>
    <row r="4" spans="1:12" s="1" customFormat="1" ht="14">
      <c r="A4" s="796" t="s">
        <v>461</v>
      </c>
      <c r="B4" s="796"/>
      <c r="C4" s="796"/>
      <c r="D4" s="796"/>
      <c r="E4" s="796"/>
      <c r="F4" s="796"/>
    </row>
    <row r="5" spans="1:12" s="1" customFormat="1" ht="14">
      <c r="A5" s="16" t="s">
        <v>291</v>
      </c>
      <c r="B5" s="17"/>
      <c r="C5" s="17"/>
      <c r="D5" s="17"/>
      <c r="E5" s="17"/>
      <c r="F5" s="17"/>
    </row>
    <row r="6" spans="1:12" s="1" customFormat="1" ht="14">
      <c r="A6" s="16" t="s">
        <v>149</v>
      </c>
      <c r="B6" s="16"/>
      <c r="C6" s="18"/>
      <c r="D6" s="18"/>
      <c r="E6" s="18"/>
      <c r="F6" s="4"/>
    </row>
    <row r="7" spans="1:12" s="1" customFormat="1" ht="14">
      <c r="A7" s="16" t="s">
        <v>924</v>
      </c>
      <c r="B7" s="16"/>
      <c r="C7" s="19"/>
      <c r="D7" s="16"/>
      <c r="E7" s="16"/>
      <c r="F7" s="4"/>
    </row>
    <row r="8" spans="1:12" ht="33.75" customHeight="1">
      <c r="A8" s="842" t="s">
        <v>303</v>
      </c>
      <c r="B8" s="842"/>
      <c r="C8" s="842"/>
      <c r="D8" s="842"/>
      <c r="E8" s="842"/>
      <c r="F8" s="842"/>
      <c r="G8" s="842"/>
      <c r="H8" s="842"/>
      <c r="I8" s="842"/>
      <c r="J8" s="842"/>
      <c r="K8" s="842"/>
      <c r="L8" s="842"/>
    </row>
    <row r="9" spans="1:12" s="382" customFormat="1" ht="15">
      <c r="A9" s="853" t="s">
        <v>0</v>
      </c>
      <c r="B9" s="855" t="s">
        <v>304</v>
      </c>
      <c r="C9" s="855" t="s">
        <v>305</v>
      </c>
      <c r="D9" s="855" t="s">
        <v>306</v>
      </c>
      <c r="E9" s="857" t="s">
        <v>307</v>
      </c>
      <c r="F9" s="843"/>
      <c r="G9" s="843"/>
      <c r="H9" s="843"/>
      <c r="I9" s="843"/>
      <c r="J9" s="843"/>
      <c r="K9" s="844"/>
      <c r="L9" s="855" t="s">
        <v>308</v>
      </c>
    </row>
    <row r="10" spans="1:12" s="382" customFormat="1" ht="17.25" customHeight="1">
      <c r="A10" s="854"/>
      <c r="B10" s="856"/>
      <c r="C10" s="856"/>
      <c r="D10" s="856"/>
      <c r="E10" s="673" t="s">
        <v>309</v>
      </c>
      <c r="F10" s="843" t="s">
        <v>310</v>
      </c>
      <c r="G10" s="843"/>
      <c r="H10" s="843" t="s">
        <v>311</v>
      </c>
      <c r="I10" s="843"/>
      <c r="J10" s="843"/>
      <c r="K10" s="844"/>
      <c r="L10" s="856"/>
    </row>
    <row r="11" spans="1:12" s="383" customFormat="1" ht="11">
      <c r="A11" s="674" t="s">
        <v>24</v>
      </c>
      <c r="B11" s="675">
        <v>2</v>
      </c>
      <c r="C11" s="676">
        <v>3</v>
      </c>
      <c r="D11" s="676">
        <v>4</v>
      </c>
      <c r="E11" s="845">
        <v>5</v>
      </c>
      <c r="F11" s="846"/>
      <c r="G11" s="846"/>
      <c r="H11" s="846"/>
      <c r="I11" s="846"/>
      <c r="J11" s="846"/>
      <c r="K11" s="847"/>
      <c r="L11" s="676">
        <v>6</v>
      </c>
    </row>
    <row r="12" spans="1:12" ht="15">
      <c r="A12" s="848" t="s">
        <v>312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</row>
    <row r="13" spans="1:12" ht="15">
      <c r="A13" s="848" t="s">
        <v>462</v>
      </c>
      <c r="B13" s="848"/>
      <c r="C13" s="848"/>
      <c r="D13" s="848"/>
      <c r="E13" s="848"/>
      <c r="F13" s="848"/>
      <c r="G13" s="848"/>
      <c r="H13" s="852"/>
      <c r="I13" s="852"/>
      <c r="J13" s="852"/>
      <c r="K13" s="848"/>
      <c r="L13" s="848"/>
    </row>
    <row r="14" spans="1:12" ht="45" customHeight="1">
      <c r="A14" s="384">
        <v>1</v>
      </c>
      <c r="B14" s="385" t="s">
        <v>463</v>
      </c>
      <c r="C14" s="386" t="s">
        <v>319</v>
      </c>
      <c r="D14" s="387" t="s">
        <v>464</v>
      </c>
      <c r="E14" s="388">
        <v>1</v>
      </c>
      <c r="F14" s="389" t="s">
        <v>317</v>
      </c>
      <c r="G14" s="390">
        <v>200</v>
      </c>
      <c r="H14" s="391" t="s">
        <v>317</v>
      </c>
      <c r="I14" s="391">
        <v>1.25</v>
      </c>
      <c r="J14" s="391"/>
      <c r="K14" s="392"/>
      <c r="L14" s="393">
        <f>E14*G14*I14</f>
        <v>250</v>
      </c>
    </row>
    <row r="15" spans="1:12" ht="15">
      <c r="A15" s="384">
        <f>A14+1</f>
        <v>2</v>
      </c>
      <c r="B15" s="849" t="s">
        <v>465</v>
      </c>
      <c r="C15" s="850"/>
      <c r="D15" s="850"/>
      <c r="E15" s="850"/>
      <c r="F15" s="850"/>
      <c r="G15" s="850"/>
      <c r="H15" s="850"/>
      <c r="I15" s="850"/>
      <c r="J15" s="850"/>
      <c r="K15" s="851"/>
      <c r="L15" s="394">
        <f>SUM(L14:L14)</f>
        <v>250</v>
      </c>
    </row>
    <row r="16" spans="1:12" ht="15">
      <c r="A16" s="848" t="s">
        <v>322</v>
      </c>
      <c r="B16" s="848"/>
      <c r="C16" s="848"/>
      <c r="D16" s="848"/>
      <c r="E16" s="848"/>
      <c r="F16" s="848"/>
      <c r="G16" s="848"/>
      <c r="H16" s="848"/>
      <c r="I16" s="848"/>
      <c r="J16" s="848"/>
      <c r="K16" s="848"/>
      <c r="L16" s="848"/>
    </row>
    <row r="17" spans="1:13" ht="80.25" customHeight="1">
      <c r="A17" s="384">
        <v>3</v>
      </c>
      <c r="B17" s="385" t="s">
        <v>466</v>
      </c>
      <c r="C17" s="395" t="s">
        <v>467</v>
      </c>
      <c r="D17" s="385" t="s">
        <v>468</v>
      </c>
      <c r="E17" s="396">
        <v>6</v>
      </c>
      <c r="F17" s="397" t="s">
        <v>317</v>
      </c>
      <c r="G17" s="398">
        <v>27</v>
      </c>
      <c r="H17" s="391" t="s">
        <v>317</v>
      </c>
      <c r="I17" s="391">
        <v>1.1000000000000001</v>
      </c>
      <c r="J17" s="391"/>
      <c r="K17" s="392"/>
      <c r="L17" s="393">
        <f>E17*G17*I17</f>
        <v>178.20000000000002</v>
      </c>
    </row>
    <row r="18" spans="1:13" ht="45">
      <c r="A18" s="384">
        <v>4</v>
      </c>
      <c r="B18" s="385" t="s">
        <v>469</v>
      </c>
      <c r="C18" s="395" t="s">
        <v>470</v>
      </c>
      <c r="D18" s="385" t="s">
        <v>471</v>
      </c>
      <c r="E18" s="396">
        <v>6</v>
      </c>
      <c r="F18" s="397" t="s">
        <v>317</v>
      </c>
      <c r="G18" s="399">
        <v>18.2</v>
      </c>
      <c r="H18" s="400"/>
      <c r="I18" s="400"/>
      <c r="J18" s="400"/>
      <c r="K18" s="401"/>
      <c r="L18" s="393">
        <f>E18*G18</f>
        <v>109.19999999999999</v>
      </c>
    </row>
    <row r="19" spans="1:13" ht="73.5" customHeight="1">
      <c r="A19" s="384">
        <v>5</v>
      </c>
      <c r="B19" s="385" t="s">
        <v>472</v>
      </c>
      <c r="C19" s="395" t="s">
        <v>473</v>
      </c>
      <c r="D19" s="385" t="s">
        <v>474</v>
      </c>
      <c r="E19" s="396">
        <v>6</v>
      </c>
      <c r="F19" s="397" t="s">
        <v>317</v>
      </c>
      <c r="G19" s="399">
        <v>11.7</v>
      </c>
      <c r="H19" s="391" t="s">
        <v>317</v>
      </c>
      <c r="I19" s="391">
        <v>0.4</v>
      </c>
      <c r="J19" s="400"/>
      <c r="K19" s="401"/>
      <c r="L19" s="393">
        <f>E19*G19*I19</f>
        <v>28.08</v>
      </c>
    </row>
    <row r="20" spans="1:13" ht="45">
      <c r="A20" s="384">
        <v>6</v>
      </c>
      <c r="B20" s="385" t="s">
        <v>475</v>
      </c>
      <c r="C20" s="395" t="s">
        <v>470</v>
      </c>
      <c r="D20" s="385" t="s">
        <v>471</v>
      </c>
      <c r="E20" s="396">
        <v>6</v>
      </c>
      <c r="F20" s="397" t="s">
        <v>317</v>
      </c>
      <c r="G20" s="399">
        <v>18.2</v>
      </c>
      <c r="H20" s="400"/>
      <c r="I20" s="400"/>
      <c r="J20" s="400"/>
      <c r="K20" s="402"/>
      <c r="L20" s="393">
        <f>E20*G20</f>
        <v>109.19999999999999</v>
      </c>
    </row>
    <row r="21" spans="1:13" ht="60.75" customHeight="1">
      <c r="A21" s="384">
        <v>7</v>
      </c>
      <c r="B21" s="385" t="s">
        <v>476</v>
      </c>
      <c r="C21" s="395" t="s">
        <v>473</v>
      </c>
      <c r="D21" s="385" t="s">
        <v>477</v>
      </c>
      <c r="E21" s="396">
        <v>6</v>
      </c>
      <c r="F21" s="397" t="s">
        <v>317</v>
      </c>
      <c r="G21" s="399">
        <v>11.7</v>
      </c>
      <c r="H21" s="391" t="s">
        <v>317</v>
      </c>
      <c r="I21" s="391">
        <v>0.4</v>
      </c>
      <c r="J21" s="400"/>
      <c r="K21" s="402"/>
      <c r="L21" s="393">
        <f>E21*G21*I21</f>
        <v>28.08</v>
      </c>
    </row>
    <row r="22" spans="1:13" ht="35.25" customHeight="1">
      <c r="A22" s="384">
        <v>8</v>
      </c>
      <c r="B22" s="385" t="s">
        <v>478</v>
      </c>
      <c r="C22" s="395" t="s">
        <v>479</v>
      </c>
      <c r="D22" s="385" t="s">
        <v>480</v>
      </c>
      <c r="E22" s="396">
        <f>12.225*10</f>
        <v>122.25</v>
      </c>
      <c r="F22" s="397" t="s">
        <v>317</v>
      </c>
      <c r="G22" s="399">
        <v>49.2</v>
      </c>
      <c r="H22" s="391"/>
      <c r="I22" s="391"/>
      <c r="J22" s="391"/>
      <c r="K22" s="392"/>
      <c r="L22" s="393">
        <f>E22*G22</f>
        <v>6014.7000000000007</v>
      </c>
    </row>
    <row r="23" spans="1:13" ht="35.25" customHeight="1">
      <c r="A23" s="384">
        <v>9</v>
      </c>
      <c r="B23" s="385" t="s">
        <v>481</v>
      </c>
      <c r="C23" s="395" t="s">
        <v>482</v>
      </c>
      <c r="D23" s="385" t="s">
        <v>483</v>
      </c>
      <c r="E23" s="396">
        <v>2</v>
      </c>
      <c r="F23" s="397" t="s">
        <v>317</v>
      </c>
      <c r="G23" s="399">
        <v>535</v>
      </c>
      <c r="H23" s="391"/>
      <c r="I23" s="391"/>
      <c r="J23" s="391"/>
      <c r="K23" s="392"/>
      <c r="L23" s="393">
        <f>E23*G23</f>
        <v>1070</v>
      </c>
    </row>
    <row r="24" spans="1:13" ht="60">
      <c r="A24" s="384">
        <v>10</v>
      </c>
      <c r="B24" s="385" t="s">
        <v>484</v>
      </c>
      <c r="C24" s="403" t="s">
        <v>374</v>
      </c>
      <c r="D24" s="385" t="s">
        <v>485</v>
      </c>
      <c r="E24" s="396">
        <v>15</v>
      </c>
      <c r="F24" s="397" t="s">
        <v>317</v>
      </c>
      <c r="G24" s="391">
        <v>6.9</v>
      </c>
      <c r="H24" s="391" t="s">
        <v>317</v>
      </c>
      <c r="I24" s="391">
        <v>1.2</v>
      </c>
      <c r="J24" s="391"/>
      <c r="K24" s="392"/>
      <c r="L24" s="393">
        <f>E24*G24*I24</f>
        <v>124.19999999999999</v>
      </c>
    </row>
    <row r="25" spans="1:13" ht="90" customHeight="1">
      <c r="A25" s="384">
        <v>11</v>
      </c>
      <c r="B25" s="385" t="s">
        <v>486</v>
      </c>
      <c r="C25" s="403" t="s">
        <v>374</v>
      </c>
      <c r="D25" s="385" t="s">
        <v>487</v>
      </c>
      <c r="E25" s="396">
        <v>10</v>
      </c>
      <c r="F25" s="397" t="s">
        <v>317</v>
      </c>
      <c r="G25" s="391">
        <v>6.9</v>
      </c>
      <c r="H25" s="399" t="s">
        <v>317</v>
      </c>
      <c r="I25" s="399">
        <v>0.9</v>
      </c>
      <c r="J25" s="399" t="s">
        <v>317</v>
      </c>
      <c r="K25" s="404">
        <v>5</v>
      </c>
      <c r="L25" s="393">
        <f>E25*G25*I25*K25</f>
        <v>310.5</v>
      </c>
      <c r="M25" s="405"/>
    </row>
    <row r="26" spans="1:13" s="406" customFormat="1" ht="59.25" customHeight="1">
      <c r="A26" s="384">
        <v>12</v>
      </c>
      <c r="B26" s="385" t="s">
        <v>488</v>
      </c>
      <c r="C26" s="403" t="s">
        <v>374</v>
      </c>
      <c r="D26" s="385" t="s">
        <v>489</v>
      </c>
      <c r="E26" s="396">
        <v>15</v>
      </c>
      <c r="F26" s="397" t="s">
        <v>317</v>
      </c>
      <c r="G26" s="391">
        <v>37.700000000000003</v>
      </c>
      <c r="H26" s="391"/>
      <c r="I26" s="391"/>
      <c r="J26" s="391"/>
      <c r="K26" s="392"/>
      <c r="L26" s="393">
        <f>E26*G26</f>
        <v>565.5</v>
      </c>
    </row>
    <row r="27" spans="1:13" s="406" customFormat="1" ht="78" customHeight="1">
      <c r="A27" s="384">
        <v>13</v>
      </c>
      <c r="B27" s="385" t="s">
        <v>490</v>
      </c>
      <c r="C27" s="403" t="s">
        <v>374</v>
      </c>
      <c r="D27" s="385" t="s">
        <v>491</v>
      </c>
      <c r="E27" s="396">
        <v>15</v>
      </c>
      <c r="F27" s="397" t="s">
        <v>317</v>
      </c>
      <c r="G27" s="391">
        <v>37.700000000000003</v>
      </c>
      <c r="H27" s="399" t="s">
        <v>317</v>
      </c>
      <c r="I27" s="399">
        <v>0.9</v>
      </c>
      <c r="J27" s="391"/>
      <c r="K27" s="392"/>
      <c r="L27" s="393">
        <f>E27*G27*I27</f>
        <v>508.95</v>
      </c>
    </row>
    <row r="28" spans="1:13" s="406" customFormat="1" ht="78" customHeight="1">
      <c r="A28" s="384">
        <v>14</v>
      </c>
      <c r="B28" s="385" t="s">
        <v>492</v>
      </c>
      <c r="C28" s="403" t="s">
        <v>325</v>
      </c>
      <c r="D28" s="385" t="s">
        <v>493</v>
      </c>
      <c r="E28" s="396">
        <v>10</v>
      </c>
      <c r="F28" s="397" t="s">
        <v>317</v>
      </c>
      <c r="G28" s="391">
        <v>34.4</v>
      </c>
      <c r="H28" s="391"/>
      <c r="I28" s="391"/>
      <c r="J28" s="391"/>
      <c r="K28" s="392"/>
      <c r="L28" s="393">
        <f t="shared" ref="L28:L40" si="0">E28*G28</f>
        <v>344</v>
      </c>
    </row>
    <row r="29" spans="1:13" s="406" customFormat="1" ht="48" customHeight="1">
      <c r="A29" s="384">
        <v>15</v>
      </c>
      <c r="B29" s="385" t="s">
        <v>494</v>
      </c>
      <c r="C29" s="403" t="s">
        <v>325</v>
      </c>
      <c r="D29" s="385" t="s">
        <v>495</v>
      </c>
      <c r="E29" s="396">
        <v>20</v>
      </c>
      <c r="F29" s="397" t="s">
        <v>317</v>
      </c>
      <c r="G29" s="391">
        <v>10.8</v>
      </c>
      <c r="H29" s="391"/>
      <c r="I29" s="391"/>
      <c r="J29" s="391"/>
      <c r="K29" s="404"/>
      <c r="L29" s="393">
        <f t="shared" si="0"/>
        <v>216</v>
      </c>
    </row>
    <row r="30" spans="1:13" s="406" customFormat="1" ht="61.5" customHeight="1">
      <c r="A30" s="384">
        <v>16</v>
      </c>
      <c r="B30" s="385" t="s">
        <v>496</v>
      </c>
      <c r="C30" s="403" t="s">
        <v>374</v>
      </c>
      <c r="D30" s="407" t="s">
        <v>497</v>
      </c>
      <c r="E30" s="396">
        <v>25</v>
      </c>
      <c r="F30" s="397" t="s">
        <v>317</v>
      </c>
      <c r="G30" s="391">
        <v>22.9</v>
      </c>
      <c r="H30" s="391"/>
      <c r="I30" s="391"/>
      <c r="J30" s="391"/>
      <c r="K30" s="392"/>
      <c r="L30" s="393">
        <f t="shared" si="0"/>
        <v>572.5</v>
      </c>
    </row>
    <row r="31" spans="1:13" s="406" customFormat="1" ht="34.5" customHeight="1">
      <c r="A31" s="384">
        <v>17</v>
      </c>
      <c r="B31" s="385" t="s">
        <v>498</v>
      </c>
      <c r="C31" s="403" t="s">
        <v>374</v>
      </c>
      <c r="D31" s="385" t="s">
        <v>499</v>
      </c>
      <c r="E31" s="396">
        <v>1</v>
      </c>
      <c r="F31" s="397" t="s">
        <v>317</v>
      </c>
      <c r="G31" s="391">
        <v>22.9</v>
      </c>
      <c r="H31" s="391"/>
      <c r="I31" s="391"/>
      <c r="J31" s="391"/>
      <c r="K31" s="404"/>
      <c r="L31" s="393">
        <f t="shared" si="0"/>
        <v>22.9</v>
      </c>
    </row>
    <row r="32" spans="1:13" s="406" customFormat="1" ht="51.75" hidden="1" customHeight="1">
      <c r="A32" s="384">
        <v>17</v>
      </c>
      <c r="B32" s="385" t="s">
        <v>500</v>
      </c>
      <c r="C32" s="408" t="s">
        <v>374</v>
      </c>
      <c r="D32" s="385" t="s">
        <v>501</v>
      </c>
      <c r="E32" s="409">
        <v>0</v>
      </c>
      <c r="F32" s="397" t="s">
        <v>317</v>
      </c>
      <c r="G32" s="410">
        <v>4.5999999999999996</v>
      </c>
      <c r="H32" s="411"/>
      <c r="I32" s="411"/>
      <c r="J32" s="400"/>
      <c r="K32" s="401"/>
      <c r="L32" s="393">
        <f t="shared" si="0"/>
        <v>0</v>
      </c>
    </row>
    <row r="33" spans="1:14" s="406" customFormat="1" ht="69.75" hidden="1" customHeight="1">
      <c r="A33" s="384">
        <v>18</v>
      </c>
      <c r="B33" s="385" t="s">
        <v>502</v>
      </c>
      <c r="C33" s="408" t="s">
        <v>374</v>
      </c>
      <c r="D33" s="385" t="s">
        <v>503</v>
      </c>
      <c r="E33" s="412">
        <v>0</v>
      </c>
      <c r="F33" s="397" t="s">
        <v>317</v>
      </c>
      <c r="G33" s="410">
        <v>6.1</v>
      </c>
      <c r="H33" s="411"/>
      <c r="I33" s="411"/>
      <c r="J33" s="400"/>
      <c r="K33" s="401"/>
      <c r="L33" s="393">
        <f t="shared" si="0"/>
        <v>0</v>
      </c>
    </row>
    <row r="34" spans="1:14" s="406" customFormat="1" ht="96" hidden="1" customHeight="1">
      <c r="A34" s="384">
        <v>19</v>
      </c>
      <c r="B34" s="385" t="s">
        <v>504</v>
      </c>
      <c r="C34" s="408" t="s">
        <v>374</v>
      </c>
      <c r="D34" s="385" t="s">
        <v>503</v>
      </c>
      <c r="E34" s="412">
        <v>0</v>
      </c>
      <c r="F34" s="397" t="s">
        <v>317</v>
      </c>
      <c r="G34" s="410">
        <v>6.1</v>
      </c>
      <c r="H34" s="411"/>
      <c r="I34" s="411"/>
      <c r="J34" s="400"/>
      <c r="K34" s="401"/>
      <c r="L34" s="393">
        <f t="shared" si="0"/>
        <v>0</v>
      </c>
    </row>
    <row r="35" spans="1:14" s="413" customFormat="1" ht="90.75" hidden="1" customHeight="1">
      <c r="A35" s="384">
        <v>20</v>
      </c>
      <c r="B35" s="385" t="s">
        <v>505</v>
      </c>
      <c r="C35" s="408" t="s">
        <v>374</v>
      </c>
      <c r="D35" s="385" t="s">
        <v>503</v>
      </c>
      <c r="E35" s="412">
        <v>0</v>
      </c>
      <c r="F35" s="397" t="s">
        <v>317</v>
      </c>
      <c r="G35" s="410">
        <v>6.1</v>
      </c>
      <c r="H35" s="411"/>
      <c r="I35" s="411"/>
      <c r="J35" s="400"/>
      <c r="K35" s="401"/>
      <c r="L35" s="393">
        <f t="shared" si="0"/>
        <v>0</v>
      </c>
    </row>
    <row r="36" spans="1:14" s="413" customFormat="1" ht="71.25" customHeight="1">
      <c r="A36" s="384">
        <v>18</v>
      </c>
      <c r="B36" s="385" t="s">
        <v>506</v>
      </c>
      <c r="C36" s="408" t="s">
        <v>374</v>
      </c>
      <c r="D36" s="385" t="s">
        <v>507</v>
      </c>
      <c r="E36" s="412">
        <v>1</v>
      </c>
      <c r="F36" s="397" t="s">
        <v>317</v>
      </c>
      <c r="G36" s="410">
        <v>29</v>
      </c>
      <c r="H36" s="411"/>
      <c r="I36" s="411"/>
      <c r="J36" s="400"/>
      <c r="K36" s="401"/>
      <c r="L36" s="393">
        <f t="shared" si="0"/>
        <v>29</v>
      </c>
    </row>
    <row r="37" spans="1:14" s="406" customFormat="1" ht="39.75" customHeight="1">
      <c r="A37" s="384">
        <v>19</v>
      </c>
      <c r="B37" s="385" t="s">
        <v>508</v>
      </c>
      <c r="C37" s="403" t="s">
        <v>473</v>
      </c>
      <c r="D37" s="385" t="s">
        <v>509</v>
      </c>
      <c r="E37" s="396">
        <v>10</v>
      </c>
      <c r="F37" s="397" t="s">
        <v>317</v>
      </c>
      <c r="G37" s="391">
        <v>9.6999999999999993</v>
      </c>
      <c r="H37" s="399"/>
      <c r="I37" s="399"/>
      <c r="J37" s="391"/>
      <c r="K37" s="404"/>
      <c r="L37" s="393">
        <f t="shared" si="0"/>
        <v>97</v>
      </c>
    </row>
    <row r="38" spans="1:14" s="406" customFormat="1" ht="33" customHeight="1">
      <c r="A38" s="384">
        <v>20</v>
      </c>
      <c r="B38" s="385" t="s">
        <v>510</v>
      </c>
      <c r="C38" s="403" t="s">
        <v>473</v>
      </c>
      <c r="D38" s="385" t="s">
        <v>511</v>
      </c>
      <c r="E38" s="396">
        <v>10</v>
      </c>
      <c r="F38" s="397" t="s">
        <v>317</v>
      </c>
      <c r="G38" s="391">
        <v>9.6999999999999993</v>
      </c>
      <c r="H38" s="399"/>
      <c r="I38" s="399"/>
      <c r="J38" s="391"/>
      <c r="K38" s="392"/>
      <c r="L38" s="393">
        <f t="shared" si="0"/>
        <v>97</v>
      </c>
    </row>
    <row r="39" spans="1:14" s="406" customFormat="1" ht="32.25" customHeight="1">
      <c r="A39" s="384">
        <v>21</v>
      </c>
      <c r="B39" s="385" t="s">
        <v>512</v>
      </c>
      <c r="C39" s="403" t="s">
        <v>473</v>
      </c>
      <c r="D39" s="385" t="s">
        <v>511</v>
      </c>
      <c r="E39" s="396">
        <v>1</v>
      </c>
      <c r="F39" s="397" t="s">
        <v>317</v>
      </c>
      <c r="G39" s="391">
        <v>9.6999999999999993</v>
      </c>
      <c r="H39" s="399"/>
      <c r="I39" s="399"/>
      <c r="J39" s="391"/>
      <c r="K39" s="392"/>
      <c r="L39" s="393">
        <f t="shared" si="0"/>
        <v>9.6999999999999993</v>
      </c>
    </row>
    <row r="40" spans="1:14" s="406" customFormat="1" ht="30">
      <c r="A40" s="384">
        <v>22</v>
      </c>
      <c r="B40" s="385" t="s">
        <v>513</v>
      </c>
      <c r="C40" s="403" t="s">
        <v>473</v>
      </c>
      <c r="D40" s="385" t="s">
        <v>511</v>
      </c>
      <c r="E40" s="396">
        <v>10</v>
      </c>
      <c r="F40" s="397" t="s">
        <v>317</v>
      </c>
      <c r="G40" s="391">
        <v>9.6999999999999993</v>
      </c>
      <c r="H40" s="399"/>
      <c r="I40" s="399"/>
      <c r="J40" s="391"/>
      <c r="K40" s="392"/>
      <c r="L40" s="393">
        <f t="shared" si="0"/>
        <v>97</v>
      </c>
    </row>
    <row r="41" spans="1:14" s="406" customFormat="1" ht="18.75" customHeight="1">
      <c r="A41" s="384">
        <v>23</v>
      </c>
      <c r="B41" s="849" t="s">
        <v>339</v>
      </c>
      <c r="C41" s="851"/>
      <c r="D41" s="414"/>
      <c r="E41" s="396"/>
      <c r="F41" s="397"/>
      <c r="G41" s="391"/>
      <c r="H41" s="399"/>
      <c r="I41" s="399"/>
      <c r="J41" s="391"/>
      <c r="K41" s="392"/>
      <c r="L41" s="394">
        <f>(SUM(L17:L40))</f>
        <v>10531.710000000001</v>
      </c>
    </row>
    <row r="42" spans="1:14" s="406" customFormat="1">
      <c r="A42" s="848" t="s">
        <v>340</v>
      </c>
      <c r="B42" s="848"/>
      <c r="C42" s="848"/>
      <c r="D42" s="848"/>
      <c r="E42" s="848"/>
      <c r="F42" s="848"/>
      <c r="G42" s="848"/>
      <c r="H42" s="848"/>
      <c r="I42" s="848"/>
      <c r="J42" s="848"/>
      <c r="K42" s="848"/>
      <c r="L42" s="848"/>
    </row>
    <row r="43" spans="1:14" s="406" customFormat="1" ht="48" customHeight="1">
      <c r="A43" s="403">
        <v>24</v>
      </c>
      <c r="B43" s="385" t="s">
        <v>341</v>
      </c>
      <c r="C43" s="395" t="s">
        <v>342</v>
      </c>
      <c r="D43" s="385" t="s">
        <v>343</v>
      </c>
      <c r="E43" s="396">
        <v>0.25</v>
      </c>
      <c r="F43" s="399" t="s">
        <v>317</v>
      </c>
      <c r="G43" s="415" t="s">
        <v>514</v>
      </c>
      <c r="H43" s="415"/>
      <c r="I43" s="415"/>
      <c r="J43" s="391"/>
      <c r="K43" s="404"/>
      <c r="L43" s="393">
        <f>ROUND(L41*E43,2)</f>
        <v>2632.93</v>
      </c>
    </row>
    <row r="44" spans="1:14" s="406" customFormat="1" ht="48.75" customHeight="1">
      <c r="A44" s="403">
        <v>25</v>
      </c>
      <c r="B44" s="385" t="s">
        <v>344</v>
      </c>
      <c r="C44" s="395" t="s">
        <v>342</v>
      </c>
      <c r="D44" s="385" t="s">
        <v>345</v>
      </c>
      <c r="E44" s="396">
        <v>0.3</v>
      </c>
      <c r="F44" s="399" t="s">
        <v>317</v>
      </c>
      <c r="G44" s="415" t="s">
        <v>514</v>
      </c>
      <c r="H44" s="415"/>
      <c r="I44" s="415"/>
      <c r="J44" s="391"/>
      <c r="K44" s="404"/>
      <c r="L44" s="393">
        <f>ROUND(L41*E44,2)</f>
        <v>3159.51</v>
      </c>
    </row>
    <row r="45" spans="1:14" s="406" customFormat="1" ht="45.75" customHeight="1">
      <c r="A45" s="384">
        <v>26</v>
      </c>
      <c r="B45" s="385" t="s">
        <v>346</v>
      </c>
      <c r="C45" s="395" t="s">
        <v>347</v>
      </c>
      <c r="D45" s="385" t="s">
        <v>348</v>
      </c>
      <c r="E45" s="396">
        <v>16.25</v>
      </c>
      <c r="F45" s="399" t="s">
        <v>317</v>
      </c>
      <c r="G45" s="416" t="s">
        <v>515</v>
      </c>
      <c r="H45" s="417"/>
      <c r="I45" s="417" t="s">
        <v>355</v>
      </c>
      <c r="J45" s="417"/>
      <c r="K45" s="418"/>
      <c r="L45" s="393">
        <f>ROUND((L41+L44+L43)*E45/100,2)</f>
        <v>2652.67</v>
      </c>
      <c r="N45" s="419"/>
    </row>
    <row r="46" spans="1:14" s="406" customFormat="1" ht="45.75" customHeight="1">
      <c r="A46" s="403">
        <v>27</v>
      </c>
      <c r="B46" s="385" t="s">
        <v>349</v>
      </c>
      <c r="C46" s="395" t="s">
        <v>350</v>
      </c>
      <c r="D46" s="385" t="s">
        <v>351</v>
      </c>
      <c r="E46" s="396">
        <v>39.200000000000003</v>
      </c>
      <c r="F46" s="399" t="s">
        <v>317</v>
      </c>
      <c r="G46" s="416" t="s">
        <v>516</v>
      </c>
      <c r="H46" s="417"/>
      <c r="I46" s="420" t="s">
        <v>355</v>
      </c>
      <c r="J46" s="421"/>
      <c r="K46" s="418"/>
      <c r="L46" s="393">
        <f>ROUND((L41+L44+L43+L45)*E46/100,2)</f>
        <v>7438.91</v>
      </c>
    </row>
    <row r="47" spans="1:14" s="406" customFormat="1" ht="46.5" customHeight="1">
      <c r="A47" s="384">
        <v>28</v>
      </c>
      <c r="B47" s="385" t="s">
        <v>352</v>
      </c>
      <c r="C47" s="395" t="s">
        <v>347</v>
      </c>
      <c r="D47" s="385" t="s">
        <v>517</v>
      </c>
      <c r="E47" s="396">
        <v>6</v>
      </c>
      <c r="F47" s="399" t="s">
        <v>317</v>
      </c>
      <c r="G47" s="416" t="s">
        <v>516</v>
      </c>
      <c r="H47" s="417"/>
      <c r="I47" s="417" t="s">
        <v>355</v>
      </c>
      <c r="J47" s="421" t="s">
        <v>317</v>
      </c>
      <c r="K47" s="422">
        <v>2.5</v>
      </c>
      <c r="L47" s="393">
        <f>ROUND((L41+L44+L43+L45)*K47*E47/100,2)</f>
        <v>2846.52</v>
      </c>
    </row>
    <row r="48" spans="1:14" s="406" customFormat="1" ht="49.5" hidden="1" customHeight="1">
      <c r="A48" s="403">
        <v>32</v>
      </c>
      <c r="B48" s="423" t="s">
        <v>518</v>
      </c>
      <c r="C48" s="424" t="s">
        <v>519</v>
      </c>
      <c r="D48" s="385" t="s">
        <v>520</v>
      </c>
      <c r="E48" s="396">
        <v>0</v>
      </c>
      <c r="F48" s="399" t="s">
        <v>317</v>
      </c>
      <c r="G48" s="416" t="s">
        <v>521</v>
      </c>
      <c r="H48" s="417"/>
      <c r="I48" s="417"/>
      <c r="J48" s="421"/>
      <c r="K48" s="422"/>
      <c r="L48" s="393">
        <f>ROUND((L41+L44+L43+L45+L46+L47)*E48,2)</f>
        <v>0</v>
      </c>
    </row>
    <row r="49" spans="1:12" s="406" customFormat="1">
      <c r="A49" s="384">
        <v>29</v>
      </c>
      <c r="B49" s="849" t="s">
        <v>356</v>
      </c>
      <c r="C49" s="850"/>
      <c r="D49" s="850"/>
      <c r="E49" s="850"/>
      <c r="F49" s="850"/>
      <c r="G49" s="850"/>
      <c r="H49" s="850"/>
      <c r="I49" s="850"/>
      <c r="J49" s="850"/>
      <c r="K49" s="851"/>
      <c r="L49" s="394">
        <f>SUM(L43:L48)</f>
        <v>18730.54</v>
      </c>
    </row>
    <row r="50" spans="1:12" s="406" customFormat="1">
      <c r="A50" s="852" t="s">
        <v>357</v>
      </c>
      <c r="B50" s="852"/>
      <c r="C50" s="852"/>
      <c r="D50" s="852"/>
      <c r="E50" s="852"/>
      <c r="F50" s="852"/>
      <c r="G50" s="852"/>
      <c r="H50" s="852"/>
      <c r="I50" s="852"/>
      <c r="J50" s="852"/>
      <c r="K50" s="852"/>
      <c r="L50" s="852"/>
    </row>
    <row r="51" spans="1:12" s="406" customFormat="1">
      <c r="A51" s="677"/>
      <c r="B51" s="859" t="s">
        <v>522</v>
      </c>
      <c r="C51" s="860"/>
      <c r="D51" s="860"/>
      <c r="E51" s="860"/>
      <c r="F51" s="860"/>
      <c r="G51" s="860"/>
      <c r="H51" s="860"/>
      <c r="I51" s="860"/>
      <c r="J51" s="860"/>
      <c r="K51" s="860"/>
      <c r="L51" s="678"/>
    </row>
    <row r="52" spans="1:12" s="406" customFormat="1" ht="29.25" customHeight="1">
      <c r="A52" s="384">
        <v>30</v>
      </c>
      <c r="B52" s="425" t="s">
        <v>523</v>
      </c>
      <c r="C52" s="426" t="s">
        <v>374</v>
      </c>
      <c r="D52" s="425" t="s">
        <v>524</v>
      </c>
      <c r="E52" s="427">
        <v>50</v>
      </c>
      <c r="F52" s="428" t="s">
        <v>317</v>
      </c>
      <c r="G52" s="429">
        <v>8.5</v>
      </c>
      <c r="H52" s="429"/>
      <c r="I52" s="429"/>
      <c r="J52" s="429"/>
      <c r="K52" s="430"/>
      <c r="L52" s="431">
        <f>E52*G52</f>
        <v>425</v>
      </c>
    </row>
    <row r="53" spans="1:12" s="406" customFormat="1" ht="19.5" customHeight="1">
      <c r="A53" s="384">
        <v>31</v>
      </c>
      <c r="B53" s="385" t="s">
        <v>525</v>
      </c>
      <c r="C53" s="403" t="s">
        <v>374</v>
      </c>
      <c r="D53" s="385" t="s">
        <v>526</v>
      </c>
      <c r="E53" s="388">
        <f>E52</f>
        <v>50</v>
      </c>
      <c r="F53" s="389" t="s">
        <v>317</v>
      </c>
      <c r="G53" s="432">
        <v>2</v>
      </c>
      <c r="H53" s="391"/>
      <c r="I53" s="391"/>
      <c r="J53" s="391"/>
      <c r="K53" s="404"/>
      <c r="L53" s="393">
        <f>E53*G53</f>
        <v>100</v>
      </c>
    </row>
    <row r="54" spans="1:12" s="406" customFormat="1" ht="60.75" customHeight="1">
      <c r="A54" s="384">
        <v>32</v>
      </c>
      <c r="B54" s="385" t="s">
        <v>527</v>
      </c>
      <c r="C54" s="403" t="s">
        <v>374</v>
      </c>
      <c r="D54" s="385" t="s">
        <v>528</v>
      </c>
      <c r="E54" s="388">
        <f t="shared" ref="E54:E59" si="1">E53</f>
        <v>50</v>
      </c>
      <c r="F54" s="389" t="s">
        <v>317</v>
      </c>
      <c r="G54" s="391">
        <v>52.3</v>
      </c>
      <c r="H54" s="391"/>
      <c r="I54" s="391"/>
      <c r="J54" s="391"/>
      <c r="K54" s="404"/>
      <c r="L54" s="393">
        <f>E54*G54</f>
        <v>2615</v>
      </c>
    </row>
    <row r="55" spans="1:12" s="406" customFormat="1" ht="45.75" customHeight="1">
      <c r="A55" s="384">
        <v>33</v>
      </c>
      <c r="B55" s="385" t="s">
        <v>529</v>
      </c>
      <c r="C55" s="403" t="s">
        <v>374</v>
      </c>
      <c r="D55" s="385" t="s">
        <v>530</v>
      </c>
      <c r="E55" s="388">
        <f t="shared" si="1"/>
        <v>50</v>
      </c>
      <c r="F55" s="389" t="s">
        <v>317</v>
      </c>
      <c r="G55" s="391">
        <v>7.8</v>
      </c>
      <c r="H55" s="420" t="s">
        <v>317</v>
      </c>
      <c r="I55" s="399">
        <v>4</v>
      </c>
      <c r="J55" s="420"/>
      <c r="K55" s="433"/>
      <c r="L55" s="393">
        <f>E55*G55*I55</f>
        <v>1560</v>
      </c>
    </row>
    <row r="56" spans="1:12" s="406" customFormat="1" ht="61.5" customHeight="1">
      <c r="A56" s="384">
        <v>34</v>
      </c>
      <c r="B56" s="385" t="s">
        <v>531</v>
      </c>
      <c r="C56" s="403" t="s">
        <v>374</v>
      </c>
      <c r="D56" s="385" t="s">
        <v>532</v>
      </c>
      <c r="E56" s="388">
        <f t="shared" si="1"/>
        <v>50</v>
      </c>
      <c r="F56" s="389" t="s">
        <v>317</v>
      </c>
      <c r="G56" s="432">
        <v>23</v>
      </c>
      <c r="H56" s="420"/>
      <c r="I56" s="399"/>
      <c r="J56" s="420"/>
      <c r="K56" s="433"/>
      <c r="L56" s="393">
        <f>E56*G56</f>
        <v>1150</v>
      </c>
    </row>
    <row r="57" spans="1:12" s="406" customFormat="1" ht="45" customHeight="1">
      <c r="A57" s="384">
        <v>35</v>
      </c>
      <c r="B57" s="385" t="s">
        <v>533</v>
      </c>
      <c r="C57" s="403" t="s">
        <v>374</v>
      </c>
      <c r="D57" s="385" t="s">
        <v>534</v>
      </c>
      <c r="E57" s="388">
        <f t="shared" si="1"/>
        <v>50</v>
      </c>
      <c r="F57" s="391" t="s">
        <v>317</v>
      </c>
      <c r="G57" s="432">
        <v>13.3</v>
      </c>
      <c r="H57" s="420" t="s">
        <v>317</v>
      </c>
      <c r="I57" s="399">
        <v>2</v>
      </c>
      <c r="J57" s="420"/>
      <c r="K57" s="433"/>
      <c r="L57" s="393">
        <f>E57*G57*I57</f>
        <v>1330</v>
      </c>
    </row>
    <row r="58" spans="1:12" s="406" customFormat="1" ht="17.25" customHeight="1">
      <c r="A58" s="384">
        <v>36</v>
      </c>
      <c r="B58" s="385" t="s">
        <v>535</v>
      </c>
      <c r="C58" s="403" t="s">
        <v>374</v>
      </c>
      <c r="D58" s="407" t="s">
        <v>536</v>
      </c>
      <c r="E58" s="388">
        <f t="shared" si="1"/>
        <v>50</v>
      </c>
      <c r="F58" s="389" t="s">
        <v>317</v>
      </c>
      <c r="G58" s="432">
        <v>19.7</v>
      </c>
      <c r="H58" s="420"/>
      <c r="I58" s="420"/>
      <c r="J58" s="420"/>
      <c r="K58" s="433"/>
      <c r="L58" s="393">
        <f t="shared" ref="L58:L72" si="2">E58*G58</f>
        <v>985</v>
      </c>
    </row>
    <row r="59" spans="1:12" s="406" customFormat="1">
      <c r="A59" s="384">
        <f>A58+1</f>
        <v>37</v>
      </c>
      <c r="B59" s="385" t="s">
        <v>537</v>
      </c>
      <c r="C59" s="403" t="s">
        <v>374</v>
      </c>
      <c r="D59" s="407" t="s">
        <v>538</v>
      </c>
      <c r="E59" s="388">
        <f t="shared" si="1"/>
        <v>50</v>
      </c>
      <c r="F59" s="389" t="s">
        <v>317</v>
      </c>
      <c r="G59" s="432">
        <v>95.8</v>
      </c>
      <c r="H59" s="420"/>
      <c r="I59" s="420"/>
      <c r="J59" s="420"/>
      <c r="K59" s="433"/>
      <c r="L59" s="393">
        <f t="shared" si="2"/>
        <v>4790</v>
      </c>
    </row>
    <row r="60" spans="1:12" s="406" customFormat="1" hidden="1">
      <c r="A60" s="384">
        <v>42</v>
      </c>
      <c r="B60" s="385" t="s">
        <v>539</v>
      </c>
      <c r="C60" s="403" t="s">
        <v>374</v>
      </c>
      <c r="D60" s="407" t="s">
        <v>540</v>
      </c>
      <c r="E60" s="388">
        <v>0</v>
      </c>
      <c r="F60" s="389" t="s">
        <v>317</v>
      </c>
      <c r="G60" s="432">
        <v>5.4</v>
      </c>
      <c r="H60" s="420"/>
      <c r="I60" s="420"/>
      <c r="J60" s="420"/>
      <c r="K60" s="433"/>
      <c r="L60" s="393">
        <f t="shared" si="2"/>
        <v>0</v>
      </c>
    </row>
    <row r="61" spans="1:12" s="406" customFormat="1" hidden="1">
      <c r="A61" s="384">
        <f t="shared" ref="A61:A68" si="3">A60+1</f>
        <v>43</v>
      </c>
      <c r="B61" s="385" t="s">
        <v>541</v>
      </c>
      <c r="C61" s="403" t="s">
        <v>374</v>
      </c>
      <c r="D61" s="407" t="s">
        <v>542</v>
      </c>
      <c r="E61" s="388">
        <v>0</v>
      </c>
      <c r="F61" s="389" t="s">
        <v>317</v>
      </c>
      <c r="G61" s="432">
        <v>5.4</v>
      </c>
      <c r="H61" s="420"/>
      <c r="I61" s="420"/>
      <c r="J61" s="420"/>
      <c r="K61" s="433"/>
      <c r="L61" s="393">
        <f t="shared" si="2"/>
        <v>0</v>
      </c>
    </row>
    <row r="62" spans="1:12" s="406" customFormat="1" hidden="1">
      <c r="A62" s="384">
        <f t="shared" si="3"/>
        <v>44</v>
      </c>
      <c r="B62" s="385" t="s">
        <v>543</v>
      </c>
      <c r="C62" s="403" t="s">
        <v>374</v>
      </c>
      <c r="D62" s="407" t="s">
        <v>544</v>
      </c>
      <c r="E62" s="388">
        <f>E61</f>
        <v>0</v>
      </c>
      <c r="F62" s="389" t="s">
        <v>317</v>
      </c>
      <c r="G62" s="432">
        <v>5.3</v>
      </c>
      <c r="H62" s="420"/>
      <c r="I62" s="420"/>
      <c r="J62" s="420"/>
      <c r="K62" s="433"/>
      <c r="L62" s="393">
        <f t="shared" si="2"/>
        <v>0</v>
      </c>
    </row>
    <row r="63" spans="1:12" s="406" customFormat="1" ht="30" hidden="1">
      <c r="A63" s="384">
        <f t="shared" si="3"/>
        <v>45</v>
      </c>
      <c r="B63" s="385" t="s">
        <v>545</v>
      </c>
      <c r="C63" s="403" t="s">
        <v>374</v>
      </c>
      <c r="D63" s="407" t="s">
        <v>546</v>
      </c>
      <c r="E63" s="388">
        <f>E62</f>
        <v>0</v>
      </c>
      <c r="F63" s="389" t="s">
        <v>317</v>
      </c>
      <c r="G63" s="432">
        <v>86</v>
      </c>
      <c r="H63" s="420"/>
      <c r="I63" s="420"/>
      <c r="J63" s="420"/>
      <c r="K63" s="433"/>
      <c r="L63" s="393">
        <f t="shared" si="2"/>
        <v>0</v>
      </c>
    </row>
    <row r="64" spans="1:12" s="406" customFormat="1" hidden="1">
      <c r="A64" s="384">
        <f t="shared" si="3"/>
        <v>46</v>
      </c>
      <c r="B64" s="385" t="s">
        <v>547</v>
      </c>
      <c r="C64" s="403" t="s">
        <v>374</v>
      </c>
      <c r="D64" s="407" t="s">
        <v>548</v>
      </c>
      <c r="E64" s="388">
        <f>E63</f>
        <v>0</v>
      </c>
      <c r="F64" s="389" t="s">
        <v>317</v>
      </c>
      <c r="G64" s="432">
        <v>59</v>
      </c>
      <c r="H64" s="420"/>
      <c r="I64" s="420"/>
      <c r="J64" s="420"/>
      <c r="K64" s="433"/>
      <c r="L64" s="393">
        <f t="shared" si="2"/>
        <v>0</v>
      </c>
    </row>
    <row r="65" spans="1:12" s="406" customFormat="1" hidden="1">
      <c r="A65" s="384">
        <f t="shared" si="3"/>
        <v>47</v>
      </c>
      <c r="B65" s="385" t="s">
        <v>549</v>
      </c>
      <c r="C65" s="403" t="s">
        <v>374</v>
      </c>
      <c r="D65" s="407" t="s">
        <v>550</v>
      </c>
      <c r="E65" s="388">
        <f>E64</f>
        <v>0</v>
      </c>
      <c r="F65" s="389" t="s">
        <v>317</v>
      </c>
      <c r="G65" s="432">
        <v>15.2</v>
      </c>
      <c r="H65" s="420"/>
      <c r="I65" s="420"/>
      <c r="J65" s="420"/>
      <c r="K65" s="433"/>
      <c r="L65" s="393">
        <f t="shared" si="2"/>
        <v>0</v>
      </c>
    </row>
    <row r="66" spans="1:12" s="406" customFormat="1" hidden="1">
      <c r="A66" s="384">
        <f t="shared" si="3"/>
        <v>48</v>
      </c>
      <c r="B66" s="385" t="s">
        <v>551</v>
      </c>
      <c r="C66" s="403" t="s">
        <v>374</v>
      </c>
      <c r="D66" s="407" t="s">
        <v>548</v>
      </c>
      <c r="E66" s="388">
        <f>E65</f>
        <v>0</v>
      </c>
      <c r="F66" s="389" t="s">
        <v>317</v>
      </c>
      <c r="G66" s="432">
        <v>59</v>
      </c>
      <c r="H66" s="420"/>
      <c r="I66" s="420"/>
      <c r="J66" s="420"/>
      <c r="K66" s="433"/>
      <c r="L66" s="393">
        <f t="shared" si="2"/>
        <v>0</v>
      </c>
    </row>
    <row r="67" spans="1:12" s="406" customFormat="1" hidden="1">
      <c r="A67" s="384">
        <f t="shared" si="3"/>
        <v>49</v>
      </c>
      <c r="B67" s="385" t="s">
        <v>552</v>
      </c>
      <c r="C67" s="403" t="s">
        <v>374</v>
      </c>
      <c r="D67" s="407" t="s">
        <v>553</v>
      </c>
      <c r="E67" s="388">
        <v>0</v>
      </c>
      <c r="F67" s="389" t="s">
        <v>317</v>
      </c>
      <c r="G67" s="432">
        <v>86</v>
      </c>
      <c r="H67" s="420"/>
      <c r="I67" s="420"/>
      <c r="J67" s="420"/>
      <c r="K67" s="433"/>
      <c r="L67" s="393">
        <f t="shared" si="2"/>
        <v>0</v>
      </c>
    </row>
    <row r="68" spans="1:12" s="406" customFormat="1" hidden="1">
      <c r="A68" s="384">
        <f t="shared" si="3"/>
        <v>50</v>
      </c>
      <c r="B68" s="385" t="s">
        <v>554</v>
      </c>
      <c r="C68" s="403" t="s">
        <v>374</v>
      </c>
      <c r="D68" s="407" t="s">
        <v>548</v>
      </c>
      <c r="E68" s="388">
        <v>0</v>
      </c>
      <c r="F68" s="389" t="s">
        <v>317</v>
      </c>
      <c r="G68" s="432">
        <v>59</v>
      </c>
      <c r="H68" s="420"/>
      <c r="I68" s="420"/>
      <c r="J68" s="420"/>
      <c r="K68" s="433"/>
      <c r="L68" s="393">
        <f t="shared" si="2"/>
        <v>0</v>
      </c>
    </row>
    <row r="69" spans="1:12" s="406" customFormat="1" ht="30.75" customHeight="1">
      <c r="A69" s="384">
        <v>38</v>
      </c>
      <c r="B69" s="385" t="s">
        <v>555</v>
      </c>
      <c r="C69" s="403" t="s">
        <v>374</v>
      </c>
      <c r="D69" s="407" t="s">
        <v>556</v>
      </c>
      <c r="E69" s="396">
        <f>E24</f>
        <v>15</v>
      </c>
      <c r="F69" s="389" t="s">
        <v>317</v>
      </c>
      <c r="G69" s="391">
        <v>147.4</v>
      </c>
      <c r="H69" s="420"/>
      <c r="I69" s="420"/>
      <c r="J69" s="420"/>
      <c r="K69" s="433"/>
      <c r="L69" s="393">
        <f t="shared" si="2"/>
        <v>2211</v>
      </c>
    </row>
    <row r="70" spans="1:12" s="406" customFormat="1" ht="30">
      <c r="A70" s="384">
        <f>A69+1</f>
        <v>39</v>
      </c>
      <c r="B70" s="385" t="s">
        <v>557</v>
      </c>
      <c r="C70" s="403" t="s">
        <v>374</v>
      </c>
      <c r="D70" s="407" t="s">
        <v>558</v>
      </c>
      <c r="E70" s="396">
        <v>10</v>
      </c>
      <c r="F70" s="389" t="s">
        <v>317</v>
      </c>
      <c r="G70" s="391">
        <v>9.1</v>
      </c>
      <c r="H70" s="420"/>
      <c r="I70" s="420"/>
      <c r="J70" s="420"/>
      <c r="K70" s="433"/>
      <c r="L70" s="393">
        <f t="shared" si="2"/>
        <v>91</v>
      </c>
    </row>
    <row r="71" spans="1:12" s="406" customFormat="1" ht="21" customHeight="1">
      <c r="A71" s="384">
        <f>A70+1</f>
        <v>40</v>
      </c>
      <c r="B71" s="385" t="s">
        <v>559</v>
      </c>
      <c r="C71" s="403" t="s">
        <v>374</v>
      </c>
      <c r="D71" s="407" t="s">
        <v>560</v>
      </c>
      <c r="E71" s="396">
        <f>E70</f>
        <v>10</v>
      </c>
      <c r="F71" s="389" t="s">
        <v>317</v>
      </c>
      <c r="G71" s="391">
        <v>7.6</v>
      </c>
      <c r="H71" s="420"/>
      <c r="I71" s="420"/>
      <c r="J71" s="420"/>
      <c r="K71" s="433"/>
      <c r="L71" s="393">
        <f t="shared" si="2"/>
        <v>76</v>
      </c>
    </row>
    <row r="72" spans="1:12" s="406" customFormat="1" ht="28.5" customHeight="1">
      <c r="A72" s="384">
        <f>A71+1</f>
        <v>41</v>
      </c>
      <c r="B72" s="385" t="s">
        <v>561</v>
      </c>
      <c r="C72" s="403" t="s">
        <v>374</v>
      </c>
      <c r="D72" s="385" t="s">
        <v>526</v>
      </c>
      <c r="E72" s="396">
        <f>E71</f>
        <v>10</v>
      </c>
      <c r="F72" s="397" t="s">
        <v>317</v>
      </c>
      <c r="G72" s="432">
        <v>2</v>
      </c>
      <c r="H72" s="391"/>
      <c r="I72" s="391"/>
      <c r="J72" s="391"/>
      <c r="K72" s="404"/>
      <c r="L72" s="393">
        <f t="shared" si="2"/>
        <v>20</v>
      </c>
    </row>
    <row r="73" spans="1:12" s="406" customFormat="1" ht="18" hidden="1" customHeight="1">
      <c r="A73" s="384"/>
      <c r="B73" s="861" t="s">
        <v>562</v>
      </c>
      <c r="C73" s="862"/>
      <c r="D73" s="862"/>
      <c r="E73" s="862"/>
      <c r="F73" s="862"/>
      <c r="G73" s="862"/>
      <c r="H73" s="862"/>
      <c r="I73" s="862"/>
      <c r="J73" s="862"/>
      <c r="K73" s="862"/>
      <c r="L73" s="434"/>
    </row>
    <row r="74" spans="1:12" s="406" customFormat="1" ht="32.25" hidden="1" customHeight="1">
      <c r="A74" s="384">
        <f>A72+1</f>
        <v>42</v>
      </c>
      <c r="B74" s="385" t="s">
        <v>523</v>
      </c>
      <c r="C74" s="408" t="s">
        <v>374</v>
      </c>
      <c r="D74" s="435" t="s">
        <v>524</v>
      </c>
      <c r="E74" s="388">
        <f>E33</f>
        <v>0</v>
      </c>
      <c r="F74" s="436" t="s">
        <v>317</v>
      </c>
      <c r="G74" s="410">
        <v>8.5</v>
      </c>
      <c r="H74" s="410"/>
      <c r="I74" s="410"/>
      <c r="J74" s="410"/>
      <c r="K74" s="437"/>
      <c r="L74" s="393">
        <f t="shared" ref="L74:L81" si="4">E74*G74</f>
        <v>0</v>
      </c>
    </row>
    <row r="75" spans="1:12" s="406" customFormat="1" ht="44.25" hidden="1" customHeight="1">
      <c r="A75" s="384">
        <f t="shared" ref="A75:A80" si="5">A74+1</f>
        <v>43</v>
      </c>
      <c r="B75" s="385" t="s">
        <v>563</v>
      </c>
      <c r="C75" s="408" t="s">
        <v>374</v>
      </c>
      <c r="D75" s="435" t="s">
        <v>526</v>
      </c>
      <c r="E75" s="388">
        <f>E33</f>
        <v>0</v>
      </c>
      <c r="F75" s="436" t="s">
        <v>317</v>
      </c>
      <c r="G75" s="438">
        <v>2</v>
      </c>
      <c r="H75" s="410"/>
      <c r="I75" s="410"/>
      <c r="J75" s="410"/>
      <c r="K75" s="437"/>
      <c r="L75" s="393">
        <f t="shared" si="4"/>
        <v>0</v>
      </c>
    </row>
    <row r="76" spans="1:12" s="406" customFormat="1" ht="46.5" hidden="1" customHeight="1">
      <c r="A76" s="384">
        <f t="shared" si="5"/>
        <v>44</v>
      </c>
      <c r="B76" s="385" t="s">
        <v>527</v>
      </c>
      <c r="C76" s="408" t="s">
        <v>374</v>
      </c>
      <c r="D76" s="435" t="s">
        <v>528</v>
      </c>
      <c r="E76" s="388">
        <f>E33</f>
        <v>0</v>
      </c>
      <c r="F76" s="436" t="s">
        <v>317</v>
      </c>
      <c r="G76" s="410">
        <v>52.3</v>
      </c>
      <c r="H76" s="410"/>
      <c r="I76" s="410"/>
      <c r="J76" s="410"/>
      <c r="K76" s="437"/>
      <c r="L76" s="393">
        <f t="shared" si="4"/>
        <v>0</v>
      </c>
    </row>
    <row r="77" spans="1:12" s="406" customFormat="1" ht="46.5" hidden="1" customHeight="1">
      <c r="A77" s="384">
        <f t="shared" si="5"/>
        <v>45</v>
      </c>
      <c r="B77" s="385" t="s">
        <v>564</v>
      </c>
      <c r="C77" s="408" t="s">
        <v>374</v>
      </c>
      <c r="D77" s="439" t="s">
        <v>530</v>
      </c>
      <c r="E77" s="388">
        <f>E33</f>
        <v>0</v>
      </c>
      <c r="F77" s="436" t="s">
        <v>317</v>
      </c>
      <c r="G77" s="410">
        <v>7.8</v>
      </c>
      <c r="H77" s="440" t="s">
        <v>317</v>
      </c>
      <c r="I77" s="411">
        <v>4</v>
      </c>
      <c r="J77" s="440"/>
      <c r="K77" s="441"/>
      <c r="L77" s="393">
        <f t="shared" si="4"/>
        <v>0</v>
      </c>
    </row>
    <row r="78" spans="1:12" s="406" customFormat="1" ht="69" hidden="1" customHeight="1">
      <c r="A78" s="384">
        <f t="shared" si="5"/>
        <v>46</v>
      </c>
      <c r="B78" s="385" t="s">
        <v>531</v>
      </c>
      <c r="C78" s="408" t="s">
        <v>374</v>
      </c>
      <c r="D78" s="435" t="s">
        <v>532</v>
      </c>
      <c r="E78" s="388">
        <f>E33</f>
        <v>0</v>
      </c>
      <c r="F78" s="436" t="s">
        <v>317</v>
      </c>
      <c r="G78" s="438">
        <v>23</v>
      </c>
      <c r="H78" s="440"/>
      <c r="I78" s="440"/>
      <c r="J78" s="440"/>
      <c r="K78" s="441"/>
      <c r="L78" s="393">
        <f t="shared" si="4"/>
        <v>0</v>
      </c>
    </row>
    <row r="79" spans="1:12" s="406" customFormat="1" ht="58.5" hidden="1" customHeight="1">
      <c r="A79" s="384">
        <f t="shared" si="5"/>
        <v>47</v>
      </c>
      <c r="B79" s="385" t="s">
        <v>565</v>
      </c>
      <c r="C79" s="408" t="s">
        <v>374</v>
      </c>
      <c r="D79" s="439" t="s">
        <v>534</v>
      </c>
      <c r="E79" s="388">
        <f>E33</f>
        <v>0</v>
      </c>
      <c r="F79" s="436" t="s">
        <v>317</v>
      </c>
      <c r="G79" s="438">
        <v>13.3</v>
      </c>
      <c r="H79" s="440" t="s">
        <v>317</v>
      </c>
      <c r="I79" s="411">
        <v>2</v>
      </c>
      <c r="J79" s="440"/>
      <c r="K79" s="441"/>
      <c r="L79" s="393">
        <f t="shared" si="4"/>
        <v>0</v>
      </c>
    </row>
    <row r="80" spans="1:12" s="406" customFormat="1" ht="18.75" hidden="1" customHeight="1">
      <c r="A80" s="384">
        <f t="shared" si="5"/>
        <v>48</v>
      </c>
      <c r="B80" s="385" t="s">
        <v>566</v>
      </c>
      <c r="C80" s="408" t="s">
        <v>374</v>
      </c>
      <c r="D80" s="435" t="s">
        <v>536</v>
      </c>
      <c r="E80" s="388">
        <f>E33</f>
        <v>0</v>
      </c>
      <c r="F80" s="436" t="s">
        <v>317</v>
      </c>
      <c r="G80" s="410">
        <v>19.7</v>
      </c>
      <c r="H80" s="440"/>
      <c r="I80" s="440"/>
      <c r="J80" s="440"/>
      <c r="K80" s="441"/>
      <c r="L80" s="393">
        <f t="shared" si="4"/>
        <v>0</v>
      </c>
    </row>
    <row r="81" spans="1:12" s="406" customFormat="1" ht="31.5" hidden="1" customHeight="1">
      <c r="A81" s="384">
        <v>62</v>
      </c>
      <c r="B81" s="385" t="s">
        <v>567</v>
      </c>
      <c r="C81" s="403" t="s">
        <v>374</v>
      </c>
      <c r="D81" s="385" t="s">
        <v>558</v>
      </c>
      <c r="E81" s="388">
        <f>E34</f>
        <v>0</v>
      </c>
      <c r="F81" s="389" t="s">
        <v>317</v>
      </c>
      <c r="G81" s="391">
        <v>9.1</v>
      </c>
      <c r="H81" s="420"/>
      <c r="I81" s="420"/>
      <c r="J81" s="420"/>
      <c r="K81" s="433"/>
      <c r="L81" s="393">
        <f t="shared" si="4"/>
        <v>0</v>
      </c>
    </row>
    <row r="82" spans="1:12" s="406" customFormat="1" ht="16.5" hidden="1" customHeight="1">
      <c r="A82" s="384"/>
      <c r="B82" s="861" t="s">
        <v>568</v>
      </c>
      <c r="C82" s="862"/>
      <c r="D82" s="862"/>
      <c r="E82" s="862"/>
      <c r="F82" s="862"/>
      <c r="G82" s="862"/>
      <c r="H82" s="862"/>
      <c r="I82" s="862"/>
      <c r="J82" s="862"/>
      <c r="K82" s="862"/>
      <c r="L82" s="393"/>
    </row>
    <row r="83" spans="1:12" s="406" customFormat="1" ht="33" hidden="1" customHeight="1">
      <c r="A83" s="384">
        <v>63</v>
      </c>
      <c r="B83" s="425" t="s">
        <v>569</v>
      </c>
      <c r="C83" s="442" t="s">
        <v>374</v>
      </c>
      <c r="D83" s="425" t="s">
        <v>570</v>
      </c>
      <c r="E83" s="443">
        <f>E32</f>
        <v>0</v>
      </c>
      <c r="F83" s="444" t="s">
        <v>317</v>
      </c>
      <c r="G83" s="429">
        <v>2.9</v>
      </c>
      <c r="H83" s="445"/>
      <c r="I83" s="445"/>
      <c r="J83" s="445"/>
      <c r="K83" s="430"/>
      <c r="L83" s="393">
        <f t="shared" ref="L83:L118" si="6">E83*G83</f>
        <v>0</v>
      </c>
    </row>
    <row r="84" spans="1:12" s="406" customFormat="1" ht="17.25" hidden="1" customHeight="1">
      <c r="A84" s="384">
        <f t="shared" ref="A84:A118" si="7">A83+1</f>
        <v>64</v>
      </c>
      <c r="B84" s="385" t="s">
        <v>571</v>
      </c>
      <c r="C84" s="403" t="s">
        <v>374</v>
      </c>
      <c r="D84" s="407" t="s">
        <v>572</v>
      </c>
      <c r="E84" s="446">
        <f t="shared" ref="E84:E118" si="8">E83</f>
        <v>0</v>
      </c>
      <c r="F84" s="447" t="s">
        <v>317</v>
      </c>
      <c r="G84" s="391">
        <v>0.9</v>
      </c>
      <c r="H84" s="420"/>
      <c r="I84" s="420"/>
      <c r="J84" s="420"/>
      <c r="K84" s="404"/>
      <c r="L84" s="393">
        <f t="shared" si="6"/>
        <v>0</v>
      </c>
    </row>
    <row r="85" spans="1:12" s="406" customFormat="1" ht="17.25" hidden="1" customHeight="1">
      <c r="A85" s="384">
        <f t="shared" si="7"/>
        <v>65</v>
      </c>
      <c r="B85" s="385" t="s">
        <v>573</v>
      </c>
      <c r="C85" s="403" t="s">
        <v>374</v>
      </c>
      <c r="D85" s="407" t="s">
        <v>574</v>
      </c>
      <c r="E85" s="446">
        <f t="shared" si="8"/>
        <v>0</v>
      </c>
      <c r="F85" s="447" t="s">
        <v>317</v>
      </c>
      <c r="G85" s="391">
        <v>4.5999999999999996</v>
      </c>
      <c r="H85" s="420"/>
      <c r="I85" s="420"/>
      <c r="J85" s="420"/>
      <c r="K85" s="430"/>
      <c r="L85" s="393">
        <f t="shared" si="6"/>
        <v>0</v>
      </c>
    </row>
    <row r="86" spans="1:12" s="406" customFormat="1" ht="17.25" hidden="1" customHeight="1">
      <c r="A86" s="384">
        <f t="shared" si="7"/>
        <v>66</v>
      </c>
      <c r="B86" s="385" t="s">
        <v>575</v>
      </c>
      <c r="C86" s="403" t="s">
        <v>374</v>
      </c>
      <c r="D86" s="407" t="s">
        <v>576</v>
      </c>
      <c r="E86" s="446">
        <f t="shared" si="8"/>
        <v>0</v>
      </c>
      <c r="F86" s="447" t="s">
        <v>317</v>
      </c>
      <c r="G86" s="391">
        <v>1.3</v>
      </c>
      <c r="H86" s="420"/>
      <c r="I86" s="420"/>
      <c r="J86" s="420"/>
      <c r="K86" s="404"/>
      <c r="L86" s="393">
        <f t="shared" si="6"/>
        <v>0</v>
      </c>
    </row>
    <row r="87" spans="1:12" s="406" customFormat="1" ht="17.25" hidden="1" customHeight="1">
      <c r="A87" s="384">
        <f t="shared" si="7"/>
        <v>67</v>
      </c>
      <c r="B87" s="385" t="s">
        <v>577</v>
      </c>
      <c r="C87" s="403" t="s">
        <v>374</v>
      </c>
      <c r="D87" s="407" t="s">
        <v>578</v>
      </c>
      <c r="E87" s="446">
        <f t="shared" si="8"/>
        <v>0</v>
      </c>
      <c r="F87" s="447" t="s">
        <v>317</v>
      </c>
      <c r="G87" s="391">
        <v>2.1</v>
      </c>
      <c r="H87" s="420"/>
      <c r="I87" s="420"/>
      <c r="J87" s="420"/>
      <c r="K87" s="430"/>
      <c r="L87" s="393">
        <f t="shared" si="6"/>
        <v>0</v>
      </c>
    </row>
    <row r="88" spans="1:12" s="406" customFormat="1" ht="29.25" hidden="1" customHeight="1">
      <c r="A88" s="384">
        <f t="shared" si="7"/>
        <v>68</v>
      </c>
      <c r="B88" s="385" t="s">
        <v>579</v>
      </c>
      <c r="C88" s="403" t="s">
        <v>374</v>
      </c>
      <c r="D88" s="407" t="s">
        <v>574</v>
      </c>
      <c r="E88" s="446">
        <f t="shared" si="8"/>
        <v>0</v>
      </c>
      <c r="F88" s="447" t="s">
        <v>317</v>
      </c>
      <c r="G88" s="391">
        <v>4.5999999999999996</v>
      </c>
      <c r="H88" s="420"/>
      <c r="I88" s="420"/>
      <c r="J88" s="420"/>
      <c r="K88" s="404"/>
      <c r="L88" s="393">
        <f t="shared" si="6"/>
        <v>0</v>
      </c>
    </row>
    <row r="89" spans="1:12" s="406" customFormat="1" ht="29.25" hidden="1" customHeight="1">
      <c r="A89" s="384">
        <f t="shared" si="7"/>
        <v>69</v>
      </c>
      <c r="B89" s="385" t="s">
        <v>580</v>
      </c>
      <c r="C89" s="403" t="s">
        <v>374</v>
      </c>
      <c r="D89" s="407" t="s">
        <v>581</v>
      </c>
      <c r="E89" s="446">
        <f t="shared" si="8"/>
        <v>0</v>
      </c>
      <c r="F89" s="447" t="s">
        <v>317</v>
      </c>
      <c r="G89" s="391">
        <v>5</v>
      </c>
      <c r="H89" s="420"/>
      <c r="I89" s="420"/>
      <c r="J89" s="420"/>
      <c r="K89" s="430"/>
      <c r="L89" s="393">
        <f t="shared" si="6"/>
        <v>0</v>
      </c>
    </row>
    <row r="90" spans="1:12" s="406" customFormat="1" ht="16.5" hidden="1" customHeight="1">
      <c r="A90" s="384">
        <f t="shared" si="7"/>
        <v>70</v>
      </c>
      <c r="B90" s="385" t="s">
        <v>582</v>
      </c>
      <c r="C90" s="403" t="s">
        <v>374</v>
      </c>
      <c r="D90" s="407" t="s">
        <v>583</v>
      </c>
      <c r="E90" s="446">
        <f t="shared" si="8"/>
        <v>0</v>
      </c>
      <c r="F90" s="447" t="s">
        <v>317</v>
      </c>
      <c r="G90" s="391">
        <v>7.1</v>
      </c>
      <c r="H90" s="420"/>
      <c r="I90" s="420"/>
      <c r="J90" s="420"/>
      <c r="K90" s="404"/>
      <c r="L90" s="393">
        <f t="shared" si="6"/>
        <v>0</v>
      </c>
    </row>
    <row r="91" spans="1:12" s="406" customFormat="1" ht="29.25" hidden="1" customHeight="1">
      <c r="A91" s="384">
        <f t="shared" si="7"/>
        <v>71</v>
      </c>
      <c r="B91" s="385" t="s">
        <v>584</v>
      </c>
      <c r="C91" s="395" t="s">
        <v>374</v>
      </c>
      <c r="D91" s="385" t="s">
        <v>585</v>
      </c>
      <c r="E91" s="446">
        <f t="shared" si="8"/>
        <v>0</v>
      </c>
      <c r="F91" s="447" t="s">
        <v>317</v>
      </c>
      <c r="G91" s="391">
        <v>14.7</v>
      </c>
      <c r="H91" s="420"/>
      <c r="I91" s="420"/>
      <c r="J91" s="420"/>
      <c r="K91" s="430"/>
      <c r="L91" s="393">
        <f t="shared" si="6"/>
        <v>0</v>
      </c>
    </row>
    <row r="92" spans="1:12" s="406" customFormat="1" ht="15.75" hidden="1" customHeight="1">
      <c r="A92" s="384">
        <f t="shared" si="7"/>
        <v>72</v>
      </c>
      <c r="B92" s="385" t="s">
        <v>586</v>
      </c>
      <c r="C92" s="403" t="s">
        <v>374</v>
      </c>
      <c r="D92" s="407" t="s">
        <v>587</v>
      </c>
      <c r="E92" s="446">
        <f t="shared" si="8"/>
        <v>0</v>
      </c>
      <c r="F92" s="447" t="s">
        <v>317</v>
      </c>
      <c r="G92" s="391">
        <v>8.8000000000000007</v>
      </c>
      <c r="H92" s="420"/>
      <c r="I92" s="420"/>
      <c r="J92" s="420"/>
      <c r="K92" s="404"/>
      <c r="L92" s="393">
        <f t="shared" si="6"/>
        <v>0</v>
      </c>
    </row>
    <row r="93" spans="1:12" s="406" customFormat="1" ht="15.75" hidden="1" customHeight="1">
      <c r="A93" s="384">
        <f t="shared" si="7"/>
        <v>73</v>
      </c>
      <c r="B93" s="385" t="s">
        <v>588</v>
      </c>
      <c r="C93" s="403" t="s">
        <v>374</v>
      </c>
      <c r="D93" s="407" t="s">
        <v>589</v>
      </c>
      <c r="E93" s="446">
        <f t="shared" si="8"/>
        <v>0</v>
      </c>
      <c r="F93" s="447" t="s">
        <v>317</v>
      </c>
      <c r="G93" s="391">
        <v>10.3</v>
      </c>
      <c r="H93" s="420"/>
      <c r="I93" s="420"/>
      <c r="J93" s="420"/>
      <c r="K93" s="430"/>
      <c r="L93" s="393">
        <f t="shared" si="6"/>
        <v>0</v>
      </c>
    </row>
    <row r="94" spans="1:12" s="406" customFormat="1" ht="15.75" hidden="1" customHeight="1">
      <c r="A94" s="384">
        <f t="shared" si="7"/>
        <v>74</v>
      </c>
      <c r="B94" s="385" t="s">
        <v>590</v>
      </c>
      <c r="C94" s="403" t="s">
        <v>374</v>
      </c>
      <c r="D94" s="407" t="s">
        <v>591</v>
      </c>
      <c r="E94" s="446">
        <f t="shared" si="8"/>
        <v>0</v>
      </c>
      <c r="F94" s="447" t="s">
        <v>317</v>
      </c>
      <c r="G94" s="391">
        <v>7.4</v>
      </c>
      <c r="H94" s="420"/>
      <c r="I94" s="420"/>
      <c r="J94" s="420"/>
      <c r="K94" s="404"/>
      <c r="L94" s="393">
        <f t="shared" si="6"/>
        <v>0</v>
      </c>
    </row>
    <row r="95" spans="1:12" s="406" customFormat="1" ht="15.75" hidden="1" customHeight="1">
      <c r="A95" s="384">
        <f t="shared" si="7"/>
        <v>75</v>
      </c>
      <c r="B95" s="385" t="s">
        <v>543</v>
      </c>
      <c r="C95" s="403" t="s">
        <v>374</v>
      </c>
      <c r="D95" s="407" t="s">
        <v>592</v>
      </c>
      <c r="E95" s="446">
        <f t="shared" si="8"/>
        <v>0</v>
      </c>
      <c r="F95" s="447" t="s">
        <v>317</v>
      </c>
      <c r="G95" s="391">
        <v>3.1</v>
      </c>
      <c r="H95" s="420"/>
      <c r="I95" s="420"/>
      <c r="J95" s="420"/>
      <c r="K95" s="430"/>
      <c r="L95" s="393">
        <f t="shared" si="6"/>
        <v>0</v>
      </c>
    </row>
    <row r="96" spans="1:12" s="406" customFormat="1" ht="15.75" hidden="1" customHeight="1">
      <c r="A96" s="384">
        <f t="shared" si="7"/>
        <v>76</v>
      </c>
      <c r="B96" s="385" t="s">
        <v>593</v>
      </c>
      <c r="C96" s="403" t="s">
        <v>374</v>
      </c>
      <c r="D96" s="407" t="s">
        <v>594</v>
      </c>
      <c r="E96" s="446">
        <f t="shared" si="8"/>
        <v>0</v>
      </c>
      <c r="F96" s="447" t="s">
        <v>317</v>
      </c>
      <c r="G96" s="391">
        <v>2.7</v>
      </c>
      <c r="H96" s="420"/>
      <c r="I96" s="420"/>
      <c r="J96" s="420"/>
      <c r="K96" s="404"/>
      <c r="L96" s="393">
        <f t="shared" si="6"/>
        <v>0</v>
      </c>
    </row>
    <row r="97" spans="1:12" s="406" customFormat="1" ht="15.75" hidden="1" customHeight="1">
      <c r="A97" s="384">
        <f t="shared" si="7"/>
        <v>77</v>
      </c>
      <c r="B97" s="385" t="s">
        <v>595</v>
      </c>
      <c r="C97" s="403" t="s">
        <v>374</v>
      </c>
      <c r="D97" s="407" t="s">
        <v>596</v>
      </c>
      <c r="E97" s="446">
        <f t="shared" si="8"/>
        <v>0</v>
      </c>
      <c r="F97" s="447" t="s">
        <v>317</v>
      </c>
      <c r="G97" s="391">
        <v>3.1</v>
      </c>
      <c r="H97" s="420"/>
      <c r="I97" s="420"/>
      <c r="J97" s="420"/>
      <c r="K97" s="430"/>
      <c r="L97" s="393">
        <f t="shared" si="6"/>
        <v>0</v>
      </c>
    </row>
    <row r="98" spans="1:12" s="406" customFormat="1" ht="15.75" hidden="1" customHeight="1">
      <c r="A98" s="384">
        <f t="shared" si="7"/>
        <v>78</v>
      </c>
      <c r="B98" s="385" t="s">
        <v>597</v>
      </c>
      <c r="C98" s="403" t="s">
        <v>374</v>
      </c>
      <c r="D98" s="407" t="s">
        <v>598</v>
      </c>
      <c r="E98" s="446">
        <f t="shared" si="8"/>
        <v>0</v>
      </c>
      <c r="F98" s="447" t="s">
        <v>317</v>
      </c>
      <c r="G98" s="391">
        <v>8.8000000000000007</v>
      </c>
      <c r="H98" s="420"/>
      <c r="I98" s="420"/>
      <c r="J98" s="420"/>
      <c r="K98" s="404"/>
      <c r="L98" s="393">
        <f t="shared" si="6"/>
        <v>0</v>
      </c>
    </row>
    <row r="99" spans="1:12" s="406" customFormat="1" ht="15.75" hidden="1" customHeight="1">
      <c r="A99" s="384">
        <f t="shared" si="7"/>
        <v>79</v>
      </c>
      <c r="B99" s="385" t="s">
        <v>599</v>
      </c>
      <c r="C99" s="403" t="s">
        <v>374</v>
      </c>
      <c r="D99" s="407" t="s">
        <v>600</v>
      </c>
      <c r="E99" s="446">
        <f t="shared" si="8"/>
        <v>0</v>
      </c>
      <c r="F99" s="447" t="s">
        <v>317</v>
      </c>
      <c r="G99" s="391">
        <v>8.3000000000000007</v>
      </c>
      <c r="H99" s="420"/>
      <c r="I99" s="420"/>
      <c r="J99" s="420"/>
      <c r="K99" s="430"/>
      <c r="L99" s="393">
        <f t="shared" si="6"/>
        <v>0</v>
      </c>
    </row>
    <row r="100" spans="1:12" s="406" customFormat="1" ht="15.75" hidden="1" customHeight="1">
      <c r="A100" s="384">
        <f t="shared" si="7"/>
        <v>80</v>
      </c>
      <c r="B100" s="385" t="s">
        <v>601</v>
      </c>
      <c r="C100" s="403" t="s">
        <v>374</v>
      </c>
      <c r="D100" s="407" t="s">
        <v>602</v>
      </c>
      <c r="E100" s="446">
        <f t="shared" si="8"/>
        <v>0</v>
      </c>
      <c r="F100" s="447" t="s">
        <v>317</v>
      </c>
      <c r="G100" s="391">
        <v>3</v>
      </c>
      <c r="H100" s="420"/>
      <c r="I100" s="420"/>
      <c r="J100" s="420"/>
      <c r="K100" s="404"/>
      <c r="L100" s="393">
        <f t="shared" si="6"/>
        <v>0</v>
      </c>
    </row>
    <row r="101" spans="1:12" s="406" customFormat="1" ht="15.75" hidden="1" customHeight="1">
      <c r="A101" s="384">
        <f t="shared" si="7"/>
        <v>81</v>
      </c>
      <c r="B101" s="385" t="s">
        <v>603</v>
      </c>
      <c r="C101" s="403" t="s">
        <v>374</v>
      </c>
      <c r="D101" s="407" t="s">
        <v>604</v>
      </c>
      <c r="E101" s="446">
        <f t="shared" si="8"/>
        <v>0</v>
      </c>
      <c r="F101" s="447" t="s">
        <v>317</v>
      </c>
      <c r="G101" s="391">
        <v>2.6</v>
      </c>
      <c r="H101" s="420"/>
      <c r="I101" s="420"/>
      <c r="J101" s="420"/>
      <c r="K101" s="430"/>
      <c r="L101" s="393">
        <f t="shared" si="6"/>
        <v>0</v>
      </c>
    </row>
    <row r="102" spans="1:12" s="406" customFormat="1" ht="15" hidden="1" customHeight="1">
      <c r="A102" s="384">
        <f t="shared" si="7"/>
        <v>82</v>
      </c>
      <c r="B102" s="385" t="s">
        <v>566</v>
      </c>
      <c r="C102" s="403" t="s">
        <v>374</v>
      </c>
      <c r="D102" s="407" t="s">
        <v>605</v>
      </c>
      <c r="E102" s="446">
        <f t="shared" si="8"/>
        <v>0</v>
      </c>
      <c r="F102" s="447" t="s">
        <v>317</v>
      </c>
      <c r="G102" s="391">
        <v>19.7</v>
      </c>
      <c r="H102" s="420"/>
      <c r="I102" s="420"/>
      <c r="J102" s="420"/>
      <c r="K102" s="404"/>
      <c r="L102" s="393">
        <f t="shared" si="6"/>
        <v>0</v>
      </c>
    </row>
    <row r="103" spans="1:12" s="406" customFormat="1" ht="15.75" hidden="1" customHeight="1">
      <c r="A103" s="384">
        <f t="shared" si="7"/>
        <v>83</v>
      </c>
      <c r="B103" s="385" t="s">
        <v>606</v>
      </c>
      <c r="C103" s="403" t="s">
        <v>374</v>
      </c>
      <c r="D103" s="407" t="s">
        <v>607</v>
      </c>
      <c r="E103" s="446">
        <f t="shared" si="8"/>
        <v>0</v>
      </c>
      <c r="F103" s="447" t="s">
        <v>317</v>
      </c>
      <c r="G103" s="391">
        <v>4.0999999999999996</v>
      </c>
      <c r="H103" s="420"/>
      <c r="I103" s="420"/>
      <c r="J103" s="420"/>
      <c r="K103" s="430"/>
      <c r="L103" s="393">
        <f t="shared" si="6"/>
        <v>0</v>
      </c>
    </row>
    <row r="104" spans="1:12" s="406" customFormat="1" ht="15.75" hidden="1" customHeight="1">
      <c r="A104" s="384">
        <f t="shared" si="7"/>
        <v>84</v>
      </c>
      <c r="B104" s="385" t="s">
        <v>547</v>
      </c>
      <c r="C104" s="403" t="s">
        <v>374</v>
      </c>
      <c r="D104" s="407" t="s">
        <v>608</v>
      </c>
      <c r="E104" s="446">
        <f t="shared" si="8"/>
        <v>0</v>
      </c>
      <c r="F104" s="447" t="s">
        <v>317</v>
      </c>
      <c r="G104" s="391">
        <v>11.3</v>
      </c>
      <c r="H104" s="420"/>
      <c r="I104" s="420"/>
      <c r="J104" s="420"/>
      <c r="K104" s="404"/>
      <c r="L104" s="393">
        <f t="shared" si="6"/>
        <v>0</v>
      </c>
    </row>
    <row r="105" spans="1:12" s="406" customFormat="1" ht="15.75" hidden="1" customHeight="1">
      <c r="A105" s="384">
        <f t="shared" si="7"/>
        <v>85</v>
      </c>
      <c r="B105" s="385" t="s">
        <v>609</v>
      </c>
      <c r="C105" s="403" t="s">
        <v>374</v>
      </c>
      <c r="D105" s="407" t="s">
        <v>610</v>
      </c>
      <c r="E105" s="446">
        <f t="shared" si="8"/>
        <v>0</v>
      </c>
      <c r="F105" s="447" t="s">
        <v>317</v>
      </c>
      <c r="G105" s="391">
        <v>6.1</v>
      </c>
      <c r="H105" s="420"/>
      <c r="I105" s="420"/>
      <c r="J105" s="420"/>
      <c r="K105" s="430"/>
      <c r="L105" s="393">
        <f t="shared" si="6"/>
        <v>0</v>
      </c>
    </row>
    <row r="106" spans="1:12" s="406" customFormat="1" ht="15.75" hidden="1" customHeight="1">
      <c r="A106" s="384">
        <f t="shared" si="7"/>
        <v>86</v>
      </c>
      <c r="B106" s="385" t="s">
        <v>611</v>
      </c>
      <c r="C106" s="403" t="s">
        <v>374</v>
      </c>
      <c r="D106" s="407" t="s">
        <v>612</v>
      </c>
      <c r="E106" s="446">
        <f t="shared" si="8"/>
        <v>0</v>
      </c>
      <c r="F106" s="447" t="s">
        <v>317</v>
      </c>
      <c r="G106" s="391">
        <v>9.6</v>
      </c>
      <c r="H106" s="420"/>
      <c r="I106" s="420"/>
      <c r="J106" s="420"/>
      <c r="K106" s="404"/>
      <c r="L106" s="393">
        <f t="shared" si="6"/>
        <v>0</v>
      </c>
    </row>
    <row r="107" spans="1:12" s="406" customFormat="1" ht="15.75" hidden="1" customHeight="1">
      <c r="A107" s="384">
        <f t="shared" si="7"/>
        <v>87</v>
      </c>
      <c r="B107" s="385" t="s">
        <v>613</v>
      </c>
      <c r="C107" s="403" t="s">
        <v>374</v>
      </c>
      <c r="D107" s="407" t="s">
        <v>614</v>
      </c>
      <c r="E107" s="446">
        <f t="shared" si="8"/>
        <v>0</v>
      </c>
      <c r="F107" s="447" t="s">
        <v>317</v>
      </c>
      <c r="G107" s="391">
        <v>23.5</v>
      </c>
      <c r="H107" s="420"/>
      <c r="I107" s="420"/>
      <c r="J107" s="420"/>
      <c r="K107" s="430"/>
      <c r="L107" s="393">
        <f t="shared" si="6"/>
        <v>0</v>
      </c>
    </row>
    <row r="108" spans="1:12" s="406" customFormat="1" ht="15.75" hidden="1" customHeight="1">
      <c r="A108" s="384">
        <f t="shared" si="7"/>
        <v>88</v>
      </c>
      <c r="B108" s="385" t="s">
        <v>615</v>
      </c>
      <c r="C108" s="403" t="s">
        <v>374</v>
      </c>
      <c r="D108" s="407" t="s">
        <v>616</v>
      </c>
      <c r="E108" s="446">
        <f t="shared" si="8"/>
        <v>0</v>
      </c>
      <c r="F108" s="447" t="s">
        <v>317</v>
      </c>
      <c r="G108" s="391">
        <v>21.5</v>
      </c>
      <c r="H108" s="420"/>
      <c r="I108" s="420"/>
      <c r="J108" s="420"/>
      <c r="K108" s="404"/>
      <c r="L108" s="393">
        <f t="shared" si="6"/>
        <v>0</v>
      </c>
    </row>
    <row r="109" spans="1:12" s="406" customFormat="1" ht="15.75" hidden="1" customHeight="1">
      <c r="A109" s="384">
        <f t="shared" si="7"/>
        <v>89</v>
      </c>
      <c r="B109" s="385" t="s">
        <v>617</v>
      </c>
      <c r="C109" s="403" t="s">
        <v>374</v>
      </c>
      <c r="D109" s="407" t="s">
        <v>618</v>
      </c>
      <c r="E109" s="446">
        <f t="shared" si="8"/>
        <v>0</v>
      </c>
      <c r="F109" s="447" t="s">
        <v>317</v>
      </c>
      <c r="G109" s="391">
        <v>12.2</v>
      </c>
      <c r="H109" s="420"/>
      <c r="I109" s="420"/>
      <c r="J109" s="420"/>
      <c r="K109" s="430"/>
      <c r="L109" s="393">
        <f t="shared" si="6"/>
        <v>0</v>
      </c>
    </row>
    <row r="110" spans="1:12" s="406" customFormat="1" ht="15.75" hidden="1" customHeight="1">
      <c r="A110" s="384">
        <f t="shared" si="7"/>
        <v>90</v>
      </c>
      <c r="B110" s="385" t="s">
        <v>619</v>
      </c>
      <c r="C110" s="403" t="s">
        <v>374</v>
      </c>
      <c r="D110" s="407" t="s">
        <v>620</v>
      </c>
      <c r="E110" s="446">
        <f t="shared" si="8"/>
        <v>0</v>
      </c>
      <c r="F110" s="447" t="s">
        <v>317</v>
      </c>
      <c r="G110" s="391">
        <v>8.1</v>
      </c>
      <c r="H110" s="420"/>
      <c r="I110" s="420"/>
      <c r="J110" s="420"/>
      <c r="K110" s="404"/>
      <c r="L110" s="393">
        <f t="shared" si="6"/>
        <v>0</v>
      </c>
    </row>
    <row r="111" spans="1:12" s="406" customFormat="1" ht="15.75" hidden="1" customHeight="1">
      <c r="A111" s="384">
        <f t="shared" si="7"/>
        <v>91</v>
      </c>
      <c r="B111" s="385" t="s">
        <v>621</v>
      </c>
      <c r="C111" s="403" t="s">
        <v>374</v>
      </c>
      <c r="D111" s="407" t="s">
        <v>622</v>
      </c>
      <c r="E111" s="446">
        <f t="shared" si="8"/>
        <v>0</v>
      </c>
      <c r="F111" s="447" t="s">
        <v>317</v>
      </c>
      <c r="G111" s="391">
        <v>4.5</v>
      </c>
      <c r="H111" s="420"/>
      <c r="I111" s="420"/>
      <c r="J111" s="420"/>
      <c r="K111" s="430"/>
      <c r="L111" s="393">
        <f t="shared" si="6"/>
        <v>0</v>
      </c>
    </row>
    <row r="112" spans="1:12" s="406" customFormat="1" ht="15.75" hidden="1" customHeight="1">
      <c r="A112" s="384">
        <f t="shared" si="7"/>
        <v>92</v>
      </c>
      <c r="B112" s="385" t="s">
        <v>623</v>
      </c>
      <c r="C112" s="403" t="s">
        <v>374</v>
      </c>
      <c r="D112" s="407" t="s">
        <v>624</v>
      </c>
      <c r="E112" s="446">
        <f t="shared" si="8"/>
        <v>0</v>
      </c>
      <c r="F112" s="447" t="s">
        <v>317</v>
      </c>
      <c r="G112" s="391">
        <v>15.7</v>
      </c>
      <c r="H112" s="420"/>
      <c r="I112" s="420"/>
      <c r="J112" s="420"/>
      <c r="K112" s="404"/>
      <c r="L112" s="393">
        <f t="shared" si="6"/>
        <v>0</v>
      </c>
    </row>
    <row r="113" spans="1:12" s="406" customFormat="1" ht="15.75" hidden="1" customHeight="1">
      <c r="A113" s="384">
        <f t="shared" si="7"/>
        <v>93</v>
      </c>
      <c r="B113" s="385" t="s">
        <v>625</v>
      </c>
      <c r="C113" s="403" t="s">
        <v>374</v>
      </c>
      <c r="D113" s="407" t="s">
        <v>626</v>
      </c>
      <c r="E113" s="446">
        <f t="shared" si="8"/>
        <v>0</v>
      </c>
      <c r="F113" s="447" t="s">
        <v>317</v>
      </c>
      <c r="G113" s="391">
        <v>2.7</v>
      </c>
      <c r="H113" s="420"/>
      <c r="I113" s="420"/>
      <c r="J113" s="420"/>
      <c r="K113" s="430"/>
      <c r="L113" s="393">
        <f t="shared" si="6"/>
        <v>0</v>
      </c>
    </row>
    <row r="114" spans="1:12" s="406" customFormat="1" ht="15.75" hidden="1" customHeight="1">
      <c r="A114" s="384">
        <f t="shared" si="7"/>
        <v>94</v>
      </c>
      <c r="B114" s="385" t="s">
        <v>627</v>
      </c>
      <c r="C114" s="403" t="s">
        <v>374</v>
      </c>
      <c r="D114" s="407" t="s">
        <v>628</v>
      </c>
      <c r="E114" s="446">
        <f t="shared" si="8"/>
        <v>0</v>
      </c>
      <c r="F114" s="447" t="s">
        <v>317</v>
      </c>
      <c r="G114" s="391">
        <v>7.9</v>
      </c>
      <c r="H114" s="420"/>
      <c r="I114" s="420"/>
      <c r="J114" s="420"/>
      <c r="K114" s="404"/>
      <c r="L114" s="393">
        <f t="shared" si="6"/>
        <v>0</v>
      </c>
    </row>
    <row r="115" spans="1:12" s="406" customFormat="1" ht="15.75" hidden="1" customHeight="1">
      <c r="A115" s="384">
        <f t="shared" si="7"/>
        <v>95</v>
      </c>
      <c r="B115" s="385" t="s">
        <v>629</v>
      </c>
      <c r="C115" s="403" t="s">
        <v>374</v>
      </c>
      <c r="D115" s="407" t="s">
        <v>630</v>
      </c>
      <c r="E115" s="446">
        <f t="shared" si="8"/>
        <v>0</v>
      </c>
      <c r="F115" s="447" t="s">
        <v>317</v>
      </c>
      <c r="G115" s="391">
        <v>4.8</v>
      </c>
      <c r="H115" s="420"/>
      <c r="I115" s="420"/>
      <c r="J115" s="420"/>
      <c r="K115" s="430"/>
      <c r="L115" s="393">
        <f t="shared" si="6"/>
        <v>0</v>
      </c>
    </row>
    <row r="116" spans="1:12" s="406" customFormat="1" ht="15.75" hidden="1" customHeight="1">
      <c r="A116" s="384">
        <f t="shared" si="7"/>
        <v>96</v>
      </c>
      <c r="B116" s="385" t="s">
        <v>631</v>
      </c>
      <c r="C116" s="403" t="s">
        <v>374</v>
      </c>
      <c r="D116" s="407" t="s">
        <v>630</v>
      </c>
      <c r="E116" s="446">
        <f t="shared" si="8"/>
        <v>0</v>
      </c>
      <c r="F116" s="447" t="s">
        <v>317</v>
      </c>
      <c r="G116" s="391">
        <v>4.8</v>
      </c>
      <c r="H116" s="420"/>
      <c r="I116" s="420"/>
      <c r="J116" s="420"/>
      <c r="K116" s="404"/>
      <c r="L116" s="393">
        <f t="shared" si="6"/>
        <v>0</v>
      </c>
    </row>
    <row r="117" spans="1:12" s="406" customFormat="1" ht="15.75" hidden="1" customHeight="1">
      <c r="A117" s="384">
        <f t="shared" si="7"/>
        <v>97</v>
      </c>
      <c r="B117" s="385" t="s">
        <v>632</v>
      </c>
      <c r="C117" s="403" t="s">
        <v>374</v>
      </c>
      <c r="D117" s="407" t="s">
        <v>633</v>
      </c>
      <c r="E117" s="446">
        <f t="shared" si="8"/>
        <v>0</v>
      </c>
      <c r="F117" s="447" t="s">
        <v>317</v>
      </c>
      <c r="G117" s="391">
        <v>11.3</v>
      </c>
      <c r="H117" s="420"/>
      <c r="I117" s="420"/>
      <c r="J117" s="420"/>
      <c r="K117" s="430"/>
      <c r="L117" s="393">
        <f t="shared" si="6"/>
        <v>0</v>
      </c>
    </row>
    <row r="118" spans="1:12" s="406" customFormat="1" ht="15.75" hidden="1" customHeight="1">
      <c r="A118" s="384">
        <f t="shared" si="7"/>
        <v>98</v>
      </c>
      <c r="B118" s="385" t="s">
        <v>634</v>
      </c>
      <c r="C118" s="403" t="s">
        <v>374</v>
      </c>
      <c r="D118" s="407" t="s">
        <v>635</v>
      </c>
      <c r="E118" s="446">
        <f t="shared" si="8"/>
        <v>0</v>
      </c>
      <c r="F118" s="447" t="s">
        <v>317</v>
      </c>
      <c r="G118" s="391">
        <v>8.6999999999999993</v>
      </c>
      <c r="H118" s="420"/>
      <c r="I118" s="420"/>
      <c r="J118" s="420"/>
      <c r="K118" s="404"/>
      <c r="L118" s="393">
        <f t="shared" si="6"/>
        <v>0</v>
      </c>
    </row>
    <row r="119" spans="1:12" s="406" customFormat="1" ht="15.75" customHeight="1">
      <c r="A119" s="677"/>
      <c r="B119" s="859" t="s">
        <v>636</v>
      </c>
      <c r="C119" s="860"/>
      <c r="D119" s="860"/>
      <c r="E119" s="860"/>
      <c r="F119" s="860"/>
      <c r="G119" s="860"/>
      <c r="H119" s="860"/>
      <c r="I119" s="860"/>
      <c r="J119" s="860"/>
      <c r="K119" s="860"/>
      <c r="L119" s="679"/>
    </row>
    <row r="120" spans="1:12" s="406" customFormat="1" ht="15.75" customHeight="1">
      <c r="A120" s="384">
        <v>42</v>
      </c>
      <c r="B120" s="425" t="s">
        <v>569</v>
      </c>
      <c r="C120" s="395" t="s">
        <v>374</v>
      </c>
      <c r="D120" s="385" t="s">
        <v>570</v>
      </c>
      <c r="E120" s="396">
        <v>4</v>
      </c>
      <c r="F120" s="397" t="s">
        <v>317</v>
      </c>
      <c r="G120" s="391">
        <v>2.9</v>
      </c>
      <c r="H120" s="420"/>
      <c r="I120" s="420"/>
      <c r="J120" s="420"/>
      <c r="K120" s="404"/>
      <c r="L120" s="393">
        <f t="shared" ref="L120:L150" si="9">E120*G120</f>
        <v>11.6</v>
      </c>
    </row>
    <row r="121" spans="1:12" s="406" customFormat="1" ht="15.75" customHeight="1">
      <c r="A121" s="384">
        <f t="shared" ref="A121:A151" si="10">A120+1</f>
        <v>43</v>
      </c>
      <c r="B121" s="385" t="s">
        <v>580</v>
      </c>
      <c r="C121" s="403" t="s">
        <v>374</v>
      </c>
      <c r="D121" s="407" t="s">
        <v>581</v>
      </c>
      <c r="E121" s="396">
        <v>4</v>
      </c>
      <c r="F121" s="397" t="s">
        <v>317</v>
      </c>
      <c r="G121" s="391">
        <v>5</v>
      </c>
      <c r="H121" s="420"/>
      <c r="I121" s="420"/>
      <c r="J121" s="420"/>
      <c r="K121" s="404"/>
      <c r="L121" s="393">
        <f t="shared" si="9"/>
        <v>20</v>
      </c>
    </row>
    <row r="122" spans="1:12" s="406" customFormat="1" ht="15.75" customHeight="1">
      <c r="A122" s="384">
        <f t="shared" si="10"/>
        <v>44</v>
      </c>
      <c r="B122" s="385" t="s">
        <v>582</v>
      </c>
      <c r="C122" s="403" t="s">
        <v>374</v>
      </c>
      <c r="D122" s="407" t="s">
        <v>583</v>
      </c>
      <c r="E122" s="396">
        <v>4</v>
      </c>
      <c r="F122" s="447" t="s">
        <v>317</v>
      </c>
      <c r="G122" s="391">
        <v>7.1</v>
      </c>
      <c r="H122" s="420"/>
      <c r="I122" s="420"/>
      <c r="J122" s="420"/>
      <c r="K122" s="404"/>
      <c r="L122" s="393">
        <f t="shared" si="9"/>
        <v>28.4</v>
      </c>
    </row>
    <row r="123" spans="1:12" s="406" customFormat="1" ht="15.75" customHeight="1">
      <c r="A123" s="384">
        <f t="shared" si="10"/>
        <v>45</v>
      </c>
      <c r="B123" s="385" t="s">
        <v>586</v>
      </c>
      <c r="C123" s="403" t="s">
        <v>374</v>
      </c>
      <c r="D123" s="407" t="s">
        <v>587</v>
      </c>
      <c r="E123" s="396">
        <v>4</v>
      </c>
      <c r="F123" s="397" t="s">
        <v>317</v>
      </c>
      <c r="G123" s="391">
        <v>8.8000000000000007</v>
      </c>
      <c r="H123" s="420"/>
      <c r="I123" s="420"/>
      <c r="J123" s="420"/>
      <c r="K123" s="404"/>
      <c r="L123" s="393">
        <f t="shared" si="9"/>
        <v>35.200000000000003</v>
      </c>
    </row>
    <row r="124" spans="1:12" s="406" customFormat="1" ht="29.25" customHeight="1">
      <c r="A124" s="384">
        <f t="shared" si="10"/>
        <v>46</v>
      </c>
      <c r="B124" s="385" t="s">
        <v>584</v>
      </c>
      <c r="C124" s="395" t="s">
        <v>374</v>
      </c>
      <c r="D124" s="385" t="s">
        <v>585</v>
      </c>
      <c r="E124" s="396">
        <v>4</v>
      </c>
      <c r="F124" s="447" t="s">
        <v>317</v>
      </c>
      <c r="G124" s="391">
        <v>14.7</v>
      </c>
      <c r="H124" s="420"/>
      <c r="I124" s="420"/>
      <c r="J124" s="420"/>
      <c r="K124" s="404"/>
      <c r="L124" s="393">
        <f t="shared" si="9"/>
        <v>58.8</v>
      </c>
    </row>
    <row r="125" spans="1:12" s="406" customFormat="1" ht="15.75" customHeight="1">
      <c r="A125" s="384">
        <f t="shared" si="10"/>
        <v>47</v>
      </c>
      <c r="B125" s="385" t="s">
        <v>597</v>
      </c>
      <c r="C125" s="403" t="s">
        <v>374</v>
      </c>
      <c r="D125" s="407" t="s">
        <v>598</v>
      </c>
      <c r="E125" s="396">
        <v>4</v>
      </c>
      <c r="F125" s="447" t="s">
        <v>317</v>
      </c>
      <c r="G125" s="391">
        <v>8.8000000000000007</v>
      </c>
      <c r="H125" s="420"/>
      <c r="I125" s="420"/>
      <c r="J125" s="420"/>
      <c r="K125" s="404"/>
      <c r="L125" s="393">
        <f t="shared" si="9"/>
        <v>35.200000000000003</v>
      </c>
    </row>
    <row r="126" spans="1:12" s="406" customFormat="1" ht="15.75" customHeight="1">
      <c r="A126" s="384">
        <f t="shared" si="10"/>
        <v>48</v>
      </c>
      <c r="B126" s="385" t="s">
        <v>593</v>
      </c>
      <c r="C126" s="403" t="s">
        <v>374</v>
      </c>
      <c r="D126" s="407" t="s">
        <v>594</v>
      </c>
      <c r="E126" s="396">
        <v>4</v>
      </c>
      <c r="F126" s="447" t="s">
        <v>317</v>
      </c>
      <c r="G126" s="391">
        <v>2.7</v>
      </c>
      <c r="H126" s="420"/>
      <c r="I126" s="420"/>
      <c r="J126" s="420"/>
      <c r="K126" s="404"/>
      <c r="L126" s="393">
        <f t="shared" si="9"/>
        <v>10.8</v>
      </c>
    </row>
    <row r="127" spans="1:12" s="406" customFormat="1" ht="15.75" customHeight="1">
      <c r="A127" s="384">
        <f t="shared" si="10"/>
        <v>49</v>
      </c>
      <c r="B127" s="385" t="s">
        <v>595</v>
      </c>
      <c r="C127" s="403" t="s">
        <v>374</v>
      </c>
      <c r="D127" s="407" t="s">
        <v>596</v>
      </c>
      <c r="E127" s="396">
        <v>4</v>
      </c>
      <c r="F127" s="447" t="s">
        <v>317</v>
      </c>
      <c r="G127" s="391">
        <v>3.1</v>
      </c>
      <c r="H127" s="420"/>
      <c r="I127" s="420"/>
      <c r="J127" s="420"/>
      <c r="K127" s="404"/>
      <c r="L127" s="393">
        <f t="shared" si="9"/>
        <v>12.4</v>
      </c>
    </row>
    <row r="128" spans="1:12" s="406" customFormat="1" ht="15.75" customHeight="1">
      <c r="A128" s="384">
        <f t="shared" si="10"/>
        <v>50</v>
      </c>
      <c r="B128" s="385" t="s">
        <v>590</v>
      </c>
      <c r="C128" s="403" t="s">
        <v>374</v>
      </c>
      <c r="D128" s="407" t="s">
        <v>591</v>
      </c>
      <c r="E128" s="396">
        <v>4</v>
      </c>
      <c r="F128" s="447" t="s">
        <v>317</v>
      </c>
      <c r="G128" s="391">
        <v>7.4</v>
      </c>
      <c r="H128" s="420"/>
      <c r="I128" s="420"/>
      <c r="J128" s="420"/>
      <c r="K128" s="404"/>
      <c r="L128" s="393">
        <f t="shared" si="9"/>
        <v>29.6</v>
      </c>
    </row>
    <row r="129" spans="1:12" s="406" customFormat="1" ht="15.75" customHeight="1">
      <c r="A129" s="384">
        <f t="shared" si="10"/>
        <v>51</v>
      </c>
      <c r="B129" s="385" t="s">
        <v>543</v>
      </c>
      <c r="C129" s="403" t="s">
        <v>374</v>
      </c>
      <c r="D129" s="407" t="s">
        <v>592</v>
      </c>
      <c r="E129" s="396">
        <v>4</v>
      </c>
      <c r="F129" s="447" t="s">
        <v>317</v>
      </c>
      <c r="G129" s="391">
        <v>3.1</v>
      </c>
      <c r="H129" s="420"/>
      <c r="I129" s="420"/>
      <c r="J129" s="420"/>
      <c r="K129" s="404"/>
      <c r="L129" s="393">
        <f t="shared" si="9"/>
        <v>12.4</v>
      </c>
    </row>
    <row r="130" spans="1:12" s="406" customFormat="1" ht="15.75" customHeight="1">
      <c r="A130" s="384">
        <f t="shared" si="10"/>
        <v>52</v>
      </c>
      <c r="B130" s="385" t="s">
        <v>599</v>
      </c>
      <c r="C130" s="403" t="s">
        <v>374</v>
      </c>
      <c r="D130" s="407" t="s">
        <v>600</v>
      </c>
      <c r="E130" s="396">
        <v>4</v>
      </c>
      <c r="F130" s="447" t="s">
        <v>317</v>
      </c>
      <c r="G130" s="391">
        <v>8.3000000000000007</v>
      </c>
      <c r="H130" s="420"/>
      <c r="I130" s="420"/>
      <c r="J130" s="420"/>
      <c r="K130" s="404"/>
      <c r="L130" s="393">
        <f t="shared" si="9"/>
        <v>33.200000000000003</v>
      </c>
    </row>
    <row r="131" spans="1:12" s="406" customFormat="1" ht="15.75" customHeight="1">
      <c r="A131" s="384">
        <f t="shared" si="10"/>
        <v>53</v>
      </c>
      <c r="B131" s="385" t="s">
        <v>601</v>
      </c>
      <c r="C131" s="403" t="s">
        <v>374</v>
      </c>
      <c r="D131" s="407" t="s">
        <v>602</v>
      </c>
      <c r="E131" s="396">
        <v>4</v>
      </c>
      <c r="F131" s="447" t="s">
        <v>317</v>
      </c>
      <c r="G131" s="391">
        <v>3</v>
      </c>
      <c r="H131" s="420"/>
      <c r="I131" s="420"/>
      <c r="J131" s="420"/>
      <c r="K131" s="404"/>
      <c r="L131" s="393">
        <f t="shared" si="9"/>
        <v>12</v>
      </c>
    </row>
    <row r="132" spans="1:12" s="406" customFormat="1" ht="15.75" customHeight="1">
      <c r="A132" s="384">
        <f t="shared" si="10"/>
        <v>54</v>
      </c>
      <c r="B132" s="385" t="s">
        <v>603</v>
      </c>
      <c r="C132" s="403" t="s">
        <v>374</v>
      </c>
      <c r="D132" s="407" t="s">
        <v>604</v>
      </c>
      <c r="E132" s="396">
        <v>4</v>
      </c>
      <c r="F132" s="447" t="s">
        <v>317</v>
      </c>
      <c r="G132" s="391">
        <v>2.6</v>
      </c>
      <c r="H132" s="420"/>
      <c r="I132" s="420"/>
      <c r="J132" s="420"/>
      <c r="K132" s="404"/>
      <c r="L132" s="393">
        <f t="shared" si="9"/>
        <v>10.4</v>
      </c>
    </row>
    <row r="133" spans="1:12" s="406" customFormat="1" ht="15.75" customHeight="1">
      <c r="A133" s="384">
        <f t="shared" si="10"/>
        <v>55</v>
      </c>
      <c r="B133" s="385" t="s">
        <v>547</v>
      </c>
      <c r="C133" s="403" t="s">
        <v>374</v>
      </c>
      <c r="D133" s="407" t="s">
        <v>608</v>
      </c>
      <c r="E133" s="396">
        <v>4</v>
      </c>
      <c r="F133" s="447" t="s">
        <v>317</v>
      </c>
      <c r="G133" s="391">
        <v>11.3</v>
      </c>
      <c r="H133" s="420"/>
      <c r="I133" s="420"/>
      <c r="J133" s="420"/>
      <c r="K133" s="404"/>
      <c r="L133" s="393">
        <f t="shared" si="9"/>
        <v>45.2</v>
      </c>
    </row>
    <row r="134" spans="1:12" s="406" customFormat="1" ht="18.75" customHeight="1">
      <c r="A134" s="384">
        <f t="shared" si="10"/>
        <v>56</v>
      </c>
      <c r="B134" s="385" t="s">
        <v>566</v>
      </c>
      <c r="C134" s="403" t="s">
        <v>374</v>
      </c>
      <c r="D134" s="407" t="s">
        <v>605</v>
      </c>
      <c r="E134" s="396">
        <v>4</v>
      </c>
      <c r="F134" s="447" t="s">
        <v>317</v>
      </c>
      <c r="G134" s="391">
        <v>19.7</v>
      </c>
      <c r="H134" s="420"/>
      <c r="I134" s="420"/>
      <c r="J134" s="420"/>
      <c r="K134" s="404"/>
      <c r="L134" s="393">
        <f t="shared" si="9"/>
        <v>78.8</v>
      </c>
    </row>
    <row r="135" spans="1:12" s="406" customFormat="1" ht="15.75" customHeight="1">
      <c r="A135" s="384">
        <f t="shared" si="10"/>
        <v>57</v>
      </c>
      <c r="B135" s="385" t="s">
        <v>537</v>
      </c>
      <c r="C135" s="403" t="s">
        <v>374</v>
      </c>
      <c r="D135" s="407" t="s">
        <v>637</v>
      </c>
      <c r="E135" s="396">
        <v>4</v>
      </c>
      <c r="F135" s="447" t="s">
        <v>317</v>
      </c>
      <c r="G135" s="391">
        <v>95.8</v>
      </c>
      <c r="H135" s="420"/>
      <c r="I135" s="420"/>
      <c r="J135" s="420"/>
      <c r="K135" s="404"/>
      <c r="L135" s="393">
        <f t="shared" si="9"/>
        <v>383.2</v>
      </c>
    </row>
    <row r="136" spans="1:12" s="406" customFormat="1" ht="15.75" customHeight="1">
      <c r="A136" s="384">
        <f t="shared" si="10"/>
        <v>58</v>
      </c>
      <c r="B136" s="385" t="s">
        <v>606</v>
      </c>
      <c r="C136" s="403" t="s">
        <v>374</v>
      </c>
      <c r="D136" s="407" t="s">
        <v>607</v>
      </c>
      <c r="E136" s="396">
        <v>4</v>
      </c>
      <c r="F136" s="447" t="s">
        <v>317</v>
      </c>
      <c r="G136" s="391">
        <v>4.0999999999999996</v>
      </c>
      <c r="H136" s="420"/>
      <c r="I136" s="420"/>
      <c r="J136" s="420"/>
      <c r="K136" s="404"/>
      <c r="L136" s="393">
        <f t="shared" si="9"/>
        <v>16.399999999999999</v>
      </c>
    </row>
    <row r="137" spans="1:12" s="406" customFormat="1" ht="15.75" customHeight="1">
      <c r="A137" s="384">
        <f t="shared" si="10"/>
        <v>59</v>
      </c>
      <c r="B137" s="385" t="s">
        <v>609</v>
      </c>
      <c r="C137" s="403" t="s">
        <v>374</v>
      </c>
      <c r="D137" s="407" t="s">
        <v>610</v>
      </c>
      <c r="E137" s="396">
        <v>4</v>
      </c>
      <c r="F137" s="447" t="s">
        <v>317</v>
      </c>
      <c r="G137" s="391">
        <v>6.1</v>
      </c>
      <c r="H137" s="420"/>
      <c r="I137" s="420"/>
      <c r="J137" s="420"/>
      <c r="K137" s="404"/>
      <c r="L137" s="393">
        <f t="shared" si="9"/>
        <v>24.4</v>
      </c>
    </row>
    <row r="138" spans="1:12" s="406" customFormat="1" ht="15.75" customHeight="1">
      <c r="A138" s="384">
        <f t="shared" si="10"/>
        <v>60</v>
      </c>
      <c r="B138" s="385" t="s">
        <v>611</v>
      </c>
      <c r="C138" s="403" t="s">
        <v>374</v>
      </c>
      <c r="D138" s="407" t="s">
        <v>612</v>
      </c>
      <c r="E138" s="396">
        <v>4</v>
      </c>
      <c r="F138" s="447" t="s">
        <v>317</v>
      </c>
      <c r="G138" s="391">
        <v>9.6</v>
      </c>
      <c r="H138" s="420"/>
      <c r="I138" s="420"/>
      <c r="J138" s="420"/>
      <c r="K138" s="404"/>
      <c r="L138" s="393">
        <f t="shared" si="9"/>
        <v>38.4</v>
      </c>
    </row>
    <row r="139" spans="1:12" s="406" customFormat="1" ht="15.75" customHeight="1">
      <c r="A139" s="384">
        <f t="shared" si="10"/>
        <v>61</v>
      </c>
      <c r="B139" s="385" t="s">
        <v>613</v>
      </c>
      <c r="C139" s="403" t="s">
        <v>374</v>
      </c>
      <c r="D139" s="407" t="s">
        <v>614</v>
      </c>
      <c r="E139" s="396">
        <v>4</v>
      </c>
      <c r="F139" s="447" t="s">
        <v>317</v>
      </c>
      <c r="G139" s="391">
        <v>23.5</v>
      </c>
      <c r="H139" s="420"/>
      <c r="I139" s="420"/>
      <c r="J139" s="420"/>
      <c r="K139" s="404"/>
      <c r="L139" s="393">
        <f t="shared" si="9"/>
        <v>94</v>
      </c>
    </row>
    <row r="140" spans="1:12" s="406" customFormat="1" ht="15.75" customHeight="1">
      <c r="A140" s="384">
        <f t="shared" si="10"/>
        <v>62</v>
      </c>
      <c r="B140" s="385" t="s">
        <v>615</v>
      </c>
      <c r="C140" s="403" t="s">
        <v>374</v>
      </c>
      <c r="D140" s="407" t="s">
        <v>616</v>
      </c>
      <c r="E140" s="396">
        <v>4</v>
      </c>
      <c r="F140" s="447" t="s">
        <v>317</v>
      </c>
      <c r="G140" s="391">
        <v>21.5</v>
      </c>
      <c r="H140" s="420"/>
      <c r="I140" s="420"/>
      <c r="J140" s="420"/>
      <c r="K140" s="404"/>
      <c r="L140" s="393">
        <f t="shared" si="9"/>
        <v>86</v>
      </c>
    </row>
    <row r="141" spans="1:12" s="406" customFormat="1" ht="15.75" customHeight="1">
      <c r="A141" s="384">
        <f t="shared" si="10"/>
        <v>63</v>
      </c>
      <c r="B141" s="385" t="s">
        <v>634</v>
      </c>
      <c r="C141" s="403" t="s">
        <v>374</v>
      </c>
      <c r="D141" s="407" t="s">
        <v>635</v>
      </c>
      <c r="E141" s="396">
        <v>4</v>
      </c>
      <c r="F141" s="447" t="s">
        <v>317</v>
      </c>
      <c r="G141" s="391">
        <v>8.6999999999999993</v>
      </c>
      <c r="H141" s="420"/>
      <c r="I141" s="420"/>
      <c r="J141" s="420"/>
      <c r="K141" s="404"/>
      <c r="L141" s="393">
        <f t="shared" si="9"/>
        <v>34.799999999999997</v>
      </c>
    </row>
    <row r="142" spans="1:12" s="406" customFormat="1" ht="15.75" customHeight="1">
      <c r="A142" s="384">
        <f t="shared" si="10"/>
        <v>64</v>
      </c>
      <c r="B142" s="385" t="s">
        <v>617</v>
      </c>
      <c r="C142" s="403" t="s">
        <v>374</v>
      </c>
      <c r="D142" s="407" t="s">
        <v>618</v>
      </c>
      <c r="E142" s="396">
        <v>4</v>
      </c>
      <c r="F142" s="447" t="s">
        <v>317</v>
      </c>
      <c r="G142" s="391">
        <v>12.2</v>
      </c>
      <c r="H142" s="420"/>
      <c r="I142" s="420"/>
      <c r="J142" s="420"/>
      <c r="K142" s="404"/>
      <c r="L142" s="393">
        <f t="shared" si="9"/>
        <v>48.8</v>
      </c>
    </row>
    <row r="143" spans="1:12" s="406" customFormat="1" ht="15.75" customHeight="1">
      <c r="A143" s="384">
        <f t="shared" si="10"/>
        <v>65</v>
      </c>
      <c r="B143" s="385" t="s">
        <v>619</v>
      </c>
      <c r="C143" s="403" t="s">
        <v>374</v>
      </c>
      <c r="D143" s="407" t="s">
        <v>620</v>
      </c>
      <c r="E143" s="396">
        <v>4</v>
      </c>
      <c r="F143" s="447" t="s">
        <v>317</v>
      </c>
      <c r="G143" s="391">
        <v>8.1</v>
      </c>
      <c r="H143" s="420"/>
      <c r="I143" s="420"/>
      <c r="J143" s="420"/>
      <c r="K143" s="404"/>
      <c r="L143" s="393">
        <f t="shared" si="9"/>
        <v>32.4</v>
      </c>
    </row>
    <row r="144" spans="1:12" s="406" customFormat="1" ht="15.75" customHeight="1">
      <c r="A144" s="384">
        <f t="shared" si="10"/>
        <v>66</v>
      </c>
      <c r="B144" s="385" t="s">
        <v>621</v>
      </c>
      <c r="C144" s="403" t="s">
        <v>374</v>
      </c>
      <c r="D144" s="407" t="s">
        <v>622</v>
      </c>
      <c r="E144" s="396">
        <v>4</v>
      </c>
      <c r="F144" s="447" t="s">
        <v>317</v>
      </c>
      <c r="G144" s="391">
        <v>4.5</v>
      </c>
      <c r="H144" s="420"/>
      <c r="I144" s="420"/>
      <c r="J144" s="420"/>
      <c r="K144" s="404"/>
      <c r="L144" s="393">
        <f t="shared" si="9"/>
        <v>18</v>
      </c>
    </row>
    <row r="145" spans="1:12" s="406" customFormat="1" ht="15.75" customHeight="1">
      <c r="A145" s="384">
        <f t="shared" si="10"/>
        <v>67</v>
      </c>
      <c r="B145" s="385" t="s">
        <v>623</v>
      </c>
      <c r="C145" s="403" t="s">
        <v>374</v>
      </c>
      <c r="D145" s="407" t="s">
        <v>624</v>
      </c>
      <c r="E145" s="396">
        <v>4</v>
      </c>
      <c r="F145" s="447" t="s">
        <v>317</v>
      </c>
      <c r="G145" s="391">
        <v>15.7</v>
      </c>
      <c r="H145" s="420"/>
      <c r="I145" s="420"/>
      <c r="J145" s="420"/>
      <c r="K145" s="404"/>
      <c r="L145" s="393">
        <f t="shared" si="9"/>
        <v>62.8</v>
      </c>
    </row>
    <row r="146" spans="1:12" s="406" customFormat="1" ht="15.75" customHeight="1">
      <c r="A146" s="384">
        <f t="shared" si="10"/>
        <v>68</v>
      </c>
      <c r="B146" s="385" t="s">
        <v>625</v>
      </c>
      <c r="C146" s="403" t="s">
        <v>374</v>
      </c>
      <c r="D146" s="407" t="s">
        <v>626</v>
      </c>
      <c r="E146" s="396">
        <v>4</v>
      </c>
      <c r="F146" s="447" t="s">
        <v>317</v>
      </c>
      <c r="G146" s="391">
        <v>2.7</v>
      </c>
      <c r="H146" s="420"/>
      <c r="I146" s="420"/>
      <c r="J146" s="420"/>
      <c r="K146" s="404"/>
      <c r="L146" s="393">
        <f t="shared" si="9"/>
        <v>10.8</v>
      </c>
    </row>
    <row r="147" spans="1:12" s="406" customFormat="1" ht="15.75" customHeight="1">
      <c r="A147" s="384">
        <f t="shared" si="10"/>
        <v>69</v>
      </c>
      <c r="B147" s="385" t="s">
        <v>627</v>
      </c>
      <c r="C147" s="403" t="s">
        <v>374</v>
      </c>
      <c r="D147" s="407" t="s">
        <v>628</v>
      </c>
      <c r="E147" s="396">
        <v>4</v>
      </c>
      <c r="F147" s="447" t="s">
        <v>317</v>
      </c>
      <c r="G147" s="391">
        <v>7.9</v>
      </c>
      <c r="H147" s="420"/>
      <c r="I147" s="420"/>
      <c r="J147" s="420"/>
      <c r="K147" s="404"/>
      <c r="L147" s="393">
        <f t="shared" si="9"/>
        <v>31.6</v>
      </c>
    </row>
    <row r="148" spans="1:12" s="406" customFormat="1" ht="15.75" customHeight="1">
      <c r="A148" s="384">
        <f t="shared" si="10"/>
        <v>70</v>
      </c>
      <c r="B148" s="385" t="s">
        <v>629</v>
      </c>
      <c r="C148" s="403" t="s">
        <v>374</v>
      </c>
      <c r="D148" s="407" t="s">
        <v>630</v>
      </c>
      <c r="E148" s="396">
        <v>4</v>
      </c>
      <c r="F148" s="447" t="s">
        <v>317</v>
      </c>
      <c r="G148" s="391">
        <v>4.8</v>
      </c>
      <c r="H148" s="420"/>
      <c r="I148" s="420"/>
      <c r="J148" s="420"/>
      <c r="K148" s="404"/>
      <c r="L148" s="393">
        <f t="shared" si="9"/>
        <v>19.2</v>
      </c>
    </row>
    <row r="149" spans="1:12" s="406" customFormat="1" ht="15.75" customHeight="1">
      <c r="A149" s="384">
        <f t="shared" si="10"/>
        <v>71</v>
      </c>
      <c r="B149" s="385" t="s">
        <v>631</v>
      </c>
      <c r="C149" s="403" t="s">
        <v>374</v>
      </c>
      <c r="D149" s="407" t="s">
        <v>630</v>
      </c>
      <c r="E149" s="396">
        <v>4</v>
      </c>
      <c r="F149" s="447" t="s">
        <v>317</v>
      </c>
      <c r="G149" s="391">
        <v>4.8</v>
      </c>
      <c r="H149" s="420"/>
      <c r="I149" s="420"/>
      <c r="J149" s="420"/>
      <c r="K149" s="404"/>
      <c r="L149" s="393">
        <f t="shared" si="9"/>
        <v>19.2</v>
      </c>
    </row>
    <row r="150" spans="1:12" s="406" customFormat="1" ht="15.75" customHeight="1">
      <c r="A150" s="384">
        <f t="shared" si="10"/>
        <v>72</v>
      </c>
      <c r="B150" s="385" t="s">
        <v>632</v>
      </c>
      <c r="C150" s="403" t="s">
        <v>374</v>
      </c>
      <c r="D150" s="407" t="s">
        <v>633</v>
      </c>
      <c r="E150" s="396">
        <v>4</v>
      </c>
      <c r="F150" s="447" t="s">
        <v>317</v>
      </c>
      <c r="G150" s="391">
        <v>11.3</v>
      </c>
      <c r="H150" s="420"/>
      <c r="I150" s="420"/>
      <c r="J150" s="420"/>
      <c r="K150" s="404"/>
      <c r="L150" s="393">
        <f t="shared" si="9"/>
        <v>45.2</v>
      </c>
    </row>
    <row r="151" spans="1:12" s="406" customFormat="1">
      <c r="A151" s="384">
        <f t="shared" si="10"/>
        <v>73</v>
      </c>
      <c r="B151" s="849">
        <v>4</v>
      </c>
      <c r="C151" s="850"/>
      <c r="D151" s="850"/>
      <c r="E151" s="850"/>
      <c r="F151" s="850"/>
      <c r="G151" s="850"/>
      <c r="H151" s="850"/>
      <c r="I151" s="850"/>
      <c r="J151" s="850"/>
      <c r="K151" s="851"/>
      <c r="L151" s="394">
        <f>SUM(L52:L150)</f>
        <v>16752.2</v>
      </c>
    </row>
    <row r="152" spans="1:12" s="406" customFormat="1">
      <c r="A152" s="848" t="s">
        <v>385</v>
      </c>
      <c r="B152" s="848"/>
      <c r="C152" s="848"/>
      <c r="D152" s="848"/>
      <c r="E152" s="848"/>
      <c r="F152" s="848"/>
      <c r="G152" s="848"/>
      <c r="H152" s="848"/>
      <c r="I152" s="848"/>
      <c r="J152" s="848"/>
      <c r="K152" s="848"/>
      <c r="L152" s="848"/>
    </row>
    <row r="153" spans="1:12" s="406" customFormat="1" ht="65.25" customHeight="1">
      <c r="A153" s="384">
        <v>74</v>
      </c>
      <c r="B153" s="385" t="s">
        <v>466</v>
      </c>
      <c r="C153" s="395" t="s">
        <v>467</v>
      </c>
      <c r="D153" s="385" t="s">
        <v>638</v>
      </c>
      <c r="E153" s="396">
        <f>E17</f>
        <v>6</v>
      </c>
      <c r="F153" s="397" t="s">
        <v>317</v>
      </c>
      <c r="G153" s="398">
        <v>18.5</v>
      </c>
      <c r="H153" s="420" t="s">
        <v>317</v>
      </c>
      <c r="I153" s="399">
        <v>1.1000000000000001</v>
      </c>
      <c r="J153" s="420"/>
      <c r="K153" s="433"/>
      <c r="L153" s="393">
        <f>E153*G153*I153</f>
        <v>122.10000000000001</v>
      </c>
    </row>
    <row r="154" spans="1:12" s="406" customFormat="1" ht="45">
      <c r="A154" s="384">
        <f>A153+1</f>
        <v>75</v>
      </c>
      <c r="B154" s="385" t="s">
        <v>639</v>
      </c>
      <c r="C154" s="395" t="s">
        <v>470</v>
      </c>
      <c r="D154" s="385" t="s">
        <v>640</v>
      </c>
      <c r="E154" s="396">
        <f t="shared" ref="E154:E159" si="11">E18</f>
        <v>6</v>
      </c>
      <c r="F154" s="397" t="s">
        <v>317</v>
      </c>
      <c r="G154" s="399">
        <v>1.8</v>
      </c>
      <c r="H154" s="399"/>
      <c r="I154" s="399"/>
      <c r="J154" s="399"/>
      <c r="K154" s="433"/>
      <c r="L154" s="393">
        <f>E154*G154</f>
        <v>10.8</v>
      </c>
    </row>
    <row r="155" spans="1:12" s="406" customFormat="1" ht="75.75" customHeight="1">
      <c r="A155" s="384">
        <f>A154+1</f>
        <v>76</v>
      </c>
      <c r="B155" s="385" t="s">
        <v>472</v>
      </c>
      <c r="C155" s="395" t="s">
        <v>473</v>
      </c>
      <c r="D155" s="385" t="s">
        <v>641</v>
      </c>
      <c r="E155" s="396">
        <f t="shared" si="11"/>
        <v>6</v>
      </c>
      <c r="F155" s="397" t="s">
        <v>317</v>
      </c>
      <c r="G155" s="399">
        <v>7.5</v>
      </c>
      <c r="H155" s="399" t="s">
        <v>317</v>
      </c>
      <c r="I155" s="399">
        <v>0.4</v>
      </c>
      <c r="J155" s="399"/>
      <c r="K155" s="433"/>
      <c r="L155" s="393">
        <f>E155*G155*I155</f>
        <v>18</v>
      </c>
    </row>
    <row r="156" spans="1:12" s="406" customFormat="1" ht="45">
      <c r="A156" s="384">
        <f>A155+1</f>
        <v>77</v>
      </c>
      <c r="B156" s="385" t="s">
        <v>475</v>
      </c>
      <c r="C156" s="395" t="s">
        <v>470</v>
      </c>
      <c r="D156" s="385" t="s">
        <v>640</v>
      </c>
      <c r="E156" s="396">
        <f t="shared" si="11"/>
        <v>6</v>
      </c>
      <c r="F156" s="397" t="s">
        <v>317</v>
      </c>
      <c r="G156" s="399">
        <v>1.8</v>
      </c>
      <c r="H156" s="399"/>
      <c r="I156" s="399"/>
      <c r="J156" s="399"/>
      <c r="K156" s="433"/>
      <c r="L156" s="393">
        <f>E156*G156</f>
        <v>10.8</v>
      </c>
    </row>
    <row r="157" spans="1:12" s="406" customFormat="1" ht="63" customHeight="1">
      <c r="A157" s="384">
        <f>A156+1</f>
        <v>78</v>
      </c>
      <c r="B157" s="385" t="s">
        <v>642</v>
      </c>
      <c r="C157" s="395" t="s">
        <v>473</v>
      </c>
      <c r="D157" s="385" t="s">
        <v>643</v>
      </c>
      <c r="E157" s="396">
        <f t="shared" si="11"/>
        <v>6</v>
      </c>
      <c r="F157" s="397" t="s">
        <v>317</v>
      </c>
      <c r="G157" s="399">
        <v>7.5</v>
      </c>
      <c r="H157" s="399" t="s">
        <v>317</v>
      </c>
      <c r="I157" s="399">
        <v>0.4</v>
      </c>
      <c r="J157" s="399"/>
      <c r="K157" s="433"/>
      <c r="L157" s="393">
        <f>E157*G157*I157</f>
        <v>18</v>
      </c>
    </row>
    <row r="158" spans="1:12" s="406" customFormat="1" ht="30.75" customHeight="1">
      <c r="A158" s="384">
        <f>A157+1</f>
        <v>79</v>
      </c>
      <c r="B158" s="385" t="s">
        <v>478</v>
      </c>
      <c r="C158" s="395" t="s">
        <v>479</v>
      </c>
      <c r="D158" s="385" t="s">
        <v>480</v>
      </c>
      <c r="E158" s="396">
        <f t="shared" si="11"/>
        <v>122.25</v>
      </c>
      <c r="F158" s="397" t="s">
        <v>317</v>
      </c>
      <c r="G158" s="399">
        <v>14.8</v>
      </c>
      <c r="H158" s="420"/>
      <c r="I158" s="420"/>
      <c r="J158" s="420"/>
      <c r="K158" s="433"/>
      <c r="L158" s="393">
        <f>E158*G158</f>
        <v>1809.3000000000002</v>
      </c>
    </row>
    <row r="159" spans="1:12" s="406" customFormat="1" ht="30.75" customHeight="1">
      <c r="A159" s="384">
        <v>80</v>
      </c>
      <c r="B159" s="385" t="s">
        <v>481</v>
      </c>
      <c r="C159" s="395" t="s">
        <v>482</v>
      </c>
      <c r="D159" s="385" t="s">
        <v>483</v>
      </c>
      <c r="E159" s="396">
        <f t="shared" si="11"/>
        <v>2</v>
      </c>
      <c r="F159" s="399" t="s">
        <v>317</v>
      </c>
      <c r="G159" s="399">
        <v>161</v>
      </c>
      <c r="H159" s="420"/>
      <c r="I159" s="420"/>
      <c r="J159" s="420"/>
      <c r="K159" s="433"/>
      <c r="L159" s="393">
        <f>E159*G159</f>
        <v>322</v>
      </c>
    </row>
    <row r="160" spans="1:12" s="406" customFormat="1" ht="45" customHeight="1">
      <c r="A160" s="384">
        <v>81</v>
      </c>
      <c r="B160" s="385" t="s">
        <v>644</v>
      </c>
      <c r="C160" s="448" t="s">
        <v>645</v>
      </c>
      <c r="D160" s="385" t="s">
        <v>646</v>
      </c>
      <c r="E160" s="396">
        <v>20</v>
      </c>
      <c r="F160" s="399" t="s">
        <v>317</v>
      </c>
      <c r="G160" s="415" t="s">
        <v>647</v>
      </c>
      <c r="H160" s="415"/>
      <c r="I160" s="415" t="s">
        <v>355</v>
      </c>
      <c r="J160" s="420"/>
      <c r="K160" s="433"/>
      <c r="L160" s="393">
        <f>ROUND((SUM(L151))*E160/100,2)</f>
        <v>3350.44</v>
      </c>
    </row>
    <row r="161" spans="1:12" s="406" customFormat="1" ht="39.75" customHeight="1">
      <c r="A161" s="384">
        <f>A160+1</f>
        <v>82</v>
      </c>
      <c r="B161" s="385" t="s">
        <v>648</v>
      </c>
      <c r="C161" s="448" t="s">
        <v>649</v>
      </c>
      <c r="D161" s="385" t="s">
        <v>650</v>
      </c>
      <c r="E161" s="396">
        <v>21</v>
      </c>
      <c r="F161" s="399" t="s">
        <v>317</v>
      </c>
      <c r="G161" s="416" t="s">
        <v>651</v>
      </c>
      <c r="H161" s="417"/>
      <c r="I161" s="449"/>
      <c r="J161" s="420"/>
      <c r="K161" s="450"/>
      <c r="L161" s="393">
        <f>ROUND(SUM(L153:L160)*E161/100,2)</f>
        <v>1188.9000000000001</v>
      </c>
    </row>
    <row r="162" spans="1:12" s="406" customFormat="1" ht="15.75" customHeight="1">
      <c r="A162" s="384">
        <f>A161+1</f>
        <v>83</v>
      </c>
      <c r="B162" s="849" t="s">
        <v>410</v>
      </c>
      <c r="C162" s="863"/>
      <c r="D162" s="863"/>
      <c r="E162" s="863"/>
      <c r="F162" s="863"/>
      <c r="G162" s="863"/>
      <c r="H162" s="863"/>
      <c r="I162" s="863"/>
      <c r="J162" s="863"/>
      <c r="K162" s="864"/>
      <c r="L162" s="394">
        <f>SUM(L153:L161)</f>
        <v>6850.34</v>
      </c>
    </row>
    <row r="163" spans="1:12" s="406" customFormat="1">
      <c r="A163" s="384">
        <f>A162+1</f>
        <v>84</v>
      </c>
      <c r="B163" s="865" t="s">
        <v>652</v>
      </c>
      <c r="C163" s="865"/>
      <c r="D163" s="865"/>
      <c r="E163" s="865"/>
      <c r="F163" s="865"/>
      <c r="G163" s="865"/>
      <c r="H163" s="865"/>
      <c r="I163" s="865"/>
      <c r="J163" s="865"/>
      <c r="K163" s="865"/>
      <c r="L163" s="394">
        <f>ROUND(L15+L41+L49+L151+L162,2)</f>
        <v>53114.79</v>
      </c>
    </row>
    <row r="164" spans="1:12" s="406" customFormat="1" ht="47.25" customHeight="1">
      <c r="A164" s="384">
        <v>85</v>
      </c>
      <c r="B164" s="849" t="s">
        <v>450</v>
      </c>
      <c r="C164" s="851"/>
      <c r="D164" s="385" t="s">
        <v>653</v>
      </c>
      <c r="E164" s="451">
        <v>1.1499999999999999</v>
      </c>
      <c r="F164" s="452" t="s">
        <v>317</v>
      </c>
      <c r="G164" s="452" t="s">
        <v>654</v>
      </c>
      <c r="H164" s="453"/>
      <c r="I164" s="453"/>
      <c r="J164" s="453"/>
      <c r="K164" s="454"/>
      <c r="L164" s="394">
        <f>L163*1.15</f>
        <v>61082.008499999996</v>
      </c>
    </row>
    <row r="165" spans="1:12" s="406" customFormat="1" ht="27" customHeight="1">
      <c r="A165" s="384">
        <v>86</v>
      </c>
      <c r="B165" s="849" t="s">
        <v>412</v>
      </c>
      <c r="C165" s="851"/>
      <c r="D165" s="385" t="s">
        <v>655</v>
      </c>
      <c r="E165" s="455">
        <v>10</v>
      </c>
      <c r="F165" s="452" t="s">
        <v>317</v>
      </c>
      <c r="G165" s="452" t="s">
        <v>656</v>
      </c>
      <c r="H165" s="453" t="s">
        <v>657</v>
      </c>
      <c r="I165" s="452">
        <v>100</v>
      </c>
      <c r="J165" s="453"/>
      <c r="K165" s="454"/>
      <c r="L165" s="394">
        <f>L164*E165/I165</f>
        <v>6108.2008499999993</v>
      </c>
    </row>
    <row r="166" spans="1:12" s="406" customFormat="1" ht="21.75" customHeight="1">
      <c r="A166" s="384">
        <v>87</v>
      </c>
      <c r="B166" s="865" t="s">
        <v>411</v>
      </c>
      <c r="C166" s="865"/>
      <c r="D166" s="865"/>
      <c r="E166" s="865"/>
      <c r="F166" s="865"/>
      <c r="G166" s="865"/>
      <c r="H166" s="865"/>
      <c r="I166" s="865"/>
      <c r="J166" s="865"/>
      <c r="K166" s="865"/>
      <c r="L166" s="394">
        <f>L164+L165</f>
        <v>67190.20934999999</v>
      </c>
    </row>
    <row r="167" spans="1:12" s="406" customFormat="1" ht="67.5" customHeight="1">
      <c r="A167" s="384">
        <v>88</v>
      </c>
      <c r="B167" s="849" t="s">
        <v>658</v>
      </c>
      <c r="C167" s="851"/>
      <c r="D167" s="385" t="s">
        <v>659</v>
      </c>
      <c r="E167" s="396">
        <v>11.37</v>
      </c>
      <c r="F167" s="456" t="s">
        <v>317</v>
      </c>
      <c r="G167" s="858" t="s">
        <v>660</v>
      </c>
      <c r="H167" s="858"/>
      <c r="I167" s="858"/>
      <c r="J167" s="421"/>
      <c r="K167" s="457"/>
      <c r="L167" s="458">
        <f>ROUND(L166*E167,2)</f>
        <v>763952.68</v>
      </c>
    </row>
    <row r="168" spans="1:12" ht="9.75" customHeight="1">
      <c r="A168" s="459"/>
      <c r="B168" s="460"/>
      <c r="C168" s="460"/>
      <c r="D168" s="460"/>
      <c r="E168" s="460"/>
      <c r="F168" s="460"/>
      <c r="G168" s="460"/>
      <c r="H168" s="460"/>
      <c r="I168" s="460"/>
      <c r="J168" s="460"/>
      <c r="K168" s="460"/>
      <c r="L168" s="461"/>
    </row>
    <row r="169" spans="1:12">
      <c r="A169" s="462" t="s">
        <v>417</v>
      </c>
      <c r="B169" s="463"/>
      <c r="C169" s="381"/>
      <c r="D169" s="464"/>
      <c r="E169" s="464"/>
      <c r="F169" s="464"/>
      <c r="G169" s="465" t="s">
        <v>661</v>
      </c>
      <c r="H169" s="465"/>
      <c r="I169" s="466"/>
      <c r="J169" s="466"/>
    </row>
    <row r="170" spans="1:12" ht="15">
      <c r="A170" s="462" t="s">
        <v>662</v>
      </c>
      <c r="B170" s="467"/>
      <c r="C170" s="468"/>
      <c r="D170" s="468"/>
      <c r="E170" s="468"/>
      <c r="F170" s="468"/>
      <c r="G170" s="468"/>
      <c r="H170" s="468"/>
      <c r="I170" s="468"/>
      <c r="J170" s="468"/>
      <c r="K170" s="468"/>
      <c r="L170" s="468"/>
    </row>
    <row r="171" spans="1:12" ht="15">
      <c r="A171" s="469"/>
      <c r="B171" s="470"/>
      <c r="C171" s="381"/>
      <c r="D171" s="381"/>
      <c r="E171" s="381"/>
      <c r="F171" s="381"/>
      <c r="G171" s="381"/>
      <c r="H171" s="381"/>
      <c r="I171" s="381"/>
      <c r="J171" s="381"/>
      <c r="K171" s="381"/>
      <c r="L171" s="381"/>
    </row>
    <row r="172" spans="1:12" ht="15">
      <c r="A172" s="469"/>
      <c r="B172" s="470"/>
      <c r="C172" s="381"/>
      <c r="D172" s="381"/>
      <c r="E172" s="381"/>
      <c r="F172" s="381"/>
      <c r="G172" s="381"/>
      <c r="H172" s="381"/>
      <c r="I172" s="381"/>
      <c r="J172" s="381"/>
      <c r="K172" s="381"/>
      <c r="L172" s="381"/>
    </row>
    <row r="173" spans="1:12">
      <c r="A173" s="469"/>
      <c r="B173" s="470"/>
      <c r="C173" s="381"/>
      <c r="D173" s="381"/>
      <c r="E173" s="381"/>
      <c r="F173" s="381"/>
      <c r="G173" s="381"/>
      <c r="H173" s="381"/>
      <c r="I173" s="381"/>
      <c r="J173" s="381"/>
    </row>
    <row r="174" spans="1:12" ht="15">
      <c r="A174" s="469"/>
      <c r="B174" s="470"/>
      <c r="C174" s="381"/>
      <c r="D174" s="381"/>
      <c r="E174" s="381"/>
      <c r="F174" s="381"/>
      <c r="G174" s="381"/>
      <c r="H174" s="381"/>
      <c r="I174" s="381"/>
      <c r="J174" s="381"/>
      <c r="K174" s="381"/>
      <c r="L174" s="381"/>
    </row>
    <row r="175" spans="1:12" ht="15">
      <c r="A175" s="469"/>
      <c r="B175" s="470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</row>
    <row r="176" spans="1:12" ht="15">
      <c r="A176" s="469"/>
      <c r="B176" s="470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</row>
    <row r="177" spans="1:12" ht="15">
      <c r="A177" s="469"/>
      <c r="B177" s="470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</row>
    <row r="178" spans="1:12" ht="15">
      <c r="A178" s="469"/>
      <c r="B178" s="470"/>
      <c r="C178" s="381"/>
      <c r="D178" s="381"/>
      <c r="E178" s="381"/>
      <c r="F178" s="381"/>
      <c r="G178" s="381"/>
      <c r="H178" s="381"/>
      <c r="I178" s="381"/>
      <c r="J178" s="381"/>
      <c r="K178" s="381"/>
      <c r="L178" s="381"/>
    </row>
    <row r="179" spans="1:12" ht="15">
      <c r="A179" s="469"/>
      <c r="B179" s="470"/>
      <c r="C179" s="381"/>
      <c r="D179" s="381"/>
      <c r="E179" s="381"/>
      <c r="F179" s="381"/>
      <c r="G179" s="381"/>
      <c r="H179" s="381"/>
      <c r="I179" s="381"/>
      <c r="J179" s="381"/>
      <c r="K179" s="381"/>
      <c r="L179" s="381"/>
    </row>
    <row r="180" spans="1:12" ht="15">
      <c r="A180" s="469"/>
      <c r="B180" s="470"/>
      <c r="C180" s="381"/>
      <c r="D180" s="381"/>
      <c r="E180" s="381"/>
      <c r="F180" s="381"/>
      <c r="G180" s="381"/>
      <c r="H180" s="381"/>
      <c r="I180" s="381"/>
      <c r="J180" s="381"/>
      <c r="K180" s="381"/>
      <c r="L180" s="381"/>
    </row>
    <row r="181" spans="1:12" ht="15">
      <c r="A181" s="469"/>
      <c r="B181" s="470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</row>
    <row r="182" spans="1:12" ht="15">
      <c r="A182" s="469"/>
      <c r="B182" s="470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</row>
    <row r="183" spans="1:12" ht="15">
      <c r="A183" s="469"/>
      <c r="B183" s="470"/>
      <c r="C183" s="381"/>
      <c r="D183" s="381"/>
      <c r="E183" s="381"/>
      <c r="F183" s="381"/>
      <c r="G183" s="381"/>
      <c r="H183" s="381"/>
      <c r="I183" s="381"/>
      <c r="J183" s="381"/>
      <c r="K183" s="381"/>
      <c r="L183" s="381"/>
    </row>
    <row r="184" spans="1:12" ht="15">
      <c r="A184" s="469"/>
      <c r="B184" s="470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</row>
    <row r="185" spans="1:12" ht="15">
      <c r="A185" s="469"/>
      <c r="B185" s="470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</row>
    <row r="186" spans="1:12" ht="15">
      <c r="A186" s="469"/>
      <c r="B186" s="470"/>
      <c r="C186" s="381"/>
      <c r="D186" s="381"/>
      <c r="E186" s="381"/>
      <c r="F186" s="381"/>
      <c r="G186" s="381"/>
      <c r="H186" s="381"/>
      <c r="I186" s="381"/>
      <c r="J186" s="381"/>
      <c r="K186" s="381"/>
      <c r="L186" s="381"/>
    </row>
    <row r="187" spans="1:12" ht="15">
      <c r="A187" s="469"/>
      <c r="B187" s="470"/>
      <c r="C187" s="381"/>
      <c r="D187" s="381"/>
      <c r="E187" s="381"/>
      <c r="F187" s="381"/>
      <c r="G187" s="381"/>
      <c r="H187" s="381"/>
      <c r="I187" s="381"/>
      <c r="J187" s="381"/>
      <c r="K187" s="381"/>
      <c r="L187" s="381"/>
    </row>
    <row r="188" spans="1:12" ht="15">
      <c r="A188" s="469"/>
      <c r="B188" s="470"/>
      <c r="C188" s="381"/>
      <c r="D188" s="381"/>
      <c r="E188" s="381"/>
      <c r="F188" s="381"/>
      <c r="G188" s="381"/>
      <c r="H188" s="381"/>
      <c r="I188" s="381"/>
      <c r="J188" s="381"/>
      <c r="K188" s="381"/>
      <c r="L188" s="381"/>
    </row>
    <row r="189" spans="1:12" ht="15">
      <c r="A189" s="469"/>
      <c r="B189" s="470"/>
      <c r="C189" s="381"/>
      <c r="D189" s="381"/>
      <c r="E189" s="381"/>
      <c r="F189" s="381"/>
      <c r="G189" s="381"/>
      <c r="H189" s="381"/>
      <c r="I189" s="381"/>
      <c r="J189" s="381"/>
      <c r="K189" s="381"/>
      <c r="L189" s="381"/>
    </row>
    <row r="190" spans="1:12" ht="15">
      <c r="A190" s="469"/>
      <c r="B190" s="470"/>
      <c r="C190" s="381"/>
      <c r="D190" s="381"/>
      <c r="E190" s="381"/>
      <c r="F190" s="381"/>
      <c r="G190" s="381"/>
      <c r="H190" s="381"/>
      <c r="I190" s="381"/>
      <c r="J190" s="381"/>
      <c r="K190" s="381"/>
      <c r="L190" s="381"/>
    </row>
    <row r="191" spans="1:12" ht="15">
      <c r="A191" s="469"/>
      <c r="B191" s="470"/>
      <c r="C191" s="381"/>
      <c r="D191" s="381"/>
      <c r="E191" s="381"/>
      <c r="F191" s="381"/>
      <c r="G191" s="381"/>
      <c r="H191" s="381"/>
      <c r="I191" s="381"/>
      <c r="J191" s="381"/>
      <c r="K191" s="381"/>
      <c r="L191" s="381"/>
    </row>
    <row r="192" spans="1:12" ht="15">
      <c r="A192" s="469"/>
      <c r="B192" s="470"/>
      <c r="C192" s="381"/>
      <c r="D192" s="381"/>
      <c r="E192" s="381"/>
      <c r="F192" s="381"/>
      <c r="G192" s="381"/>
      <c r="H192" s="381"/>
      <c r="I192" s="381"/>
      <c r="J192" s="381"/>
      <c r="K192" s="381"/>
      <c r="L192" s="381"/>
    </row>
    <row r="193" spans="1:12" ht="15">
      <c r="A193" s="469"/>
      <c r="B193" s="470"/>
      <c r="C193" s="381"/>
      <c r="D193" s="381"/>
      <c r="E193" s="381"/>
      <c r="F193" s="381"/>
      <c r="G193" s="381"/>
      <c r="H193" s="381"/>
      <c r="I193" s="381"/>
      <c r="J193" s="381"/>
      <c r="K193" s="381"/>
      <c r="L193" s="381"/>
    </row>
    <row r="194" spans="1:12" ht="15">
      <c r="A194" s="469"/>
      <c r="B194" s="470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</row>
    <row r="195" spans="1:12" ht="15">
      <c r="A195" s="469"/>
      <c r="B195" s="470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</row>
    <row r="196" spans="1:12" ht="15">
      <c r="A196" s="469"/>
      <c r="B196" s="470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</row>
    <row r="197" spans="1:12" ht="15">
      <c r="A197" s="469"/>
      <c r="B197" s="470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</row>
    <row r="198" spans="1:12" ht="15">
      <c r="A198" s="469"/>
      <c r="B198" s="470"/>
      <c r="C198" s="381"/>
      <c r="D198" s="381"/>
      <c r="E198" s="381"/>
      <c r="F198" s="381"/>
      <c r="G198" s="381"/>
      <c r="H198" s="381"/>
      <c r="I198" s="381"/>
      <c r="J198" s="381"/>
      <c r="K198" s="381"/>
      <c r="L198" s="381"/>
    </row>
    <row r="199" spans="1:12" ht="15">
      <c r="A199" s="469"/>
      <c r="B199" s="470"/>
      <c r="C199" s="381"/>
      <c r="D199" s="381"/>
      <c r="E199" s="381"/>
      <c r="F199" s="381"/>
      <c r="G199" s="381"/>
      <c r="H199" s="381"/>
      <c r="I199" s="381"/>
      <c r="J199" s="381"/>
      <c r="K199" s="381"/>
      <c r="L199" s="381"/>
    </row>
    <row r="200" spans="1:12" ht="15">
      <c r="A200" s="469"/>
      <c r="B200" s="470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</row>
    <row r="201" spans="1:12" ht="15">
      <c r="A201" s="469"/>
      <c r="B201" s="470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</row>
    <row r="202" spans="1:12" ht="15">
      <c r="A202" s="469"/>
      <c r="B202" s="470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</row>
    <row r="203" spans="1:12" ht="15">
      <c r="A203" s="469"/>
      <c r="B203" s="470"/>
      <c r="C203" s="381"/>
      <c r="D203" s="381"/>
      <c r="E203" s="381"/>
      <c r="F203" s="381"/>
      <c r="G203" s="381"/>
      <c r="H203" s="381"/>
      <c r="I203" s="381"/>
      <c r="J203" s="381"/>
      <c r="K203" s="381"/>
      <c r="L203" s="381"/>
    </row>
    <row r="204" spans="1:12" ht="15">
      <c r="A204" s="469"/>
      <c r="B204" s="470"/>
      <c r="C204" s="381"/>
      <c r="D204" s="381"/>
      <c r="E204" s="381"/>
      <c r="F204" s="381"/>
      <c r="G204" s="381"/>
      <c r="H204" s="381"/>
      <c r="I204" s="381"/>
      <c r="J204" s="381"/>
      <c r="K204" s="381"/>
      <c r="L204" s="381"/>
    </row>
    <row r="205" spans="1:12" ht="15">
      <c r="A205" s="469"/>
      <c r="B205" s="470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</row>
    <row r="206" spans="1:12" ht="15">
      <c r="A206" s="469"/>
      <c r="B206" s="470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</row>
    <row r="207" spans="1:12" ht="15">
      <c r="A207" s="469"/>
      <c r="B207" s="470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</row>
    <row r="208" spans="1:12" ht="15">
      <c r="A208" s="469"/>
      <c r="B208" s="470"/>
      <c r="C208" s="381"/>
      <c r="D208" s="381"/>
      <c r="E208" s="381"/>
      <c r="F208" s="381"/>
      <c r="G208" s="381"/>
      <c r="H208" s="381"/>
      <c r="I208" s="381"/>
      <c r="J208" s="381"/>
      <c r="K208" s="381"/>
      <c r="L208" s="381"/>
    </row>
    <row r="209" spans="1:12" ht="15">
      <c r="A209" s="469"/>
      <c r="B209" s="470"/>
      <c r="C209" s="381"/>
      <c r="D209" s="381"/>
      <c r="E209" s="381"/>
      <c r="F209" s="381"/>
      <c r="G209" s="381"/>
      <c r="H209" s="381"/>
      <c r="I209" s="381"/>
      <c r="J209" s="381"/>
      <c r="K209" s="381"/>
      <c r="L209" s="381"/>
    </row>
    <row r="210" spans="1:12" ht="15">
      <c r="A210" s="469"/>
      <c r="B210" s="470"/>
      <c r="C210" s="381"/>
      <c r="D210" s="381"/>
      <c r="E210" s="381"/>
      <c r="F210" s="381"/>
      <c r="G210" s="381"/>
      <c r="H210" s="381"/>
      <c r="I210" s="381"/>
      <c r="J210" s="381"/>
      <c r="K210" s="381"/>
      <c r="L210" s="381"/>
    </row>
    <row r="211" spans="1:12" ht="15">
      <c r="A211" s="469"/>
      <c r="B211" s="470"/>
      <c r="C211" s="381"/>
      <c r="D211" s="381"/>
      <c r="E211" s="381"/>
      <c r="F211" s="381"/>
      <c r="G211" s="381"/>
      <c r="H211" s="381"/>
      <c r="I211" s="381"/>
      <c r="J211" s="381"/>
      <c r="K211" s="381"/>
      <c r="L211" s="381"/>
    </row>
    <row r="212" spans="1:12" ht="15">
      <c r="A212" s="469"/>
      <c r="B212" s="470"/>
      <c r="C212" s="381"/>
      <c r="D212" s="381"/>
      <c r="E212" s="381"/>
      <c r="F212" s="381"/>
      <c r="G212" s="381"/>
      <c r="H212" s="381"/>
      <c r="I212" s="381"/>
      <c r="J212" s="381"/>
      <c r="K212" s="381"/>
      <c r="L212" s="381"/>
    </row>
    <row r="213" spans="1:12" ht="15">
      <c r="A213" s="469"/>
      <c r="B213" s="470"/>
      <c r="C213" s="381"/>
      <c r="D213" s="381"/>
      <c r="E213" s="381"/>
      <c r="F213" s="381"/>
      <c r="G213" s="381"/>
      <c r="H213" s="381"/>
      <c r="I213" s="381"/>
      <c r="J213" s="381"/>
      <c r="K213" s="381"/>
      <c r="L213" s="381"/>
    </row>
    <row r="214" spans="1:12" ht="15">
      <c r="A214" s="469"/>
      <c r="B214" s="470"/>
      <c r="C214" s="381"/>
      <c r="D214" s="381"/>
      <c r="E214" s="381"/>
      <c r="F214" s="381"/>
      <c r="G214" s="381"/>
      <c r="H214" s="381"/>
      <c r="I214" s="381"/>
      <c r="J214" s="381"/>
      <c r="K214" s="381"/>
      <c r="L214" s="381"/>
    </row>
    <row r="215" spans="1:12" ht="15">
      <c r="A215" s="469"/>
      <c r="B215" s="470"/>
      <c r="C215" s="381"/>
      <c r="D215" s="381"/>
      <c r="E215" s="381"/>
      <c r="F215" s="381"/>
      <c r="G215" s="381"/>
      <c r="H215" s="381"/>
      <c r="I215" s="381"/>
      <c r="J215" s="381"/>
      <c r="K215" s="381"/>
      <c r="L215" s="381"/>
    </row>
    <row r="216" spans="1:12" ht="15">
      <c r="A216" s="469"/>
      <c r="B216" s="470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</row>
    <row r="217" spans="1:12" ht="15">
      <c r="A217" s="471"/>
      <c r="B217" s="382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</row>
    <row r="218" spans="1:12" ht="15">
      <c r="A218" s="471"/>
      <c r="B218" s="382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</row>
    <row r="219" spans="1:12" ht="15">
      <c r="A219" s="471"/>
      <c r="B219" s="382"/>
      <c r="C219" s="381"/>
      <c r="D219" s="381"/>
      <c r="E219" s="381"/>
      <c r="F219" s="381"/>
      <c r="G219" s="381"/>
      <c r="H219" s="381"/>
      <c r="I219" s="381"/>
      <c r="J219" s="381"/>
      <c r="K219" s="381"/>
      <c r="L219" s="381"/>
    </row>
    <row r="220" spans="1:12" ht="15">
      <c r="A220" s="471"/>
      <c r="B220" s="382"/>
      <c r="C220" s="381"/>
      <c r="D220" s="381"/>
      <c r="E220" s="381"/>
      <c r="F220" s="381"/>
      <c r="G220" s="381"/>
      <c r="H220" s="381"/>
      <c r="I220" s="381"/>
      <c r="J220" s="381"/>
      <c r="K220" s="381"/>
      <c r="L220" s="381"/>
    </row>
    <row r="221" spans="1:12" ht="15">
      <c r="A221" s="471"/>
      <c r="B221" s="382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</row>
    <row r="222" spans="1:12" ht="15">
      <c r="A222" s="471"/>
      <c r="B222" s="382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</row>
    <row r="223" spans="1:12" ht="15">
      <c r="A223" s="471"/>
      <c r="B223" s="382"/>
      <c r="C223" s="381"/>
      <c r="D223" s="381"/>
      <c r="E223" s="381"/>
      <c r="F223" s="381"/>
      <c r="G223" s="381"/>
      <c r="H223" s="381"/>
      <c r="I223" s="381"/>
      <c r="J223" s="381"/>
      <c r="K223" s="381"/>
      <c r="L223" s="381"/>
    </row>
    <row r="224" spans="1:12" ht="15">
      <c r="A224" s="471"/>
      <c r="B224" s="382"/>
      <c r="C224" s="381"/>
      <c r="D224" s="381"/>
      <c r="E224" s="381"/>
      <c r="F224" s="381"/>
      <c r="G224" s="381"/>
      <c r="H224" s="381"/>
      <c r="I224" s="381"/>
      <c r="J224" s="381"/>
      <c r="K224" s="381"/>
      <c r="L224" s="381"/>
    </row>
    <row r="225" spans="1:236" ht="15">
      <c r="A225" s="471"/>
      <c r="B225" s="382"/>
      <c r="C225" s="381"/>
      <c r="D225" s="381"/>
      <c r="E225" s="381"/>
      <c r="F225" s="381"/>
      <c r="G225" s="381"/>
      <c r="H225" s="381"/>
      <c r="I225" s="381"/>
      <c r="J225" s="381"/>
      <c r="K225" s="381"/>
      <c r="L225" s="381"/>
    </row>
    <row r="226" spans="1:236" ht="15">
      <c r="A226" s="471"/>
      <c r="B226" s="382"/>
      <c r="C226" s="381"/>
      <c r="D226" s="381"/>
      <c r="E226" s="381"/>
      <c r="F226" s="381"/>
      <c r="G226" s="381"/>
      <c r="H226" s="381"/>
      <c r="I226" s="381"/>
      <c r="J226" s="381"/>
      <c r="K226" s="381"/>
      <c r="L226" s="381"/>
    </row>
    <row r="227" spans="1:236" ht="15">
      <c r="A227" s="471"/>
      <c r="B227" s="382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</row>
    <row r="228" spans="1:236" ht="15">
      <c r="A228" s="471"/>
      <c r="B228" s="382"/>
      <c r="C228" s="381"/>
      <c r="D228" s="381"/>
      <c r="E228" s="381"/>
      <c r="F228" s="381"/>
      <c r="G228" s="381"/>
      <c r="H228" s="381"/>
      <c r="I228" s="381"/>
      <c r="J228" s="381"/>
      <c r="K228" s="381"/>
      <c r="L228" s="381"/>
    </row>
    <row r="229" spans="1:236" ht="15">
      <c r="A229" s="471"/>
      <c r="B229" s="382"/>
      <c r="C229" s="381"/>
      <c r="D229" s="381"/>
      <c r="E229" s="381"/>
      <c r="F229" s="381"/>
      <c r="G229" s="381"/>
      <c r="H229" s="381"/>
      <c r="I229" s="381"/>
      <c r="J229" s="381"/>
      <c r="K229" s="381"/>
      <c r="L229" s="381"/>
    </row>
    <row r="230" spans="1:236" ht="15">
      <c r="A230" s="471"/>
      <c r="B230" s="382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</row>
    <row r="231" spans="1:236" ht="15">
      <c r="A231" s="471"/>
      <c r="B231" s="382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</row>
    <row r="232" spans="1:236" ht="15">
      <c r="A232" s="471"/>
      <c r="B232" s="382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</row>
    <row r="233" spans="1:236" ht="15">
      <c r="A233" s="471"/>
      <c r="B233" s="382"/>
      <c r="C233" s="381"/>
      <c r="D233" s="381"/>
      <c r="E233" s="381"/>
      <c r="F233" s="381"/>
      <c r="G233" s="381"/>
      <c r="H233" s="381"/>
      <c r="I233" s="381"/>
      <c r="J233" s="381"/>
      <c r="K233" s="381"/>
      <c r="L233" s="381"/>
    </row>
    <row r="234" spans="1:236" ht="15">
      <c r="A234" s="471"/>
      <c r="B234" s="382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</row>
    <row r="235" spans="1:236" ht="15">
      <c r="A235" s="471"/>
      <c r="B235" s="382"/>
      <c r="C235" s="381"/>
      <c r="D235" s="381"/>
      <c r="E235" s="381"/>
      <c r="F235" s="381"/>
      <c r="G235" s="381"/>
      <c r="H235" s="381"/>
      <c r="I235" s="381"/>
      <c r="J235" s="381"/>
      <c r="K235" s="381"/>
      <c r="L235" s="381"/>
    </row>
    <row r="236" spans="1:236" ht="15">
      <c r="A236" s="471"/>
      <c r="B236" s="382"/>
      <c r="C236" s="381"/>
      <c r="D236" s="381"/>
      <c r="E236" s="381"/>
      <c r="F236" s="381"/>
      <c r="G236" s="381"/>
      <c r="H236" s="381"/>
      <c r="I236" s="381"/>
      <c r="J236" s="381"/>
      <c r="K236" s="381"/>
      <c r="L236" s="381"/>
    </row>
    <row r="237" spans="1:236" ht="15">
      <c r="A237" s="471"/>
      <c r="B237" s="382"/>
      <c r="C237" s="381"/>
      <c r="D237" s="381"/>
      <c r="E237" s="381"/>
      <c r="F237" s="381"/>
      <c r="G237" s="381"/>
      <c r="H237" s="381"/>
      <c r="I237" s="381"/>
      <c r="J237" s="381"/>
      <c r="K237" s="381"/>
      <c r="L237" s="381"/>
    </row>
    <row r="238" spans="1:236" s="406" customFormat="1">
      <c r="A238" s="472"/>
      <c r="B238" s="473"/>
      <c r="M238" s="381"/>
      <c r="N238" s="381"/>
      <c r="O238" s="381"/>
      <c r="P238" s="381"/>
      <c r="Q238" s="381"/>
      <c r="R238" s="381"/>
      <c r="S238" s="381"/>
      <c r="T238" s="381"/>
      <c r="U238" s="381"/>
      <c r="V238" s="381"/>
      <c r="W238" s="381"/>
      <c r="X238" s="381"/>
      <c r="Y238" s="381"/>
      <c r="Z238" s="381"/>
      <c r="AA238" s="381"/>
      <c r="AB238" s="381"/>
      <c r="AC238" s="381"/>
      <c r="AD238" s="381"/>
      <c r="AE238" s="381"/>
      <c r="AF238" s="381"/>
      <c r="AG238" s="381"/>
      <c r="AH238" s="381"/>
      <c r="AI238" s="381"/>
      <c r="AJ238" s="381"/>
      <c r="AK238" s="381"/>
      <c r="AL238" s="381"/>
      <c r="AM238" s="381"/>
      <c r="AN238" s="381"/>
      <c r="AO238" s="381"/>
      <c r="AP238" s="381"/>
      <c r="AQ238" s="381"/>
      <c r="AR238" s="381"/>
      <c r="AS238" s="381"/>
      <c r="AT238" s="381"/>
      <c r="AU238" s="381"/>
      <c r="AV238" s="381"/>
      <c r="AW238" s="381"/>
      <c r="AX238" s="381"/>
      <c r="AY238" s="381"/>
      <c r="AZ238" s="381"/>
      <c r="BA238" s="381"/>
      <c r="BB238" s="381"/>
      <c r="BC238" s="381"/>
      <c r="BD238" s="381"/>
      <c r="BE238" s="381"/>
      <c r="BF238" s="381"/>
      <c r="BG238" s="381"/>
      <c r="BH238" s="381"/>
      <c r="BI238" s="381"/>
      <c r="BJ238" s="381"/>
      <c r="BK238" s="381"/>
      <c r="BL238" s="381"/>
      <c r="BM238" s="381"/>
      <c r="BN238" s="381"/>
      <c r="BO238" s="381"/>
      <c r="BP238" s="381"/>
      <c r="BQ238" s="381"/>
      <c r="BR238" s="381"/>
      <c r="BS238" s="381"/>
      <c r="BT238" s="381"/>
      <c r="BU238" s="381"/>
      <c r="BV238" s="381"/>
      <c r="BW238" s="381"/>
      <c r="BX238" s="381"/>
      <c r="BY238" s="381"/>
      <c r="BZ238" s="381"/>
      <c r="CA238" s="381"/>
      <c r="CB238" s="381"/>
      <c r="CC238" s="381"/>
      <c r="CD238" s="381"/>
      <c r="CE238" s="381"/>
      <c r="CF238" s="381"/>
      <c r="CG238" s="381"/>
      <c r="CH238" s="381"/>
      <c r="CI238" s="381"/>
      <c r="CJ238" s="381"/>
      <c r="CK238" s="381"/>
      <c r="CL238" s="381"/>
      <c r="CM238" s="381"/>
      <c r="CN238" s="381"/>
      <c r="CO238" s="381"/>
      <c r="CP238" s="381"/>
      <c r="CQ238" s="381"/>
      <c r="CR238" s="381"/>
      <c r="CS238" s="381"/>
      <c r="CT238" s="381"/>
      <c r="CU238" s="381"/>
      <c r="CV238" s="381"/>
      <c r="CW238" s="381"/>
      <c r="CX238" s="381"/>
      <c r="CY238" s="381"/>
      <c r="CZ238" s="381"/>
      <c r="DA238" s="381"/>
      <c r="DB238" s="381"/>
      <c r="DC238" s="381"/>
      <c r="DD238" s="381"/>
      <c r="DE238" s="381"/>
      <c r="DF238" s="381"/>
      <c r="DG238" s="381"/>
      <c r="DH238" s="381"/>
      <c r="DI238" s="381"/>
      <c r="DJ238" s="381"/>
      <c r="DK238" s="381"/>
      <c r="DL238" s="381"/>
      <c r="DM238" s="381"/>
      <c r="DN238" s="381"/>
      <c r="DO238" s="381"/>
      <c r="DP238" s="381"/>
      <c r="DQ238" s="381"/>
      <c r="DR238" s="381"/>
      <c r="DS238" s="381"/>
      <c r="DT238" s="381"/>
      <c r="DU238" s="381"/>
      <c r="DV238" s="381"/>
      <c r="DW238" s="381"/>
      <c r="DX238" s="381"/>
      <c r="DY238" s="381"/>
      <c r="DZ238" s="381"/>
      <c r="EA238" s="381"/>
      <c r="EB238" s="381"/>
      <c r="EC238" s="381"/>
      <c r="ED238" s="381"/>
      <c r="EE238" s="381"/>
      <c r="EF238" s="381"/>
      <c r="EG238" s="381"/>
      <c r="EH238" s="381"/>
      <c r="EI238" s="381"/>
      <c r="EJ238" s="381"/>
      <c r="EK238" s="381"/>
      <c r="EL238" s="381"/>
      <c r="EM238" s="381"/>
      <c r="EN238" s="381"/>
      <c r="EO238" s="381"/>
      <c r="EP238" s="381"/>
      <c r="EQ238" s="381"/>
      <c r="ER238" s="381"/>
      <c r="ES238" s="381"/>
      <c r="ET238" s="381"/>
      <c r="EU238" s="381"/>
      <c r="EV238" s="381"/>
      <c r="EW238" s="381"/>
      <c r="EX238" s="381"/>
      <c r="EY238" s="381"/>
      <c r="EZ238" s="381"/>
      <c r="FA238" s="381"/>
      <c r="FB238" s="381"/>
      <c r="FC238" s="381"/>
      <c r="FD238" s="381"/>
      <c r="FE238" s="381"/>
      <c r="FF238" s="381"/>
      <c r="FG238" s="381"/>
      <c r="FH238" s="381"/>
      <c r="FI238" s="381"/>
      <c r="FJ238" s="381"/>
      <c r="FK238" s="381"/>
      <c r="FL238" s="381"/>
      <c r="FM238" s="381"/>
      <c r="FN238" s="381"/>
      <c r="FO238" s="381"/>
      <c r="FP238" s="381"/>
      <c r="FQ238" s="381"/>
      <c r="FR238" s="381"/>
      <c r="FS238" s="381"/>
      <c r="FT238" s="381"/>
      <c r="FU238" s="381"/>
      <c r="FV238" s="381"/>
      <c r="FW238" s="381"/>
      <c r="FX238" s="381"/>
      <c r="FY238" s="381"/>
      <c r="FZ238" s="381"/>
      <c r="GA238" s="381"/>
      <c r="GB238" s="381"/>
      <c r="GC238" s="381"/>
      <c r="GD238" s="381"/>
      <c r="GE238" s="381"/>
      <c r="GF238" s="381"/>
      <c r="GG238" s="381"/>
      <c r="GH238" s="381"/>
      <c r="GI238" s="381"/>
      <c r="GJ238" s="381"/>
      <c r="GK238" s="381"/>
      <c r="GL238" s="381"/>
      <c r="GM238" s="381"/>
      <c r="GN238" s="381"/>
      <c r="GO238" s="381"/>
      <c r="GP238" s="381"/>
      <c r="GQ238" s="381"/>
      <c r="GR238" s="381"/>
      <c r="GS238" s="381"/>
      <c r="GT238" s="381"/>
      <c r="GU238" s="381"/>
      <c r="GV238" s="381"/>
      <c r="GW238" s="381"/>
      <c r="GX238" s="381"/>
      <c r="GY238" s="381"/>
      <c r="GZ238" s="381"/>
      <c r="HA238" s="381"/>
      <c r="HB238" s="381"/>
      <c r="HC238" s="381"/>
      <c r="HD238" s="381"/>
      <c r="HE238" s="381"/>
      <c r="HF238" s="381"/>
      <c r="HG238" s="381"/>
      <c r="HH238" s="381"/>
      <c r="HI238" s="381"/>
      <c r="HJ238" s="381"/>
      <c r="HK238" s="381"/>
      <c r="HL238" s="381"/>
      <c r="HM238" s="381"/>
      <c r="HN238" s="381"/>
      <c r="HO238" s="381"/>
      <c r="HP238" s="381"/>
      <c r="HQ238" s="381"/>
      <c r="HR238" s="381"/>
      <c r="HS238" s="381"/>
      <c r="HT238" s="381"/>
      <c r="HU238" s="381"/>
      <c r="HV238" s="381"/>
      <c r="HW238" s="381"/>
      <c r="HX238" s="381"/>
      <c r="HY238" s="381"/>
      <c r="HZ238" s="381"/>
      <c r="IA238" s="381"/>
      <c r="IB238" s="381"/>
    </row>
    <row r="239" spans="1:236" s="406" customFormat="1">
      <c r="A239" s="472"/>
      <c r="B239" s="473"/>
      <c r="M239" s="381"/>
      <c r="N239" s="381"/>
      <c r="O239" s="381"/>
      <c r="P239" s="381"/>
      <c r="Q239" s="381"/>
      <c r="R239" s="381"/>
      <c r="S239" s="381"/>
      <c r="T239" s="381"/>
      <c r="U239" s="381"/>
      <c r="V239" s="381"/>
      <c r="W239" s="381"/>
      <c r="X239" s="381"/>
      <c r="Y239" s="381"/>
      <c r="Z239" s="381"/>
      <c r="AA239" s="381"/>
      <c r="AB239" s="381"/>
      <c r="AC239" s="381"/>
      <c r="AD239" s="381"/>
      <c r="AE239" s="381"/>
      <c r="AF239" s="381"/>
      <c r="AG239" s="381"/>
      <c r="AH239" s="381"/>
      <c r="AI239" s="381"/>
      <c r="AJ239" s="381"/>
      <c r="AK239" s="381"/>
      <c r="AL239" s="381"/>
      <c r="AM239" s="381"/>
      <c r="AN239" s="381"/>
      <c r="AO239" s="381"/>
      <c r="AP239" s="381"/>
      <c r="AQ239" s="381"/>
      <c r="AR239" s="381"/>
      <c r="AS239" s="381"/>
      <c r="AT239" s="381"/>
      <c r="AU239" s="381"/>
      <c r="AV239" s="381"/>
      <c r="AW239" s="381"/>
      <c r="AX239" s="381"/>
      <c r="AY239" s="381"/>
      <c r="AZ239" s="381"/>
      <c r="BA239" s="381"/>
      <c r="BB239" s="381"/>
      <c r="BC239" s="381"/>
      <c r="BD239" s="381"/>
      <c r="BE239" s="381"/>
      <c r="BF239" s="381"/>
      <c r="BG239" s="381"/>
      <c r="BH239" s="381"/>
      <c r="BI239" s="381"/>
      <c r="BJ239" s="381"/>
      <c r="BK239" s="381"/>
      <c r="BL239" s="381"/>
      <c r="BM239" s="381"/>
      <c r="BN239" s="381"/>
      <c r="BO239" s="381"/>
      <c r="BP239" s="381"/>
      <c r="BQ239" s="381"/>
      <c r="BR239" s="381"/>
      <c r="BS239" s="381"/>
      <c r="BT239" s="381"/>
      <c r="BU239" s="381"/>
      <c r="BV239" s="381"/>
      <c r="BW239" s="381"/>
      <c r="BX239" s="381"/>
      <c r="BY239" s="381"/>
      <c r="BZ239" s="381"/>
      <c r="CA239" s="381"/>
      <c r="CB239" s="381"/>
      <c r="CC239" s="381"/>
      <c r="CD239" s="381"/>
      <c r="CE239" s="381"/>
      <c r="CF239" s="381"/>
      <c r="CG239" s="381"/>
      <c r="CH239" s="381"/>
      <c r="CI239" s="381"/>
      <c r="CJ239" s="381"/>
      <c r="CK239" s="381"/>
      <c r="CL239" s="381"/>
      <c r="CM239" s="381"/>
      <c r="CN239" s="381"/>
      <c r="CO239" s="381"/>
      <c r="CP239" s="381"/>
      <c r="CQ239" s="381"/>
      <c r="CR239" s="381"/>
      <c r="CS239" s="381"/>
      <c r="CT239" s="381"/>
      <c r="CU239" s="381"/>
      <c r="CV239" s="381"/>
      <c r="CW239" s="381"/>
      <c r="CX239" s="381"/>
      <c r="CY239" s="381"/>
      <c r="CZ239" s="381"/>
      <c r="DA239" s="381"/>
      <c r="DB239" s="381"/>
      <c r="DC239" s="381"/>
      <c r="DD239" s="381"/>
      <c r="DE239" s="381"/>
      <c r="DF239" s="381"/>
      <c r="DG239" s="381"/>
      <c r="DH239" s="381"/>
      <c r="DI239" s="381"/>
      <c r="DJ239" s="381"/>
      <c r="DK239" s="381"/>
      <c r="DL239" s="381"/>
      <c r="DM239" s="381"/>
      <c r="DN239" s="381"/>
      <c r="DO239" s="381"/>
      <c r="DP239" s="381"/>
      <c r="DQ239" s="381"/>
      <c r="DR239" s="381"/>
      <c r="DS239" s="381"/>
      <c r="DT239" s="381"/>
      <c r="DU239" s="381"/>
      <c r="DV239" s="381"/>
      <c r="DW239" s="381"/>
      <c r="DX239" s="381"/>
      <c r="DY239" s="381"/>
      <c r="DZ239" s="381"/>
      <c r="EA239" s="381"/>
      <c r="EB239" s="381"/>
      <c r="EC239" s="381"/>
      <c r="ED239" s="381"/>
      <c r="EE239" s="381"/>
      <c r="EF239" s="381"/>
      <c r="EG239" s="381"/>
      <c r="EH239" s="381"/>
      <c r="EI239" s="381"/>
      <c r="EJ239" s="381"/>
      <c r="EK239" s="381"/>
      <c r="EL239" s="381"/>
      <c r="EM239" s="381"/>
      <c r="EN239" s="381"/>
      <c r="EO239" s="381"/>
      <c r="EP239" s="381"/>
      <c r="EQ239" s="381"/>
      <c r="ER239" s="381"/>
      <c r="ES239" s="381"/>
      <c r="ET239" s="381"/>
      <c r="EU239" s="381"/>
      <c r="EV239" s="381"/>
      <c r="EW239" s="381"/>
      <c r="EX239" s="381"/>
      <c r="EY239" s="381"/>
      <c r="EZ239" s="381"/>
      <c r="FA239" s="381"/>
      <c r="FB239" s="381"/>
      <c r="FC239" s="381"/>
      <c r="FD239" s="381"/>
      <c r="FE239" s="381"/>
      <c r="FF239" s="381"/>
      <c r="FG239" s="381"/>
      <c r="FH239" s="381"/>
      <c r="FI239" s="381"/>
      <c r="FJ239" s="381"/>
      <c r="FK239" s="381"/>
      <c r="FL239" s="381"/>
      <c r="FM239" s="381"/>
      <c r="FN239" s="381"/>
      <c r="FO239" s="381"/>
      <c r="FP239" s="381"/>
      <c r="FQ239" s="381"/>
      <c r="FR239" s="381"/>
      <c r="FS239" s="381"/>
      <c r="FT239" s="381"/>
      <c r="FU239" s="381"/>
      <c r="FV239" s="381"/>
      <c r="FW239" s="381"/>
      <c r="FX239" s="381"/>
      <c r="FY239" s="381"/>
      <c r="FZ239" s="381"/>
      <c r="GA239" s="381"/>
      <c r="GB239" s="381"/>
      <c r="GC239" s="381"/>
      <c r="GD239" s="381"/>
      <c r="GE239" s="381"/>
      <c r="GF239" s="381"/>
      <c r="GG239" s="381"/>
      <c r="GH239" s="381"/>
      <c r="GI239" s="381"/>
      <c r="GJ239" s="381"/>
      <c r="GK239" s="381"/>
      <c r="GL239" s="381"/>
      <c r="GM239" s="381"/>
      <c r="GN239" s="381"/>
      <c r="GO239" s="381"/>
      <c r="GP239" s="381"/>
      <c r="GQ239" s="381"/>
      <c r="GR239" s="381"/>
      <c r="GS239" s="381"/>
      <c r="GT239" s="381"/>
      <c r="GU239" s="381"/>
      <c r="GV239" s="381"/>
      <c r="GW239" s="381"/>
      <c r="GX239" s="381"/>
      <c r="GY239" s="381"/>
      <c r="GZ239" s="381"/>
      <c r="HA239" s="381"/>
      <c r="HB239" s="381"/>
      <c r="HC239" s="381"/>
      <c r="HD239" s="381"/>
      <c r="HE239" s="381"/>
      <c r="HF239" s="381"/>
      <c r="HG239" s="381"/>
      <c r="HH239" s="381"/>
      <c r="HI239" s="381"/>
      <c r="HJ239" s="381"/>
      <c r="HK239" s="381"/>
      <c r="HL239" s="381"/>
      <c r="HM239" s="381"/>
      <c r="HN239" s="381"/>
      <c r="HO239" s="381"/>
      <c r="HP239" s="381"/>
      <c r="HQ239" s="381"/>
      <c r="HR239" s="381"/>
      <c r="HS239" s="381"/>
      <c r="HT239" s="381"/>
      <c r="HU239" s="381"/>
      <c r="HV239" s="381"/>
      <c r="HW239" s="381"/>
      <c r="HX239" s="381"/>
      <c r="HY239" s="381"/>
      <c r="HZ239" s="381"/>
      <c r="IA239" s="381"/>
      <c r="IB239" s="381"/>
    </row>
    <row r="240" spans="1:236" s="406" customFormat="1">
      <c r="A240" s="472"/>
      <c r="B240" s="473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81"/>
      <c r="AB240" s="381"/>
      <c r="AC240" s="381"/>
      <c r="AD240" s="381"/>
      <c r="AE240" s="381"/>
      <c r="AF240" s="381"/>
      <c r="AG240" s="381"/>
      <c r="AH240" s="381"/>
      <c r="AI240" s="381"/>
      <c r="AJ240" s="381"/>
      <c r="AK240" s="381"/>
      <c r="AL240" s="381"/>
      <c r="AM240" s="381"/>
      <c r="AN240" s="381"/>
      <c r="AO240" s="381"/>
      <c r="AP240" s="381"/>
      <c r="AQ240" s="381"/>
      <c r="AR240" s="381"/>
      <c r="AS240" s="381"/>
      <c r="AT240" s="381"/>
      <c r="AU240" s="381"/>
      <c r="AV240" s="381"/>
      <c r="AW240" s="381"/>
      <c r="AX240" s="381"/>
      <c r="AY240" s="381"/>
      <c r="AZ240" s="381"/>
      <c r="BA240" s="381"/>
      <c r="BB240" s="381"/>
      <c r="BC240" s="381"/>
      <c r="BD240" s="381"/>
      <c r="BE240" s="381"/>
      <c r="BF240" s="381"/>
      <c r="BG240" s="381"/>
      <c r="BH240" s="381"/>
      <c r="BI240" s="381"/>
      <c r="BJ240" s="381"/>
      <c r="BK240" s="381"/>
      <c r="BL240" s="381"/>
      <c r="BM240" s="381"/>
      <c r="BN240" s="381"/>
      <c r="BO240" s="381"/>
      <c r="BP240" s="381"/>
      <c r="BQ240" s="381"/>
      <c r="BR240" s="381"/>
      <c r="BS240" s="381"/>
      <c r="BT240" s="381"/>
      <c r="BU240" s="381"/>
      <c r="BV240" s="381"/>
      <c r="BW240" s="381"/>
      <c r="BX240" s="381"/>
      <c r="BY240" s="381"/>
      <c r="BZ240" s="381"/>
      <c r="CA240" s="381"/>
      <c r="CB240" s="381"/>
      <c r="CC240" s="381"/>
      <c r="CD240" s="381"/>
      <c r="CE240" s="381"/>
      <c r="CF240" s="381"/>
      <c r="CG240" s="381"/>
      <c r="CH240" s="381"/>
      <c r="CI240" s="381"/>
      <c r="CJ240" s="381"/>
      <c r="CK240" s="381"/>
      <c r="CL240" s="381"/>
      <c r="CM240" s="381"/>
      <c r="CN240" s="381"/>
      <c r="CO240" s="381"/>
      <c r="CP240" s="381"/>
      <c r="CQ240" s="381"/>
      <c r="CR240" s="381"/>
      <c r="CS240" s="381"/>
      <c r="CT240" s="381"/>
      <c r="CU240" s="381"/>
      <c r="CV240" s="381"/>
      <c r="CW240" s="381"/>
      <c r="CX240" s="381"/>
      <c r="CY240" s="381"/>
      <c r="CZ240" s="381"/>
      <c r="DA240" s="381"/>
      <c r="DB240" s="381"/>
      <c r="DC240" s="381"/>
      <c r="DD240" s="381"/>
      <c r="DE240" s="381"/>
      <c r="DF240" s="381"/>
      <c r="DG240" s="381"/>
      <c r="DH240" s="381"/>
      <c r="DI240" s="381"/>
      <c r="DJ240" s="381"/>
      <c r="DK240" s="381"/>
      <c r="DL240" s="381"/>
      <c r="DM240" s="381"/>
      <c r="DN240" s="381"/>
      <c r="DO240" s="381"/>
      <c r="DP240" s="381"/>
      <c r="DQ240" s="381"/>
      <c r="DR240" s="381"/>
      <c r="DS240" s="381"/>
      <c r="DT240" s="381"/>
      <c r="DU240" s="381"/>
      <c r="DV240" s="381"/>
      <c r="DW240" s="381"/>
      <c r="DX240" s="381"/>
      <c r="DY240" s="381"/>
      <c r="DZ240" s="381"/>
      <c r="EA240" s="381"/>
      <c r="EB240" s="381"/>
      <c r="EC240" s="381"/>
      <c r="ED240" s="381"/>
      <c r="EE240" s="381"/>
      <c r="EF240" s="381"/>
      <c r="EG240" s="381"/>
      <c r="EH240" s="381"/>
      <c r="EI240" s="381"/>
      <c r="EJ240" s="381"/>
      <c r="EK240" s="381"/>
      <c r="EL240" s="381"/>
      <c r="EM240" s="381"/>
      <c r="EN240" s="381"/>
      <c r="EO240" s="381"/>
      <c r="EP240" s="381"/>
      <c r="EQ240" s="381"/>
      <c r="ER240" s="381"/>
      <c r="ES240" s="381"/>
      <c r="ET240" s="381"/>
      <c r="EU240" s="381"/>
      <c r="EV240" s="381"/>
      <c r="EW240" s="381"/>
      <c r="EX240" s="381"/>
      <c r="EY240" s="381"/>
      <c r="EZ240" s="381"/>
      <c r="FA240" s="381"/>
      <c r="FB240" s="381"/>
      <c r="FC240" s="381"/>
      <c r="FD240" s="381"/>
      <c r="FE240" s="381"/>
      <c r="FF240" s="381"/>
      <c r="FG240" s="381"/>
      <c r="FH240" s="381"/>
      <c r="FI240" s="381"/>
      <c r="FJ240" s="381"/>
      <c r="FK240" s="381"/>
      <c r="FL240" s="381"/>
      <c r="FM240" s="381"/>
      <c r="FN240" s="381"/>
      <c r="FO240" s="381"/>
      <c r="FP240" s="381"/>
      <c r="FQ240" s="381"/>
      <c r="FR240" s="381"/>
      <c r="FS240" s="381"/>
      <c r="FT240" s="381"/>
      <c r="FU240" s="381"/>
      <c r="FV240" s="381"/>
      <c r="FW240" s="381"/>
      <c r="FX240" s="381"/>
      <c r="FY240" s="381"/>
      <c r="FZ240" s="381"/>
      <c r="GA240" s="381"/>
      <c r="GB240" s="381"/>
      <c r="GC240" s="381"/>
      <c r="GD240" s="381"/>
      <c r="GE240" s="381"/>
      <c r="GF240" s="381"/>
      <c r="GG240" s="381"/>
      <c r="GH240" s="381"/>
      <c r="GI240" s="381"/>
      <c r="GJ240" s="381"/>
      <c r="GK240" s="381"/>
      <c r="GL240" s="381"/>
      <c r="GM240" s="381"/>
      <c r="GN240" s="381"/>
      <c r="GO240" s="381"/>
      <c r="GP240" s="381"/>
      <c r="GQ240" s="381"/>
      <c r="GR240" s="381"/>
      <c r="GS240" s="381"/>
      <c r="GT240" s="381"/>
      <c r="GU240" s="381"/>
      <c r="GV240" s="381"/>
      <c r="GW240" s="381"/>
      <c r="GX240" s="381"/>
      <c r="GY240" s="381"/>
      <c r="GZ240" s="381"/>
      <c r="HA240" s="381"/>
      <c r="HB240" s="381"/>
      <c r="HC240" s="381"/>
      <c r="HD240" s="381"/>
      <c r="HE240" s="381"/>
      <c r="HF240" s="381"/>
      <c r="HG240" s="381"/>
      <c r="HH240" s="381"/>
      <c r="HI240" s="381"/>
      <c r="HJ240" s="381"/>
      <c r="HK240" s="381"/>
      <c r="HL240" s="381"/>
      <c r="HM240" s="381"/>
      <c r="HN240" s="381"/>
      <c r="HO240" s="381"/>
      <c r="HP240" s="381"/>
      <c r="HQ240" s="381"/>
      <c r="HR240" s="381"/>
      <c r="HS240" s="381"/>
      <c r="HT240" s="381"/>
      <c r="HU240" s="381"/>
      <c r="HV240" s="381"/>
      <c r="HW240" s="381"/>
      <c r="HX240" s="381"/>
      <c r="HY240" s="381"/>
      <c r="HZ240" s="381"/>
      <c r="IA240" s="381"/>
      <c r="IB240" s="381"/>
    </row>
    <row r="241" spans="1:236" s="406" customFormat="1">
      <c r="A241" s="472"/>
      <c r="B241" s="473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81"/>
      <c r="AB241" s="381"/>
      <c r="AC241" s="381"/>
      <c r="AD241" s="381"/>
      <c r="AE241" s="381"/>
      <c r="AF241" s="381"/>
      <c r="AG241" s="381"/>
      <c r="AH241" s="381"/>
      <c r="AI241" s="381"/>
      <c r="AJ241" s="381"/>
      <c r="AK241" s="381"/>
      <c r="AL241" s="381"/>
      <c r="AM241" s="381"/>
      <c r="AN241" s="381"/>
      <c r="AO241" s="381"/>
      <c r="AP241" s="381"/>
      <c r="AQ241" s="381"/>
      <c r="AR241" s="381"/>
      <c r="AS241" s="381"/>
      <c r="AT241" s="381"/>
      <c r="AU241" s="381"/>
      <c r="AV241" s="381"/>
      <c r="AW241" s="381"/>
      <c r="AX241" s="381"/>
      <c r="AY241" s="381"/>
      <c r="AZ241" s="381"/>
      <c r="BA241" s="381"/>
      <c r="BB241" s="381"/>
      <c r="BC241" s="381"/>
      <c r="BD241" s="381"/>
      <c r="BE241" s="381"/>
      <c r="BF241" s="381"/>
      <c r="BG241" s="381"/>
      <c r="BH241" s="381"/>
      <c r="BI241" s="381"/>
      <c r="BJ241" s="381"/>
      <c r="BK241" s="381"/>
      <c r="BL241" s="381"/>
      <c r="BM241" s="381"/>
      <c r="BN241" s="381"/>
      <c r="BO241" s="381"/>
      <c r="BP241" s="381"/>
      <c r="BQ241" s="381"/>
      <c r="BR241" s="381"/>
      <c r="BS241" s="381"/>
      <c r="BT241" s="381"/>
      <c r="BU241" s="381"/>
      <c r="BV241" s="381"/>
      <c r="BW241" s="381"/>
      <c r="BX241" s="381"/>
      <c r="BY241" s="381"/>
      <c r="BZ241" s="381"/>
      <c r="CA241" s="381"/>
      <c r="CB241" s="381"/>
      <c r="CC241" s="381"/>
      <c r="CD241" s="381"/>
      <c r="CE241" s="381"/>
      <c r="CF241" s="381"/>
      <c r="CG241" s="381"/>
      <c r="CH241" s="381"/>
      <c r="CI241" s="381"/>
      <c r="CJ241" s="381"/>
      <c r="CK241" s="381"/>
      <c r="CL241" s="381"/>
      <c r="CM241" s="381"/>
      <c r="CN241" s="381"/>
      <c r="CO241" s="381"/>
      <c r="CP241" s="381"/>
      <c r="CQ241" s="381"/>
      <c r="CR241" s="381"/>
      <c r="CS241" s="381"/>
      <c r="CT241" s="381"/>
      <c r="CU241" s="381"/>
      <c r="CV241" s="381"/>
      <c r="CW241" s="381"/>
      <c r="CX241" s="381"/>
      <c r="CY241" s="381"/>
      <c r="CZ241" s="381"/>
      <c r="DA241" s="381"/>
      <c r="DB241" s="381"/>
      <c r="DC241" s="381"/>
      <c r="DD241" s="381"/>
      <c r="DE241" s="381"/>
      <c r="DF241" s="381"/>
      <c r="DG241" s="381"/>
      <c r="DH241" s="381"/>
      <c r="DI241" s="381"/>
      <c r="DJ241" s="381"/>
      <c r="DK241" s="381"/>
      <c r="DL241" s="381"/>
      <c r="DM241" s="381"/>
      <c r="DN241" s="381"/>
      <c r="DO241" s="381"/>
      <c r="DP241" s="381"/>
      <c r="DQ241" s="381"/>
      <c r="DR241" s="381"/>
      <c r="DS241" s="381"/>
      <c r="DT241" s="381"/>
      <c r="DU241" s="381"/>
      <c r="DV241" s="381"/>
      <c r="DW241" s="381"/>
      <c r="DX241" s="381"/>
      <c r="DY241" s="381"/>
      <c r="DZ241" s="381"/>
      <c r="EA241" s="381"/>
      <c r="EB241" s="381"/>
      <c r="EC241" s="381"/>
      <c r="ED241" s="381"/>
      <c r="EE241" s="381"/>
      <c r="EF241" s="381"/>
      <c r="EG241" s="381"/>
      <c r="EH241" s="381"/>
      <c r="EI241" s="381"/>
      <c r="EJ241" s="381"/>
      <c r="EK241" s="381"/>
      <c r="EL241" s="381"/>
      <c r="EM241" s="381"/>
      <c r="EN241" s="381"/>
      <c r="EO241" s="381"/>
      <c r="EP241" s="381"/>
      <c r="EQ241" s="381"/>
      <c r="ER241" s="381"/>
      <c r="ES241" s="381"/>
      <c r="ET241" s="381"/>
      <c r="EU241" s="381"/>
      <c r="EV241" s="381"/>
      <c r="EW241" s="381"/>
      <c r="EX241" s="381"/>
      <c r="EY241" s="381"/>
      <c r="EZ241" s="381"/>
      <c r="FA241" s="381"/>
      <c r="FB241" s="381"/>
      <c r="FC241" s="381"/>
      <c r="FD241" s="381"/>
      <c r="FE241" s="381"/>
      <c r="FF241" s="381"/>
      <c r="FG241" s="381"/>
      <c r="FH241" s="381"/>
      <c r="FI241" s="381"/>
      <c r="FJ241" s="381"/>
      <c r="FK241" s="381"/>
      <c r="FL241" s="381"/>
      <c r="FM241" s="381"/>
      <c r="FN241" s="381"/>
      <c r="FO241" s="381"/>
      <c r="FP241" s="381"/>
      <c r="FQ241" s="381"/>
      <c r="FR241" s="381"/>
      <c r="FS241" s="381"/>
      <c r="FT241" s="381"/>
      <c r="FU241" s="381"/>
      <c r="FV241" s="381"/>
      <c r="FW241" s="381"/>
      <c r="FX241" s="381"/>
      <c r="FY241" s="381"/>
      <c r="FZ241" s="381"/>
      <c r="GA241" s="381"/>
      <c r="GB241" s="381"/>
      <c r="GC241" s="381"/>
      <c r="GD241" s="381"/>
      <c r="GE241" s="381"/>
      <c r="GF241" s="381"/>
      <c r="GG241" s="381"/>
      <c r="GH241" s="381"/>
      <c r="GI241" s="381"/>
      <c r="GJ241" s="381"/>
      <c r="GK241" s="381"/>
      <c r="GL241" s="381"/>
      <c r="GM241" s="381"/>
      <c r="GN241" s="381"/>
      <c r="GO241" s="381"/>
      <c r="GP241" s="381"/>
      <c r="GQ241" s="381"/>
      <c r="GR241" s="381"/>
      <c r="GS241" s="381"/>
      <c r="GT241" s="381"/>
      <c r="GU241" s="381"/>
      <c r="GV241" s="381"/>
      <c r="GW241" s="381"/>
      <c r="GX241" s="381"/>
      <c r="GY241" s="381"/>
      <c r="GZ241" s="381"/>
      <c r="HA241" s="381"/>
      <c r="HB241" s="381"/>
      <c r="HC241" s="381"/>
      <c r="HD241" s="381"/>
      <c r="HE241" s="381"/>
      <c r="HF241" s="381"/>
      <c r="HG241" s="381"/>
      <c r="HH241" s="381"/>
      <c r="HI241" s="381"/>
      <c r="HJ241" s="381"/>
      <c r="HK241" s="381"/>
      <c r="HL241" s="381"/>
      <c r="HM241" s="381"/>
      <c r="HN241" s="381"/>
      <c r="HO241" s="381"/>
      <c r="HP241" s="381"/>
      <c r="HQ241" s="381"/>
      <c r="HR241" s="381"/>
      <c r="HS241" s="381"/>
      <c r="HT241" s="381"/>
      <c r="HU241" s="381"/>
      <c r="HV241" s="381"/>
      <c r="HW241" s="381"/>
      <c r="HX241" s="381"/>
      <c r="HY241" s="381"/>
      <c r="HZ241" s="381"/>
      <c r="IA241" s="381"/>
      <c r="IB241" s="381"/>
    </row>
    <row r="242" spans="1:236" s="406" customFormat="1">
      <c r="A242" s="472"/>
      <c r="B242" s="473"/>
      <c r="M242" s="381"/>
      <c r="N242" s="381"/>
      <c r="O242" s="381"/>
      <c r="P242" s="381"/>
      <c r="Q242" s="381"/>
      <c r="R242" s="381"/>
      <c r="S242" s="381"/>
      <c r="T242" s="381"/>
      <c r="U242" s="381"/>
      <c r="V242" s="381"/>
      <c r="W242" s="381"/>
      <c r="X242" s="381"/>
      <c r="Y242" s="381"/>
      <c r="Z242" s="381"/>
      <c r="AA242" s="381"/>
      <c r="AB242" s="381"/>
      <c r="AC242" s="381"/>
      <c r="AD242" s="381"/>
      <c r="AE242" s="381"/>
      <c r="AF242" s="381"/>
      <c r="AG242" s="381"/>
      <c r="AH242" s="381"/>
      <c r="AI242" s="381"/>
      <c r="AJ242" s="381"/>
      <c r="AK242" s="381"/>
      <c r="AL242" s="381"/>
      <c r="AM242" s="381"/>
      <c r="AN242" s="381"/>
      <c r="AO242" s="381"/>
      <c r="AP242" s="381"/>
      <c r="AQ242" s="381"/>
      <c r="AR242" s="381"/>
      <c r="AS242" s="381"/>
      <c r="AT242" s="381"/>
      <c r="AU242" s="381"/>
      <c r="AV242" s="381"/>
      <c r="AW242" s="381"/>
      <c r="AX242" s="381"/>
      <c r="AY242" s="381"/>
      <c r="AZ242" s="381"/>
      <c r="BA242" s="381"/>
      <c r="BB242" s="381"/>
      <c r="BC242" s="381"/>
      <c r="BD242" s="381"/>
      <c r="BE242" s="381"/>
      <c r="BF242" s="381"/>
      <c r="BG242" s="381"/>
      <c r="BH242" s="381"/>
      <c r="BI242" s="381"/>
      <c r="BJ242" s="381"/>
      <c r="BK242" s="381"/>
      <c r="BL242" s="381"/>
      <c r="BM242" s="381"/>
      <c r="BN242" s="381"/>
      <c r="BO242" s="381"/>
      <c r="BP242" s="381"/>
      <c r="BQ242" s="381"/>
      <c r="BR242" s="381"/>
      <c r="BS242" s="381"/>
      <c r="BT242" s="381"/>
      <c r="BU242" s="381"/>
      <c r="BV242" s="381"/>
      <c r="BW242" s="381"/>
      <c r="BX242" s="381"/>
      <c r="BY242" s="381"/>
      <c r="BZ242" s="381"/>
      <c r="CA242" s="381"/>
      <c r="CB242" s="381"/>
      <c r="CC242" s="381"/>
      <c r="CD242" s="381"/>
      <c r="CE242" s="381"/>
      <c r="CF242" s="381"/>
      <c r="CG242" s="381"/>
      <c r="CH242" s="381"/>
      <c r="CI242" s="381"/>
      <c r="CJ242" s="381"/>
      <c r="CK242" s="381"/>
      <c r="CL242" s="381"/>
      <c r="CM242" s="381"/>
      <c r="CN242" s="381"/>
      <c r="CO242" s="381"/>
      <c r="CP242" s="381"/>
      <c r="CQ242" s="381"/>
      <c r="CR242" s="381"/>
      <c r="CS242" s="381"/>
      <c r="CT242" s="381"/>
      <c r="CU242" s="381"/>
      <c r="CV242" s="381"/>
      <c r="CW242" s="381"/>
      <c r="CX242" s="381"/>
      <c r="CY242" s="381"/>
      <c r="CZ242" s="381"/>
      <c r="DA242" s="381"/>
      <c r="DB242" s="381"/>
      <c r="DC242" s="381"/>
      <c r="DD242" s="381"/>
      <c r="DE242" s="381"/>
      <c r="DF242" s="381"/>
      <c r="DG242" s="381"/>
      <c r="DH242" s="381"/>
      <c r="DI242" s="381"/>
      <c r="DJ242" s="381"/>
      <c r="DK242" s="381"/>
      <c r="DL242" s="381"/>
      <c r="DM242" s="381"/>
      <c r="DN242" s="381"/>
      <c r="DO242" s="381"/>
      <c r="DP242" s="381"/>
      <c r="DQ242" s="381"/>
      <c r="DR242" s="381"/>
      <c r="DS242" s="381"/>
      <c r="DT242" s="381"/>
      <c r="DU242" s="381"/>
      <c r="DV242" s="381"/>
      <c r="DW242" s="381"/>
      <c r="DX242" s="381"/>
      <c r="DY242" s="381"/>
      <c r="DZ242" s="381"/>
      <c r="EA242" s="381"/>
      <c r="EB242" s="381"/>
      <c r="EC242" s="381"/>
      <c r="ED242" s="381"/>
      <c r="EE242" s="381"/>
      <c r="EF242" s="381"/>
      <c r="EG242" s="381"/>
      <c r="EH242" s="381"/>
      <c r="EI242" s="381"/>
      <c r="EJ242" s="381"/>
      <c r="EK242" s="381"/>
      <c r="EL242" s="381"/>
      <c r="EM242" s="381"/>
      <c r="EN242" s="381"/>
      <c r="EO242" s="381"/>
      <c r="EP242" s="381"/>
      <c r="EQ242" s="381"/>
      <c r="ER242" s="381"/>
      <c r="ES242" s="381"/>
      <c r="ET242" s="381"/>
      <c r="EU242" s="381"/>
      <c r="EV242" s="381"/>
      <c r="EW242" s="381"/>
      <c r="EX242" s="381"/>
      <c r="EY242" s="381"/>
      <c r="EZ242" s="381"/>
      <c r="FA242" s="381"/>
      <c r="FB242" s="381"/>
      <c r="FC242" s="381"/>
      <c r="FD242" s="381"/>
      <c r="FE242" s="381"/>
      <c r="FF242" s="381"/>
      <c r="FG242" s="381"/>
      <c r="FH242" s="381"/>
      <c r="FI242" s="381"/>
      <c r="FJ242" s="381"/>
      <c r="FK242" s="381"/>
      <c r="FL242" s="381"/>
      <c r="FM242" s="381"/>
      <c r="FN242" s="381"/>
      <c r="FO242" s="381"/>
      <c r="FP242" s="381"/>
      <c r="FQ242" s="381"/>
      <c r="FR242" s="381"/>
      <c r="FS242" s="381"/>
      <c r="FT242" s="381"/>
      <c r="FU242" s="381"/>
      <c r="FV242" s="381"/>
      <c r="FW242" s="381"/>
      <c r="FX242" s="381"/>
      <c r="FY242" s="381"/>
      <c r="FZ242" s="381"/>
      <c r="GA242" s="381"/>
      <c r="GB242" s="381"/>
      <c r="GC242" s="381"/>
      <c r="GD242" s="381"/>
      <c r="GE242" s="381"/>
      <c r="GF242" s="381"/>
      <c r="GG242" s="381"/>
      <c r="GH242" s="381"/>
      <c r="GI242" s="381"/>
      <c r="GJ242" s="381"/>
      <c r="GK242" s="381"/>
      <c r="GL242" s="381"/>
      <c r="GM242" s="381"/>
      <c r="GN242" s="381"/>
      <c r="GO242" s="381"/>
      <c r="GP242" s="381"/>
      <c r="GQ242" s="381"/>
      <c r="GR242" s="381"/>
      <c r="GS242" s="381"/>
      <c r="GT242" s="381"/>
      <c r="GU242" s="381"/>
      <c r="GV242" s="381"/>
      <c r="GW242" s="381"/>
      <c r="GX242" s="381"/>
      <c r="GY242" s="381"/>
      <c r="GZ242" s="381"/>
      <c r="HA242" s="381"/>
      <c r="HB242" s="381"/>
      <c r="HC242" s="381"/>
      <c r="HD242" s="381"/>
      <c r="HE242" s="381"/>
      <c r="HF242" s="381"/>
      <c r="HG242" s="381"/>
      <c r="HH242" s="381"/>
      <c r="HI242" s="381"/>
      <c r="HJ242" s="381"/>
      <c r="HK242" s="381"/>
      <c r="HL242" s="381"/>
      <c r="HM242" s="381"/>
      <c r="HN242" s="381"/>
      <c r="HO242" s="381"/>
      <c r="HP242" s="381"/>
      <c r="HQ242" s="381"/>
      <c r="HR242" s="381"/>
      <c r="HS242" s="381"/>
      <c r="HT242" s="381"/>
      <c r="HU242" s="381"/>
      <c r="HV242" s="381"/>
      <c r="HW242" s="381"/>
      <c r="HX242" s="381"/>
      <c r="HY242" s="381"/>
      <c r="HZ242" s="381"/>
      <c r="IA242" s="381"/>
      <c r="IB242" s="381"/>
    </row>
    <row r="243" spans="1:236" s="406" customFormat="1">
      <c r="A243" s="472"/>
      <c r="B243" s="473"/>
      <c r="M243" s="381"/>
      <c r="N243" s="381"/>
      <c r="O243" s="381"/>
      <c r="P243" s="381"/>
      <c r="Q243" s="381"/>
      <c r="R243" s="381"/>
      <c r="S243" s="381"/>
      <c r="T243" s="381"/>
      <c r="U243" s="381"/>
      <c r="V243" s="381"/>
      <c r="W243" s="381"/>
      <c r="X243" s="381"/>
      <c r="Y243" s="381"/>
      <c r="Z243" s="381"/>
      <c r="AA243" s="381"/>
      <c r="AB243" s="381"/>
      <c r="AC243" s="381"/>
      <c r="AD243" s="381"/>
      <c r="AE243" s="381"/>
      <c r="AF243" s="381"/>
      <c r="AG243" s="381"/>
      <c r="AH243" s="381"/>
      <c r="AI243" s="381"/>
      <c r="AJ243" s="381"/>
      <c r="AK243" s="381"/>
      <c r="AL243" s="381"/>
      <c r="AM243" s="381"/>
      <c r="AN243" s="381"/>
      <c r="AO243" s="381"/>
      <c r="AP243" s="381"/>
      <c r="AQ243" s="381"/>
      <c r="AR243" s="381"/>
      <c r="AS243" s="381"/>
      <c r="AT243" s="381"/>
      <c r="AU243" s="381"/>
      <c r="AV243" s="381"/>
      <c r="AW243" s="381"/>
      <c r="AX243" s="381"/>
      <c r="AY243" s="381"/>
      <c r="AZ243" s="381"/>
      <c r="BA243" s="381"/>
      <c r="BB243" s="381"/>
      <c r="BC243" s="381"/>
      <c r="BD243" s="381"/>
      <c r="BE243" s="381"/>
      <c r="BF243" s="381"/>
      <c r="BG243" s="381"/>
      <c r="BH243" s="381"/>
      <c r="BI243" s="381"/>
      <c r="BJ243" s="381"/>
      <c r="BK243" s="381"/>
      <c r="BL243" s="381"/>
      <c r="BM243" s="381"/>
      <c r="BN243" s="381"/>
      <c r="BO243" s="381"/>
      <c r="BP243" s="381"/>
      <c r="BQ243" s="381"/>
      <c r="BR243" s="381"/>
      <c r="BS243" s="381"/>
      <c r="BT243" s="381"/>
      <c r="BU243" s="381"/>
      <c r="BV243" s="381"/>
      <c r="BW243" s="381"/>
      <c r="BX243" s="381"/>
      <c r="BY243" s="381"/>
      <c r="BZ243" s="381"/>
      <c r="CA243" s="381"/>
      <c r="CB243" s="381"/>
      <c r="CC243" s="381"/>
      <c r="CD243" s="381"/>
      <c r="CE243" s="381"/>
      <c r="CF243" s="381"/>
      <c r="CG243" s="381"/>
      <c r="CH243" s="381"/>
      <c r="CI243" s="381"/>
      <c r="CJ243" s="381"/>
      <c r="CK243" s="381"/>
      <c r="CL243" s="381"/>
      <c r="CM243" s="381"/>
      <c r="CN243" s="381"/>
      <c r="CO243" s="381"/>
      <c r="CP243" s="381"/>
      <c r="CQ243" s="381"/>
      <c r="CR243" s="381"/>
      <c r="CS243" s="381"/>
      <c r="CT243" s="381"/>
      <c r="CU243" s="381"/>
      <c r="CV243" s="381"/>
      <c r="CW243" s="381"/>
      <c r="CX243" s="381"/>
      <c r="CY243" s="381"/>
      <c r="CZ243" s="381"/>
      <c r="DA243" s="381"/>
      <c r="DB243" s="381"/>
      <c r="DC243" s="381"/>
      <c r="DD243" s="381"/>
      <c r="DE243" s="381"/>
      <c r="DF243" s="381"/>
      <c r="DG243" s="381"/>
      <c r="DH243" s="381"/>
      <c r="DI243" s="381"/>
      <c r="DJ243" s="381"/>
      <c r="DK243" s="381"/>
      <c r="DL243" s="381"/>
      <c r="DM243" s="381"/>
      <c r="DN243" s="381"/>
      <c r="DO243" s="381"/>
      <c r="DP243" s="381"/>
      <c r="DQ243" s="381"/>
      <c r="DR243" s="381"/>
      <c r="DS243" s="381"/>
      <c r="DT243" s="381"/>
      <c r="DU243" s="381"/>
      <c r="DV243" s="381"/>
      <c r="DW243" s="381"/>
      <c r="DX243" s="381"/>
      <c r="DY243" s="381"/>
      <c r="DZ243" s="381"/>
      <c r="EA243" s="381"/>
      <c r="EB243" s="381"/>
      <c r="EC243" s="381"/>
      <c r="ED243" s="381"/>
      <c r="EE243" s="381"/>
      <c r="EF243" s="381"/>
      <c r="EG243" s="381"/>
      <c r="EH243" s="381"/>
      <c r="EI243" s="381"/>
      <c r="EJ243" s="381"/>
      <c r="EK243" s="381"/>
      <c r="EL243" s="381"/>
      <c r="EM243" s="381"/>
      <c r="EN243" s="381"/>
      <c r="EO243" s="381"/>
      <c r="EP243" s="381"/>
      <c r="EQ243" s="381"/>
      <c r="ER243" s="381"/>
      <c r="ES243" s="381"/>
      <c r="ET243" s="381"/>
      <c r="EU243" s="381"/>
      <c r="EV243" s="381"/>
      <c r="EW243" s="381"/>
      <c r="EX243" s="381"/>
      <c r="EY243" s="381"/>
      <c r="EZ243" s="381"/>
      <c r="FA243" s="381"/>
      <c r="FB243" s="381"/>
      <c r="FC243" s="381"/>
      <c r="FD243" s="381"/>
      <c r="FE243" s="381"/>
      <c r="FF243" s="381"/>
      <c r="FG243" s="381"/>
      <c r="FH243" s="381"/>
      <c r="FI243" s="381"/>
      <c r="FJ243" s="381"/>
      <c r="FK243" s="381"/>
      <c r="FL243" s="381"/>
      <c r="FM243" s="381"/>
      <c r="FN243" s="381"/>
      <c r="FO243" s="381"/>
      <c r="FP243" s="381"/>
      <c r="FQ243" s="381"/>
      <c r="FR243" s="381"/>
      <c r="FS243" s="381"/>
      <c r="FT243" s="381"/>
      <c r="FU243" s="381"/>
      <c r="FV243" s="381"/>
      <c r="FW243" s="381"/>
      <c r="FX243" s="381"/>
      <c r="FY243" s="381"/>
      <c r="FZ243" s="381"/>
      <c r="GA243" s="381"/>
      <c r="GB243" s="381"/>
      <c r="GC243" s="381"/>
      <c r="GD243" s="381"/>
      <c r="GE243" s="381"/>
      <c r="GF243" s="381"/>
      <c r="GG243" s="381"/>
      <c r="GH243" s="381"/>
      <c r="GI243" s="381"/>
      <c r="GJ243" s="381"/>
      <c r="GK243" s="381"/>
      <c r="GL243" s="381"/>
      <c r="GM243" s="381"/>
      <c r="GN243" s="381"/>
      <c r="GO243" s="381"/>
      <c r="GP243" s="381"/>
      <c r="GQ243" s="381"/>
      <c r="GR243" s="381"/>
      <c r="GS243" s="381"/>
      <c r="GT243" s="381"/>
      <c r="GU243" s="381"/>
      <c r="GV243" s="381"/>
      <c r="GW243" s="381"/>
      <c r="GX243" s="381"/>
      <c r="GY243" s="381"/>
      <c r="GZ243" s="381"/>
      <c r="HA243" s="381"/>
      <c r="HB243" s="381"/>
      <c r="HC243" s="381"/>
      <c r="HD243" s="381"/>
      <c r="HE243" s="381"/>
      <c r="HF243" s="381"/>
      <c r="HG243" s="381"/>
      <c r="HH243" s="381"/>
      <c r="HI243" s="381"/>
      <c r="HJ243" s="381"/>
      <c r="HK243" s="381"/>
      <c r="HL243" s="381"/>
      <c r="HM243" s="381"/>
      <c r="HN243" s="381"/>
      <c r="HO243" s="381"/>
      <c r="HP243" s="381"/>
      <c r="HQ243" s="381"/>
      <c r="HR243" s="381"/>
      <c r="HS243" s="381"/>
      <c r="HT243" s="381"/>
      <c r="HU243" s="381"/>
      <c r="HV243" s="381"/>
      <c r="HW243" s="381"/>
      <c r="HX243" s="381"/>
      <c r="HY243" s="381"/>
      <c r="HZ243" s="381"/>
      <c r="IA243" s="381"/>
      <c r="IB243" s="381"/>
    </row>
    <row r="244" spans="1:236" s="406" customFormat="1">
      <c r="A244" s="472"/>
      <c r="B244" s="473"/>
      <c r="M244" s="381"/>
      <c r="N244" s="381"/>
      <c r="O244" s="381"/>
      <c r="P244" s="381"/>
      <c r="Q244" s="381"/>
      <c r="R244" s="381"/>
      <c r="S244" s="381"/>
      <c r="T244" s="381"/>
      <c r="U244" s="381"/>
      <c r="V244" s="381"/>
      <c r="W244" s="381"/>
      <c r="X244" s="381"/>
      <c r="Y244" s="381"/>
      <c r="Z244" s="381"/>
      <c r="AA244" s="381"/>
      <c r="AB244" s="381"/>
      <c r="AC244" s="381"/>
      <c r="AD244" s="381"/>
      <c r="AE244" s="381"/>
      <c r="AF244" s="381"/>
      <c r="AG244" s="381"/>
      <c r="AH244" s="381"/>
      <c r="AI244" s="381"/>
      <c r="AJ244" s="381"/>
      <c r="AK244" s="381"/>
      <c r="AL244" s="381"/>
      <c r="AM244" s="381"/>
      <c r="AN244" s="381"/>
      <c r="AO244" s="381"/>
      <c r="AP244" s="381"/>
      <c r="AQ244" s="381"/>
      <c r="AR244" s="381"/>
      <c r="AS244" s="381"/>
      <c r="AT244" s="381"/>
      <c r="AU244" s="381"/>
      <c r="AV244" s="381"/>
      <c r="AW244" s="381"/>
      <c r="AX244" s="381"/>
      <c r="AY244" s="381"/>
      <c r="AZ244" s="381"/>
      <c r="BA244" s="381"/>
      <c r="BB244" s="381"/>
      <c r="BC244" s="381"/>
      <c r="BD244" s="381"/>
      <c r="BE244" s="381"/>
      <c r="BF244" s="381"/>
      <c r="BG244" s="381"/>
      <c r="BH244" s="381"/>
      <c r="BI244" s="381"/>
      <c r="BJ244" s="381"/>
      <c r="BK244" s="381"/>
      <c r="BL244" s="381"/>
      <c r="BM244" s="381"/>
      <c r="BN244" s="381"/>
      <c r="BO244" s="381"/>
      <c r="BP244" s="381"/>
      <c r="BQ244" s="381"/>
      <c r="BR244" s="381"/>
      <c r="BS244" s="381"/>
      <c r="BT244" s="381"/>
      <c r="BU244" s="381"/>
      <c r="BV244" s="381"/>
      <c r="BW244" s="381"/>
      <c r="BX244" s="381"/>
      <c r="BY244" s="381"/>
      <c r="BZ244" s="381"/>
      <c r="CA244" s="381"/>
      <c r="CB244" s="381"/>
      <c r="CC244" s="381"/>
      <c r="CD244" s="381"/>
      <c r="CE244" s="381"/>
      <c r="CF244" s="381"/>
      <c r="CG244" s="381"/>
      <c r="CH244" s="381"/>
      <c r="CI244" s="381"/>
      <c r="CJ244" s="381"/>
      <c r="CK244" s="381"/>
      <c r="CL244" s="381"/>
      <c r="CM244" s="381"/>
      <c r="CN244" s="381"/>
      <c r="CO244" s="381"/>
      <c r="CP244" s="381"/>
      <c r="CQ244" s="381"/>
      <c r="CR244" s="381"/>
      <c r="CS244" s="381"/>
      <c r="CT244" s="381"/>
      <c r="CU244" s="381"/>
      <c r="CV244" s="381"/>
      <c r="CW244" s="381"/>
      <c r="CX244" s="381"/>
      <c r="CY244" s="381"/>
      <c r="CZ244" s="381"/>
      <c r="DA244" s="381"/>
      <c r="DB244" s="381"/>
      <c r="DC244" s="381"/>
      <c r="DD244" s="381"/>
      <c r="DE244" s="381"/>
      <c r="DF244" s="381"/>
      <c r="DG244" s="381"/>
      <c r="DH244" s="381"/>
      <c r="DI244" s="381"/>
      <c r="DJ244" s="381"/>
      <c r="DK244" s="381"/>
      <c r="DL244" s="381"/>
      <c r="DM244" s="381"/>
      <c r="DN244" s="381"/>
      <c r="DO244" s="381"/>
      <c r="DP244" s="381"/>
      <c r="DQ244" s="381"/>
      <c r="DR244" s="381"/>
      <c r="DS244" s="381"/>
      <c r="DT244" s="381"/>
      <c r="DU244" s="381"/>
      <c r="DV244" s="381"/>
      <c r="DW244" s="381"/>
      <c r="DX244" s="381"/>
      <c r="DY244" s="381"/>
      <c r="DZ244" s="381"/>
      <c r="EA244" s="381"/>
      <c r="EB244" s="381"/>
      <c r="EC244" s="381"/>
      <c r="ED244" s="381"/>
      <c r="EE244" s="381"/>
      <c r="EF244" s="381"/>
      <c r="EG244" s="381"/>
      <c r="EH244" s="381"/>
      <c r="EI244" s="381"/>
      <c r="EJ244" s="381"/>
      <c r="EK244" s="381"/>
      <c r="EL244" s="381"/>
      <c r="EM244" s="381"/>
      <c r="EN244" s="381"/>
      <c r="EO244" s="381"/>
      <c r="EP244" s="381"/>
      <c r="EQ244" s="381"/>
      <c r="ER244" s="381"/>
      <c r="ES244" s="381"/>
      <c r="ET244" s="381"/>
      <c r="EU244" s="381"/>
      <c r="EV244" s="381"/>
      <c r="EW244" s="381"/>
      <c r="EX244" s="381"/>
      <c r="EY244" s="381"/>
      <c r="EZ244" s="381"/>
      <c r="FA244" s="381"/>
      <c r="FB244" s="381"/>
      <c r="FC244" s="381"/>
      <c r="FD244" s="381"/>
      <c r="FE244" s="381"/>
      <c r="FF244" s="381"/>
      <c r="FG244" s="381"/>
      <c r="FH244" s="381"/>
      <c r="FI244" s="381"/>
      <c r="FJ244" s="381"/>
      <c r="FK244" s="381"/>
      <c r="FL244" s="381"/>
      <c r="FM244" s="381"/>
      <c r="FN244" s="381"/>
      <c r="FO244" s="381"/>
      <c r="FP244" s="381"/>
      <c r="FQ244" s="381"/>
      <c r="FR244" s="381"/>
      <c r="FS244" s="381"/>
      <c r="FT244" s="381"/>
      <c r="FU244" s="381"/>
      <c r="FV244" s="381"/>
      <c r="FW244" s="381"/>
      <c r="FX244" s="381"/>
      <c r="FY244" s="381"/>
      <c r="FZ244" s="381"/>
      <c r="GA244" s="381"/>
      <c r="GB244" s="381"/>
      <c r="GC244" s="381"/>
      <c r="GD244" s="381"/>
      <c r="GE244" s="381"/>
      <c r="GF244" s="381"/>
      <c r="GG244" s="381"/>
      <c r="GH244" s="381"/>
      <c r="GI244" s="381"/>
      <c r="GJ244" s="381"/>
      <c r="GK244" s="381"/>
      <c r="GL244" s="381"/>
      <c r="GM244" s="381"/>
      <c r="GN244" s="381"/>
      <c r="GO244" s="381"/>
      <c r="GP244" s="381"/>
      <c r="GQ244" s="381"/>
      <c r="GR244" s="381"/>
      <c r="GS244" s="381"/>
      <c r="GT244" s="381"/>
      <c r="GU244" s="381"/>
      <c r="GV244" s="381"/>
      <c r="GW244" s="381"/>
      <c r="GX244" s="381"/>
      <c r="GY244" s="381"/>
      <c r="GZ244" s="381"/>
      <c r="HA244" s="381"/>
      <c r="HB244" s="381"/>
      <c r="HC244" s="381"/>
      <c r="HD244" s="381"/>
      <c r="HE244" s="381"/>
      <c r="HF244" s="381"/>
      <c r="HG244" s="381"/>
      <c r="HH244" s="381"/>
      <c r="HI244" s="381"/>
      <c r="HJ244" s="381"/>
      <c r="HK244" s="381"/>
      <c r="HL244" s="381"/>
      <c r="HM244" s="381"/>
      <c r="HN244" s="381"/>
      <c r="HO244" s="381"/>
      <c r="HP244" s="381"/>
      <c r="HQ244" s="381"/>
      <c r="HR244" s="381"/>
      <c r="HS244" s="381"/>
      <c r="HT244" s="381"/>
      <c r="HU244" s="381"/>
      <c r="HV244" s="381"/>
      <c r="HW244" s="381"/>
      <c r="HX244" s="381"/>
      <c r="HY244" s="381"/>
      <c r="HZ244" s="381"/>
      <c r="IA244" s="381"/>
      <c r="IB244" s="381"/>
    </row>
    <row r="245" spans="1:236" s="406" customFormat="1">
      <c r="A245" s="472"/>
      <c r="B245" s="473"/>
      <c r="M245" s="381"/>
      <c r="N245" s="381"/>
      <c r="O245" s="381"/>
      <c r="P245" s="381"/>
      <c r="Q245" s="381"/>
      <c r="R245" s="381"/>
      <c r="S245" s="381"/>
      <c r="T245" s="381"/>
      <c r="U245" s="381"/>
      <c r="V245" s="381"/>
      <c r="W245" s="381"/>
      <c r="X245" s="381"/>
      <c r="Y245" s="381"/>
      <c r="Z245" s="381"/>
      <c r="AA245" s="381"/>
      <c r="AB245" s="381"/>
      <c r="AC245" s="381"/>
      <c r="AD245" s="381"/>
      <c r="AE245" s="381"/>
      <c r="AF245" s="381"/>
      <c r="AG245" s="381"/>
      <c r="AH245" s="381"/>
      <c r="AI245" s="381"/>
      <c r="AJ245" s="381"/>
      <c r="AK245" s="381"/>
      <c r="AL245" s="381"/>
      <c r="AM245" s="381"/>
      <c r="AN245" s="381"/>
      <c r="AO245" s="381"/>
      <c r="AP245" s="381"/>
      <c r="AQ245" s="381"/>
      <c r="AR245" s="381"/>
      <c r="AS245" s="381"/>
      <c r="AT245" s="381"/>
      <c r="AU245" s="381"/>
      <c r="AV245" s="381"/>
      <c r="AW245" s="381"/>
      <c r="AX245" s="381"/>
      <c r="AY245" s="381"/>
      <c r="AZ245" s="381"/>
      <c r="BA245" s="381"/>
      <c r="BB245" s="381"/>
      <c r="BC245" s="381"/>
      <c r="BD245" s="381"/>
      <c r="BE245" s="381"/>
      <c r="BF245" s="381"/>
      <c r="BG245" s="381"/>
      <c r="BH245" s="381"/>
      <c r="BI245" s="381"/>
      <c r="BJ245" s="381"/>
      <c r="BK245" s="381"/>
      <c r="BL245" s="381"/>
      <c r="BM245" s="381"/>
      <c r="BN245" s="381"/>
      <c r="BO245" s="381"/>
      <c r="BP245" s="381"/>
      <c r="BQ245" s="381"/>
      <c r="BR245" s="381"/>
      <c r="BS245" s="381"/>
      <c r="BT245" s="381"/>
      <c r="BU245" s="381"/>
      <c r="BV245" s="381"/>
      <c r="BW245" s="381"/>
      <c r="BX245" s="381"/>
      <c r="BY245" s="381"/>
      <c r="BZ245" s="381"/>
      <c r="CA245" s="381"/>
      <c r="CB245" s="381"/>
      <c r="CC245" s="381"/>
      <c r="CD245" s="381"/>
      <c r="CE245" s="381"/>
      <c r="CF245" s="381"/>
      <c r="CG245" s="381"/>
      <c r="CH245" s="381"/>
      <c r="CI245" s="381"/>
      <c r="CJ245" s="381"/>
      <c r="CK245" s="381"/>
      <c r="CL245" s="381"/>
      <c r="CM245" s="381"/>
      <c r="CN245" s="381"/>
      <c r="CO245" s="381"/>
      <c r="CP245" s="381"/>
      <c r="CQ245" s="381"/>
      <c r="CR245" s="381"/>
      <c r="CS245" s="381"/>
      <c r="CT245" s="381"/>
      <c r="CU245" s="381"/>
      <c r="CV245" s="381"/>
      <c r="CW245" s="381"/>
      <c r="CX245" s="381"/>
      <c r="CY245" s="381"/>
      <c r="CZ245" s="381"/>
      <c r="DA245" s="381"/>
      <c r="DB245" s="381"/>
      <c r="DC245" s="381"/>
      <c r="DD245" s="381"/>
      <c r="DE245" s="381"/>
      <c r="DF245" s="381"/>
      <c r="DG245" s="381"/>
      <c r="DH245" s="381"/>
      <c r="DI245" s="381"/>
      <c r="DJ245" s="381"/>
      <c r="DK245" s="381"/>
      <c r="DL245" s="381"/>
      <c r="DM245" s="381"/>
      <c r="DN245" s="381"/>
      <c r="DO245" s="381"/>
      <c r="DP245" s="381"/>
      <c r="DQ245" s="381"/>
      <c r="DR245" s="381"/>
      <c r="DS245" s="381"/>
      <c r="DT245" s="381"/>
      <c r="DU245" s="381"/>
      <c r="DV245" s="381"/>
      <c r="DW245" s="381"/>
      <c r="DX245" s="381"/>
      <c r="DY245" s="381"/>
      <c r="DZ245" s="381"/>
      <c r="EA245" s="381"/>
      <c r="EB245" s="381"/>
      <c r="EC245" s="381"/>
      <c r="ED245" s="381"/>
      <c r="EE245" s="381"/>
      <c r="EF245" s="381"/>
      <c r="EG245" s="381"/>
      <c r="EH245" s="381"/>
      <c r="EI245" s="381"/>
      <c r="EJ245" s="381"/>
      <c r="EK245" s="381"/>
      <c r="EL245" s="381"/>
      <c r="EM245" s="381"/>
      <c r="EN245" s="381"/>
      <c r="EO245" s="381"/>
      <c r="EP245" s="381"/>
      <c r="EQ245" s="381"/>
      <c r="ER245" s="381"/>
      <c r="ES245" s="381"/>
      <c r="ET245" s="381"/>
      <c r="EU245" s="381"/>
      <c r="EV245" s="381"/>
      <c r="EW245" s="381"/>
      <c r="EX245" s="381"/>
      <c r="EY245" s="381"/>
      <c r="EZ245" s="381"/>
      <c r="FA245" s="381"/>
      <c r="FB245" s="381"/>
      <c r="FC245" s="381"/>
      <c r="FD245" s="381"/>
      <c r="FE245" s="381"/>
      <c r="FF245" s="381"/>
      <c r="FG245" s="381"/>
      <c r="FH245" s="381"/>
      <c r="FI245" s="381"/>
      <c r="FJ245" s="381"/>
      <c r="FK245" s="381"/>
      <c r="FL245" s="381"/>
      <c r="FM245" s="381"/>
      <c r="FN245" s="381"/>
      <c r="FO245" s="381"/>
      <c r="FP245" s="381"/>
      <c r="FQ245" s="381"/>
      <c r="FR245" s="381"/>
      <c r="FS245" s="381"/>
      <c r="FT245" s="381"/>
      <c r="FU245" s="381"/>
      <c r="FV245" s="381"/>
      <c r="FW245" s="381"/>
      <c r="FX245" s="381"/>
      <c r="FY245" s="381"/>
      <c r="FZ245" s="381"/>
      <c r="GA245" s="381"/>
      <c r="GB245" s="381"/>
      <c r="GC245" s="381"/>
      <c r="GD245" s="381"/>
      <c r="GE245" s="381"/>
      <c r="GF245" s="381"/>
      <c r="GG245" s="381"/>
      <c r="GH245" s="381"/>
      <c r="GI245" s="381"/>
      <c r="GJ245" s="381"/>
      <c r="GK245" s="381"/>
      <c r="GL245" s="381"/>
      <c r="GM245" s="381"/>
      <c r="GN245" s="381"/>
      <c r="GO245" s="381"/>
      <c r="GP245" s="381"/>
      <c r="GQ245" s="381"/>
      <c r="GR245" s="381"/>
      <c r="GS245" s="381"/>
      <c r="GT245" s="381"/>
      <c r="GU245" s="381"/>
      <c r="GV245" s="381"/>
      <c r="GW245" s="381"/>
      <c r="GX245" s="381"/>
      <c r="GY245" s="381"/>
      <c r="GZ245" s="381"/>
      <c r="HA245" s="381"/>
      <c r="HB245" s="381"/>
      <c r="HC245" s="381"/>
      <c r="HD245" s="381"/>
      <c r="HE245" s="381"/>
      <c r="HF245" s="381"/>
      <c r="HG245" s="381"/>
      <c r="HH245" s="381"/>
      <c r="HI245" s="381"/>
      <c r="HJ245" s="381"/>
      <c r="HK245" s="381"/>
      <c r="HL245" s="381"/>
      <c r="HM245" s="381"/>
      <c r="HN245" s="381"/>
      <c r="HO245" s="381"/>
      <c r="HP245" s="381"/>
      <c r="HQ245" s="381"/>
      <c r="HR245" s="381"/>
      <c r="HS245" s="381"/>
      <c r="HT245" s="381"/>
      <c r="HU245" s="381"/>
      <c r="HV245" s="381"/>
      <c r="HW245" s="381"/>
      <c r="HX245" s="381"/>
      <c r="HY245" s="381"/>
      <c r="HZ245" s="381"/>
      <c r="IA245" s="381"/>
      <c r="IB245" s="381"/>
    </row>
    <row r="246" spans="1:236" s="406" customFormat="1">
      <c r="A246" s="472"/>
      <c r="B246" s="473"/>
      <c r="M246" s="381"/>
      <c r="N246" s="381"/>
      <c r="O246" s="381"/>
      <c r="P246" s="381"/>
      <c r="Q246" s="381"/>
      <c r="R246" s="381"/>
      <c r="S246" s="381"/>
      <c r="T246" s="381"/>
      <c r="U246" s="381"/>
      <c r="V246" s="381"/>
      <c r="W246" s="381"/>
      <c r="X246" s="381"/>
      <c r="Y246" s="381"/>
      <c r="Z246" s="381"/>
      <c r="AA246" s="381"/>
      <c r="AB246" s="381"/>
      <c r="AC246" s="381"/>
      <c r="AD246" s="381"/>
      <c r="AE246" s="381"/>
      <c r="AF246" s="381"/>
      <c r="AG246" s="381"/>
      <c r="AH246" s="381"/>
      <c r="AI246" s="381"/>
      <c r="AJ246" s="381"/>
      <c r="AK246" s="381"/>
      <c r="AL246" s="381"/>
      <c r="AM246" s="381"/>
      <c r="AN246" s="381"/>
      <c r="AO246" s="381"/>
      <c r="AP246" s="381"/>
      <c r="AQ246" s="381"/>
      <c r="AR246" s="381"/>
      <c r="AS246" s="381"/>
      <c r="AT246" s="381"/>
      <c r="AU246" s="381"/>
      <c r="AV246" s="381"/>
      <c r="AW246" s="381"/>
      <c r="AX246" s="381"/>
      <c r="AY246" s="381"/>
      <c r="AZ246" s="381"/>
      <c r="BA246" s="381"/>
      <c r="BB246" s="381"/>
      <c r="BC246" s="381"/>
      <c r="BD246" s="381"/>
      <c r="BE246" s="381"/>
      <c r="BF246" s="381"/>
      <c r="BG246" s="381"/>
      <c r="BH246" s="381"/>
      <c r="BI246" s="381"/>
      <c r="BJ246" s="381"/>
      <c r="BK246" s="381"/>
      <c r="BL246" s="381"/>
      <c r="BM246" s="381"/>
      <c r="BN246" s="381"/>
      <c r="BO246" s="381"/>
      <c r="BP246" s="381"/>
      <c r="BQ246" s="381"/>
      <c r="BR246" s="381"/>
      <c r="BS246" s="381"/>
      <c r="BT246" s="381"/>
      <c r="BU246" s="381"/>
      <c r="BV246" s="381"/>
      <c r="BW246" s="381"/>
      <c r="BX246" s="381"/>
      <c r="BY246" s="381"/>
      <c r="BZ246" s="381"/>
      <c r="CA246" s="381"/>
      <c r="CB246" s="381"/>
      <c r="CC246" s="381"/>
      <c r="CD246" s="381"/>
      <c r="CE246" s="381"/>
      <c r="CF246" s="381"/>
      <c r="CG246" s="381"/>
      <c r="CH246" s="381"/>
      <c r="CI246" s="381"/>
      <c r="CJ246" s="381"/>
      <c r="CK246" s="381"/>
      <c r="CL246" s="381"/>
      <c r="CM246" s="381"/>
      <c r="CN246" s="381"/>
      <c r="CO246" s="381"/>
      <c r="CP246" s="381"/>
      <c r="CQ246" s="381"/>
      <c r="CR246" s="381"/>
      <c r="CS246" s="381"/>
      <c r="CT246" s="381"/>
      <c r="CU246" s="381"/>
      <c r="CV246" s="381"/>
      <c r="CW246" s="381"/>
      <c r="CX246" s="381"/>
      <c r="CY246" s="381"/>
      <c r="CZ246" s="381"/>
      <c r="DA246" s="381"/>
      <c r="DB246" s="381"/>
      <c r="DC246" s="381"/>
      <c r="DD246" s="381"/>
      <c r="DE246" s="381"/>
      <c r="DF246" s="381"/>
      <c r="DG246" s="381"/>
      <c r="DH246" s="381"/>
      <c r="DI246" s="381"/>
      <c r="DJ246" s="381"/>
      <c r="DK246" s="381"/>
      <c r="DL246" s="381"/>
      <c r="DM246" s="381"/>
      <c r="DN246" s="381"/>
      <c r="DO246" s="381"/>
      <c r="DP246" s="381"/>
      <c r="DQ246" s="381"/>
      <c r="DR246" s="381"/>
      <c r="DS246" s="381"/>
      <c r="DT246" s="381"/>
      <c r="DU246" s="381"/>
      <c r="DV246" s="381"/>
      <c r="DW246" s="381"/>
      <c r="DX246" s="381"/>
      <c r="DY246" s="381"/>
      <c r="DZ246" s="381"/>
      <c r="EA246" s="381"/>
      <c r="EB246" s="381"/>
      <c r="EC246" s="381"/>
      <c r="ED246" s="381"/>
      <c r="EE246" s="381"/>
      <c r="EF246" s="381"/>
      <c r="EG246" s="381"/>
      <c r="EH246" s="381"/>
      <c r="EI246" s="381"/>
      <c r="EJ246" s="381"/>
      <c r="EK246" s="381"/>
      <c r="EL246" s="381"/>
      <c r="EM246" s="381"/>
      <c r="EN246" s="381"/>
      <c r="EO246" s="381"/>
      <c r="EP246" s="381"/>
      <c r="EQ246" s="381"/>
      <c r="ER246" s="381"/>
      <c r="ES246" s="381"/>
      <c r="ET246" s="381"/>
      <c r="EU246" s="381"/>
      <c r="EV246" s="381"/>
      <c r="EW246" s="381"/>
      <c r="EX246" s="381"/>
      <c r="EY246" s="381"/>
      <c r="EZ246" s="381"/>
      <c r="FA246" s="381"/>
      <c r="FB246" s="381"/>
      <c r="FC246" s="381"/>
      <c r="FD246" s="381"/>
      <c r="FE246" s="381"/>
      <c r="FF246" s="381"/>
      <c r="FG246" s="381"/>
      <c r="FH246" s="381"/>
      <c r="FI246" s="381"/>
      <c r="FJ246" s="381"/>
      <c r="FK246" s="381"/>
      <c r="FL246" s="381"/>
      <c r="FM246" s="381"/>
      <c r="FN246" s="381"/>
      <c r="FO246" s="381"/>
      <c r="FP246" s="381"/>
      <c r="FQ246" s="381"/>
      <c r="FR246" s="381"/>
      <c r="FS246" s="381"/>
      <c r="FT246" s="381"/>
      <c r="FU246" s="381"/>
      <c r="FV246" s="381"/>
      <c r="FW246" s="381"/>
      <c r="FX246" s="381"/>
      <c r="FY246" s="381"/>
      <c r="FZ246" s="381"/>
      <c r="GA246" s="381"/>
      <c r="GB246" s="381"/>
      <c r="GC246" s="381"/>
      <c r="GD246" s="381"/>
      <c r="GE246" s="381"/>
      <c r="GF246" s="381"/>
      <c r="GG246" s="381"/>
      <c r="GH246" s="381"/>
      <c r="GI246" s="381"/>
      <c r="GJ246" s="381"/>
      <c r="GK246" s="381"/>
      <c r="GL246" s="381"/>
      <c r="GM246" s="381"/>
      <c r="GN246" s="381"/>
      <c r="GO246" s="381"/>
      <c r="GP246" s="381"/>
      <c r="GQ246" s="381"/>
      <c r="GR246" s="381"/>
      <c r="GS246" s="381"/>
      <c r="GT246" s="381"/>
      <c r="GU246" s="381"/>
      <c r="GV246" s="381"/>
      <c r="GW246" s="381"/>
      <c r="GX246" s="381"/>
      <c r="GY246" s="381"/>
      <c r="GZ246" s="381"/>
      <c r="HA246" s="381"/>
      <c r="HB246" s="381"/>
      <c r="HC246" s="381"/>
      <c r="HD246" s="381"/>
      <c r="HE246" s="381"/>
      <c r="HF246" s="381"/>
      <c r="HG246" s="381"/>
      <c r="HH246" s="381"/>
      <c r="HI246" s="381"/>
      <c r="HJ246" s="381"/>
      <c r="HK246" s="381"/>
      <c r="HL246" s="381"/>
      <c r="HM246" s="381"/>
      <c r="HN246" s="381"/>
      <c r="HO246" s="381"/>
      <c r="HP246" s="381"/>
      <c r="HQ246" s="381"/>
      <c r="HR246" s="381"/>
      <c r="HS246" s="381"/>
      <c r="HT246" s="381"/>
      <c r="HU246" s="381"/>
      <c r="HV246" s="381"/>
      <c r="HW246" s="381"/>
      <c r="HX246" s="381"/>
      <c r="HY246" s="381"/>
      <c r="HZ246" s="381"/>
      <c r="IA246" s="381"/>
      <c r="IB246" s="381"/>
    </row>
    <row r="247" spans="1:236" s="406" customFormat="1">
      <c r="A247" s="472"/>
      <c r="B247" s="473"/>
      <c r="M247" s="381"/>
      <c r="N247" s="381"/>
      <c r="O247" s="381"/>
      <c r="P247" s="381"/>
      <c r="Q247" s="381"/>
      <c r="R247" s="381"/>
      <c r="S247" s="381"/>
      <c r="T247" s="381"/>
      <c r="U247" s="381"/>
      <c r="V247" s="381"/>
      <c r="W247" s="381"/>
      <c r="X247" s="381"/>
      <c r="Y247" s="381"/>
      <c r="Z247" s="381"/>
      <c r="AA247" s="381"/>
      <c r="AB247" s="381"/>
      <c r="AC247" s="381"/>
      <c r="AD247" s="381"/>
      <c r="AE247" s="381"/>
      <c r="AF247" s="381"/>
      <c r="AG247" s="381"/>
      <c r="AH247" s="381"/>
      <c r="AI247" s="381"/>
      <c r="AJ247" s="381"/>
      <c r="AK247" s="381"/>
      <c r="AL247" s="381"/>
      <c r="AM247" s="381"/>
      <c r="AN247" s="381"/>
      <c r="AO247" s="381"/>
      <c r="AP247" s="381"/>
      <c r="AQ247" s="381"/>
      <c r="AR247" s="381"/>
      <c r="AS247" s="381"/>
      <c r="AT247" s="381"/>
      <c r="AU247" s="381"/>
      <c r="AV247" s="381"/>
      <c r="AW247" s="381"/>
      <c r="AX247" s="381"/>
      <c r="AY247" s="381"/>
      <c r="AZ247" s="381"/>
      <c r="BA247" s="381"/>
      <c r="BB247" s="381"/>
      <c r="BC247" s="381"/>
      <c r="BD247" s="381"/>
      <c r="BE247" s="381"/>
      <c r="BF247" s="381"/>
      <c r="BG247" s="381"/>
      <c r="BH247" s="381"/>
      <c r="BI247" s="381"/>
      <c r="BJ247" s="381"/>
      <c r="BK247" s="381"/>
      <c r="BL247" s="381"/>
      <c r="BM247" s="381"/>
      <c r="BN247" s="381"/>
      <c r="BO247" s="381"/>
      <c r="BP247" s="381"/>
      <c r="BQ247" s="381"/>
      <c r="BR247" s="381"/>
      <c r="BS247" s="381"/>
      <c r="BT247" s="381"/>
      <c r="BU247" s="381"/>
      <c r="BV247" s="381"/>
      <c r="BW247" s="381"/>
      <c r="BX247" s="381"/>
      <c r="BY247" s="381"/>
      <c r="BZ247" s="381"/>
      <c r="CA247" s="381"/>
      <c r="CB247" s="381"/>
      <c r="CC247" s="381"/>
      <c r="CD247" s="381"/>
      <c r="CE247" s="381"/>
      <c r="CF247" s="381"/>
      <c r="CG247" s="381"/>
      <c r="CH247" s="381"/>
      <c r="CI247" s="381"/>
      <c r="CJ247" s="381"/>
      <c r="CK247" s="381"/>
      <c r="CL247" s="381"/>
      <c r="CM247" s="381"/>
      <c r="CN247" s="381"/>
      <c r="CO247" s="381"/>
      <c r="CP247" s="381"/>
      <c r="CQ247" s="381"/>
      <c r="CR247" s="381"/>
      <c r="CS247" s="381"/>
      <c r="CT247" s="381"/>
      <c r="CU247" s="381"/>
      <c r="CV247" s="381"/>
      <c r="CW247" s="381"/>
      <c r="CX247" s="381"/>
      <c r="CY247" s="381"/>
      <c r="CZ247" s="381"/>
      <c r="DA247" s="381"/>
      <c r="DB247" s="381"/>
      <c r="DC247" s="381"/>
      <c r="DD247" s="381"/>
      <c r="DE247" s="381"/>
      <c r="DF247" s="381"/>
      <c r="DG247" s="381"/>
      <c r="DH247" s="381"/>
      <c r="DI247" s="381"/>
      <c r="DJ247" s="381"/>
      <c r="DK247" s="381"/>
      <c r="DL247" s="381"/>
      <c r="DM247" s="381"/>
      <c r="DN247" s="381"/>
      <c r="DO247" s="381"/>
      <c r="DP247" s="381"/>
      <c r="DQ247" s="381"/>
      <c r="DR247" s="381"/>
      <c r="DS247" s="381"/>
      <c r="DT247" s="381"/>
      <c r="DU247" s="381"/>
      <c r="DV247" s="381"/>
      <c r="DW247" s="381"/>
      <c r="DX247" s="381"/>
      <c r="DY247" s="381"/>
      <c r="DZ247" s="381"/>
      <c r="EA247" s="381"/>
      <c r="EB247" s="381"/>
      <c r="EC247" s="381"/>
      <c r="ED247" s="381"/>
      <c r="EE247" s="381"/>
      <c r="EF247" s="381"/>
      <c r="EG247" s="381"/>
      <c r="EH247" s="381"/>
      <c r="EI247" s="381"/>
      <c r="EJ247" s="381"/>
      <c r="EK247" s="381"/>
      <c r="EL247" s="381"/>
      <c r="EM247" s="381"/>
      <c r="EN247" s="381"/>
      <c r="EO247" s="381"/>
      <c r="EP247" s="381"/>
      <c r="EQ247" s="381"/>
      <c r="ER247" s="381"/>
      <c r="ES247" s="381"/>
      <c r="ET247" s="381"/>
      <c r="EU247" s="381"/>
      <c r="EV247" s="381"/>
      <c r="EW247" s="381"/>
      <c r="EX247" s="381"/>
      <c r="EY247" s="381"/>
      <c r="EZ247" s="381"/>
      <c r="FA247" s="381"/>
      <c r="FB247" s="381"/>
      <c r="FC247" s="381"/>
      <c r="FD247" s="381"/>
      <c r="FE247" s="381"/>
      <c r="FF247" s="381"/>
      <c r="FG247" s="381"/>
      <c r="FH247" s="381"/>
      <c r="FI247" s="381"/>
      <c r="FJ247" s="381"/>
      <c r="FK247" s="381"/>
      <c r="FL247" s="381"/>
      <c r="FM247" s="381"/>
      <c r="FN247" s="381"/>
      <c r="FO247" s="381"/>
      <c r="FP247" s="381"/>
      <c r="FQ247" s="381"/>
      <c r="FR247" s="381"/>
      <c r="FS247" s="381"/>
      <c r="FT247" s="381"/>
      <c r="FU247" s="381"/>
      <c r="FV247" s="381"/>
      <c r="FW247" s="381"/>
      <c r="FX247" s="381"/>
      <c r="FY247" s="381"/>
      <c r="FZ247" s="381"/>
      <c r="GA247" s="381"/>
      <c r="GB247" s="381"/>
      <c r="GC247" s="381"/>
      <c r="GD247" s="381"/>
      <c r="GE247" s="381"/>
      <c r="GF247" s="381"/>
      <c r="GG247" s="381"/>
      <c r="GH247" s="381"/>
      <c r="GI247" s="381"/>
      <c r="GJ247" s="381"/>
      <c r="GK247" s="381"/>
      <c r="GL247" s="381"/>
      <c r="GM247" s="381"/>
      <c r="GN247" s="381"/>
      <c r="GO247" s="381"/>
      <c r="GP247" s="381"/>
      <c r="GQ247" s="381"/>
      <c r="GR247" s="381"/>
      <c r="GS247" s="381"/>
      <c r="GT247" s="381"/>
      <c r="GU247" s="381"/>
      <c r="GV247" s="381"/>
      <c r="GW247" s="381"/>
      <c r="GX247" s="381"/>
      <c r="GY247" s="381"/>
      <c r="GZ247" s="381"/>
      <c r="HA247" s="381"/>
      <c r="HB247" s="381"/>
      <c r="HC247" s="381"/>
      <c r="HD247" s="381"/>
      <c r="HE247" s="381"/>
      <c r="HF247" s="381"/>
      <c r="HG247" s="381"/>
      <c r="HH247" s="381"/>
      <c r="HI247" s="381"/>
      <c r="HJ247" s="381"/>
      <c r="HK247" s="381"/>
      <c r="HL247" s="381"/>
      <c r="HM247" s="381"/>
      <c r="HN247" s="381"/>
      <c r="HO247" s="381"/>
      <c r="HP247" s="381"/>
      <c r="HQ247" s="381"/>
      <c r="HR247" s="381"/>
      <c r="HS247" s="381"/>
      <c r="HT247" s="381"/>
      <c r="HU247" s="381"/>
      <c r="HV247" s="381"/>
      <c r="HW247" s="381"/>
      <c r="HX247" s="381"/>
      <c r="HY247" s="381"/>
      <c r="HZ247" s="381"/>
      <c r="IA247" s="381"/>
      <c r="IB247" s="381"/>
    </row>
  </sheetData>
  <dataConsolidate/>
  <mergeCells count="35">
    <mergeCell ref="A50:L50"/>
    <mergeCell ref="B167:C167"/>
    <mergeCell ref="G167:I167"/>
    <mergeCell ref="B51:K51"/>
    <mergeCell ref="B73:K73"/>
    <mergeCell ref="B82:K82"/>
    <mergeCell ref="B119:K119"/>
    <mergeCell ref="B151:K151"/>
    <mergeCell ref="A152:L152"/>
    <mergeCell ref="B162:K162"/>
    <mergeCell ref="B163:K163"/>
    <mergeCell ref="B164:C164"/>
    <mergeCell ref="B165:C165"/>
    <mergeCell ref="B166:K166"/>
    <mergeCell ref="F10:G10"/>
    <mergeCell ref="H10:K10"/>
    <mergeCell ref="E11:K11"/>
    <mergeCell ref="A12:L12"/>
    <mergeCell ref="B49:K49"/>
    <mergeCell ref="B15:K15"/>
    <mergeCell ref="A16:L16"/>
    <mergeCell ref="B41:C41"/>
    <mergeCell ref="A42:L42"/>
    <mergeCell ref="A13:L13"/>
    <mergeCell ref="A9:A10"/>
    <mergeCell ref="B9:B10"/>
    <mergeCell ref="C9:C10"/>
    <mergeCell ref="D9:D10"/>
    <mergeCell ref="E9:K9"/>
    <mergeCell ref="L9:L10"/>
    <mergeCell ref="A1:L1"/>
    <mergeCell ref="A2:L2"/>
    <mergeCell ref="A3:F3"/>
    <mergeCell ref="A4:F4"/>
    <mergeCell ref="A8:L8"/>
  </mergeCells>
  <pageMargins left="0.59055118110236227" right="0.43307086614173229" top="0.70866141732283472" bottom="0.70866141732283472" header="0.31496062992125984" footer="0.31496062992125984"/>
  <pageSetup paperSize="9" scale="90" orientation="portrait" r:id="rId1"/>
  <headerFooter>
    <oddFooter>&amp;RСтраница &amp;P из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8"/>
  <sheetViews>
    <sheetView view="pageBreakPreview" zoomScale="115" zoomScaleNormal="80" zoomScaleSheetLayoutView="115" workbookViewId="0">
      <selection activeCell="A8" sqref="A8"/>
    </sheetView>
  </sheetViews>
  <sheetFormatPr baseColWidth="10" defaultColWidth="8.83203125" defaultRowHeight="15"/>
  <cols>
    <col min="2" max="2" width="9.1640625" customWidth="1"/>
    <col min="3" max="3" width="35.83203125" customWidth="1"/>
    <col min="4" max="4" width="14.5" customWidth="1"/>
    <col min="5" max="5" width="14.1640625" customWidth="1"/>
    <col min="8" max="8" width="13.1640625" bestFit="1" customWidth="1"/>
  </cols>
  <sheetData>
    <row r="1" spans="1:11" s="475" customFormat="1">
      <c r="A1" s="840" t="s">
        <v>663</v>
      </c>
      <c r="B1" s="840"/>
      <c r="C1" s="840"/>
      <c r="D1" s="840"/>
      <c r="E1" s="840"/>
      <c r="F1" s="840"/>
      <c r="G1" s="840"/>
      <c r="H1" s="840"/>
    </row>
    <row r="2" spans="1:11" s="475" customFormat="1">
      <c r="A2" s="866" t="s">
        <v>664</v>
      </c>
      <c r="B2" s="866"/>
      <c r="C2" s="866"/>
      <c r="D2" s="866"/>
      <c r="E2" s="866"/>
      <c r="F2" s="866"/>
      <c r="G2" s="866"/>
      <c r="H2" s="866"/>
    </row>
    <row r="3" spans="1:11" s="1" customFormat="1" ht="27" customHeight="1">
      <c r="A3" s="791" t="s">
        <v>916</v>
      </c>
      <c r="B3" s="791"/>
      <c r="C3" s="791"/>
      <c r="D3" s="791"/>
      <c r="E3" s="791"/>
      <c r="F3" s="791"/>
    </row>
    <row r="4" spans="1:11" s="1" customFormat="1" ht="15" customHeight="1">
      <c r="A4" s="796" t="s">
        <v>665</v>
      </c>
      <c r="B4" s="796"/>
      <c r="C4" s="796"/>
      <c r="D4" s="796"/>
      <c r="E4" s="796"/>
      <c r="F4" s="796"/>
      <c r="G4" s="796"/>
    </row>
    <row r="5" spans="1:11" s="1" customFormat="1" ht="14">
      <c r="A5" s="16" t="s">
        <v>291</v>
      </c>
      <c r="B5" s="17"/>
      <c r="C5" s="17"/>
      <c r="D5" s="17"/>
      <c r="E5" s="17"/>
      <c r="F5" s="17"/>
    </row>
    <row r="6" spans="1:11" s="1" customFormat="1" ht="14">
      <c r="A6" s="16" t="s">
        <v>149</v>
      </c>
      <c r="B6" s="16"/>
      <c r="C6" s="18"/>
      <c r="D6" s="18"/>
      <c r="E6" s="18"/>
      <c r="F6" s="4"/>
    </row>
    <row r="7" spans="1:11" s="1" customFormat="1" ht="14">
      <c r="A7" s="16" t="s">
        <v>924</v>
      </c>
      <c r="B7" s="16"/>
      <c r="C7" s="19"/>
      <c r="D7" s="16"/>
      <c r="E7" s="16"/>
      <c r="F7" s="4"/>
    </row>
    <row r="8" spans="1:11" s="475" customFormat="1">
      <c r="A8" s="476"/>
      <c r="B8" s="476"/>
      <c r="C8" s="476"/>
      <c r="D8" s="476"/>
      <c r="E8" s="476"/>
      <c r="F8" s="476"/>
      <c r="G8" s="476"/>
      <c r="H8" s="476"/>
      <c r="I8" s="476"/>
      <c r="J8" s="476"/>
      <c r="K8" s="476"/>
    </row>
    <row r="9" spans="1:11" s="475" customFormat="1" ht="28.5" customHeight="1">
      <c r="A9" s="867" t="s">
        <v>666</v>
      </c>
      <c r="B9" s="867"/>
      <c r="C9" s="867"/>
      <c r="D9" s="867"/>
      <c r="E9" s="867"/>
      <c r="F9" s="867"/>
      <c r="G9" s="867"/>
      <c r="H9" s="867"/>
    </row>
    <row r="10" spans="1:11" ht="34">
      <c r="A10" s="680"/>
      <c r="B10" s="681" t="s">
        <v>789</v>
      </c>
      <c r="C10" s="682" t="s">
        <v>790</v>
      </c>
      <c r="D10" s="682" t="s">
        <v>306</v>
      </c>
      <c r="E10" s="682" t="s">
        <v>791</v>
      </c>
      <c r="F10" s="682" t="s">
        <v>309</v>
      </c>
      <c r="G10" s="682" t="s">
        <v>792</v>
      </c>
      <c r="H10" s="682" t="s">
        <v>793</v>
      </c>
    </row>
    <row r="11" spans="1:11" ht="16">
      <c r="A11" s="680"/>
      <c r="B11" s="683">
        <v>1</v>
      </c>
      <c r="C11" s="683">
        <v>2</v>
      </c>
      <c r="D11" s="683">
        <v>3</v>
      </c>
      <c r="E11" s="683">
        <v>4</v>
      </c>
      <c r="F11" s="683">
        <v>5</v>
      </c>
      <c r="G11" s="683">
        <v>6</v>
      </c>
      <c r="H11" s="683">
        <v>7</v>
      </c>
    </row>
    <row r="12" spans="1:11" ht="16">
      <c r="A12" s="680"/>
      <c r="B12" s="871" t="s">
        <v>322</v>
      </c>
      <c r="C12" s="871"/>
      <c r="D12" s="871"/>
      <c r="E12" s="871"/>
      <c r="F12" s="871"/>
      <c r="G12" s="871"/>
      <c r="H12" s="871"/>
    </row>
    <row r="13" spans="1:11" ht="34">
      <c r="B13" s="584">
        <v>1</v>
      </c>
      <c r="C13" s="585" t="s">
        <v>794</v>
      </c>
      <c r="D13" s="583" t="s">
        <v>795</v>
      </c>
      <c r="E13" s="586" t="s">
        <v>796</v>
      </c>
      <c r="F13" s="587">
        <v>1</v>
      </c>
      <c r="G13" s="587">
        <v>161</v>
      </c>
      <c r="H13" s="588">
        <f t="shared" ref="H13:H23" si="0">F13*G13</f>
        <v>161</v>
      </c>
    </row>
    <row r="14" spans="1:11" ht="68">
      <c r="B14" s="584">
        <v>2</v>
      </c>
      <c r="C14" s="585" t="s">
        <v>797</v>
      </c>
      <c r="D14" s="583" t="s">
        <v>798</v>
      </c>
      <c r="E14" s="586" t="s">
        <v>799</v>
      </c>
      <c r="F14" s="587">
        <v>3</v>
      </c>
      <c r="G14" s="587">
        <v>133</v>
      </c>
      <c r="H14" s="588">
        <f t="shared" si="0"/>
        <v>399</v>
      </c>
    </row>
    <row r="15" spans="1:11" ht="68">
      <c r="B15" s="584">
        <v>3</v>
      </c>
      <c r="C15" s="585" t="s">
        <v>800</v>
      </c>
      <c r="D15" s="583" t="s">
        <v>801</v>
      </c>
      <c r="E15" s="586" t="s">
        <v>667</v>
      </c>
      <c r="F15" s="587">
        <v>2</v>
      </c>
      <c r="G15" s="587">
        <v>174</v>
      </c>
      <c r="H15" s="588">
        <f t="shared" si="0"/>
        <v>348</v>
      </c>
    </row>
    <row r="16" spans="1:11" ht="34">
      <c r="B16" s="584">
        <v>4</v>
      </c>
      <c r="C16" s="583" t="s">
        <v>802</v>
      </c>
      <c r="D16" s="583" t="s">
        <v>803</v>
      </c>
      <c r="E16" s="586" t="s">
        <v>667</v>
      </c>
      <c r="F16" s="587">
        <v>5</v>
      </c>
      <c r="G16" s="587">
        <v>30</v>
      </c>
      <c r="H16" s="588">
        <f t="shared" si="0"/>
        <v>150</v>
      </c>
    </row>
    <row r="17" spans="1:8" ht="51">
      <c r="B17" s="584">
        <v>5</v>
      </c>
      <c r="C17" s="583" t="s">
        <v>804</v>
      </c>
      <c r="D17" s="583" t="s">
        <v>805</v>
      </c>
      <c r="E17" s="586" t="s">
        <v>470</v>
      </c>
      <c r="F17" s="587">
        <v>5</v>
      </c>
      <c r="G17" s="587">
        <v>20</v>
      </c>
      <c r="H17" s="588">
        <f t="shared" si="0"/>
        <v>100</v>
      </c>
    </row>
    <row r="18" spans="1:8" ht="34">
      <c r="B18" s="584">
        <v>6</v>
      </c>
      <c r="C18" s="583" t="s">
        <v>806</v>
      </c>
      <c r="D18" s="583" t="s">
        <v>807</v>
      </c>
      <c r="E18" s="582" t="s">
        <v>668</v>
      </c>
      <c r="F18" s="589">
        <v>1</v>
      </c>
      <c r="G18" s="589">
        <v>78</v>
      </c>
      <c r="H18" s="588">
        <f t="shared" si="0"/>
        <v>78</v>
      </c>
    </row>
    <row r="19" spans="1:8" ht="34">
      <c r="B19" s="584">
        <v>7</v>
      </c>
      <c r="C19" s="583" t="s">
        <v>808</v>
      </c>
      <c r="D19" s="583" t="s">
        <v>809</v>
      </c>
      <c r="E19" s="582" t="s">
        <v>810</v>
      </c>
      <c r="F19" s="589">
        <v>4</v>
      </c>
      <c r="G19" s="589">
        <v>11</v>
      </c>
      <c r="H19" s="588">
        <f t="shared" si="0"/>
        <v>44</v>
      </c>
    </row>
    <row r="20" spans="1:8" ht="51">
      <c r="B20" s="584">
        <v>8</v>
      </c>
      <c r="C20" s="590" t="s">
        <v>811</v>
      </c>
      <c r="D20" s="590" t="s">
        <v>812</v>
      </c>
      <c r="E20" s="591" t="s">
        <v>813</v>
      </c>
      <c r="F20" s="592">
        <v>1</v>
      </c>
      <c r="G20" s="593">
        <v>8</v>
      </c>
      <c r="H20" s="588">
        <f t="shared" si="0"/>
        <v>8</v>
      </c>
    </row>
    <row r="21" spans="1:8" ht="34">
      <c r="B21" s="584">
        <v>9</v>
      </c>
      <c r="C21" s="590" t="s">
        <v>814</v>
      </c>
      <c r="D21" s="590" t="s">
        <v>815</v>
      </c>
      <c r="E21" s="591" t="s">
        <v>374</v>
      </c>
      <c r="F21" s="592">
        <v>2</v>
      </c>
      <c r="G21" s="593">
        <v>22</v>
      </c>
      <c r="H21" s="588">
        <f t="shared" si="0"/>
        <v>44</v>
      </c>
    </row>
    <row r="22" spans="1:8" ht="34">
      <c r="B22" s="584">
        <v>10</v>
      </c>
      <c r="C22" s="590" t="s">
        <v>816</v>
      </c>
      <c r="D22" s="590" t="s">
        <v>817</v>
      </c>
      <c r="E22" s="591" t="s">
        <v>374</v>
      </c>
      <c r="F22" s="592">
        <v>1</v>
      </c>
      <c r="G22" s="594">
        <v>5</v>
      </c>
      <c r="H22" s="588">
        <f t="shared" si="0"/>
        <v>5</v>
      </c>
    </row>
    <row r="23" spans="1:8" ht="34">
      <c r="B23" s="584">
        <v>11</v>
      </c>
      <c r="C23" s="595" t="s">
        <v>669</v>
      </c>
      <c r="D23" s="596" t="s">
        <v>818</v>
      </c>
      <c r="E23" s="597" t="s">
        <v>670</v>
      </c>
      <c r="F23" s="592">
        <v>20</v>
      </c>
      <c r="G23" s="592">
        <v>7</v>
      </c>
      <c r="H23" s="588">
        <f t="shared" si="0"/>
        <v>140</v>
      </c>
    </row>
    <row r="24" spans="1:8" ht="16">
      <c r="B24" s="584">
        <v>12</v>
      </c>
      <c r="C24" s="872" t="s">
        <v>819</v>
      </c>
      <c r="D24" s="873"/>
      <c r="E24" s="873"/>
      <c r="F24" s="873"/>
      <c r="G24" s="874"/>
      <c r="H24" s="598">
        <f>SUM(H13:H23)</f>
        <v>1477</v>
      </c>
    </row>
    <row r="25" spans="1:8" ht="51">
      <c r="B25" s="584">
        <v>13</v>
      </c>
      <c r="C25" s="599" t="s">
        <v>820</v>
      </c>
      <c r="D25" s="583" t="s">
        <v>821</v>
      </c>
      <c r="E25" s="582" t="s">
        <v>822</v>
      </c>
      <c r="F25" s="583">
        <v>8.75</v>
      </c>
      <c r="G25" s="583"/>
      <c r="H25" s="600">
        <f>H24*(F25/100)</f>
        <v>129.23749999999998</v>
      </c>
    </row>
    <row r="26" spans="1:8" ht="17">
      <c r="B26" s="584">
        <v>14</v>
      </c>
      <c r="C26" s="598" t="s">
        <v>823</v>
      </c>
      <c r="D26" s="598"/>
      <c r="E26" s="582"/>
      <c r="F26" s="583"/>
      <c r="G26" s="583"/>
      <c r="H26" s="600">
        <f>H24+H25</f>
        <v>1606.2375</v>
      </c>
    </row>
    <row r="27" spans="1:8" ht="34">
      <c r="B27" s="584">
        <v>15</v>
      </c>
      <c r="C27" s="583" t="s">
        <v>824</v>
      </c>
      <c r="D27" s="583" t="s">
        <v>825</v>
      </c>
      <c r="E27" s="582" t="s">
        <v>822</v>
      </c>
      <c r="F27" s="583">
        <v>12</v>
      </c>
      <c r="G27" s="583"/>
      <c r="H27" s="600">
        <f>H26*(F27/100)</f>
        <v>192.74849999999998</v>
      </c>
    </row>
    <row r="28" spans="1:8" ht="68">
      <c r="B28" s="584">
        <v>16</v>
      </c>
      <c r="C28" s="583" t="s">
        <v>826</v>
      </c>
      <c r="D28" s="583" t="s">
        <v>827</v>
      </c>
      <c r="E28" s="582" t="s">
        <v>822</v>
      </c>
      <c r="F28" s="583">
        <v>19.600000000000001</v>
      </c>
      <c r="G28" s="583"/>
      <c r="H28" s="600">
        <f>H26*(F28/100)</f>
        <v>314.82254999999998</v>
      </c>
    </row>
    <row r="29" spans="1:8" ht="17">
      <c r="B29" s="584">
        <v>17</v>
      </c>
      <c r="C29" s="583" t="s">
        <v>828</v>
      </c>
      <c r="D29" s="598"/>
      <c r="E29" s="582"/>
      <c r="F29" s="583"/>
      <c r="G29" s="583"/>
      <c r="H29" s="600">
        <f>SUM(H26:H28)</f>
        <v>2113.8085499999997</v>
      </c>
    </row>
    <row r="30" spans="1:8" ht="34">
      <c r="B30" s="584">
        <v>18</v>
      </c>
      <c r="C30" s="583" t="s">
        <v>829</v>
      </c>
      <c r="D30" s="583" t="s">
        <v>830</v>
      </c>
      <c r="E30" s="582"/>
      <c r="F30" s="583">
        <v>1.25</v>
      </c>
      <c r="G30" s="583"/>
      <c r="H30" s="600">
        <f>H29*F30</f>
        <v>2642.2606874999997</v>
      </c>
    </row>
    <row r="31" spans="1:8" ht="34">
      <c r="B31" s="584">
        <v>19</v>
      </c>
      <c r="C31" s="583" t="s">
        <v>831</v>
      </c>
      <c r="D31" s="583" t="s">
        <v>832</v>
      </c>
      <c r="E31" s="582"/>
      <c r="F31" s="583">
        <v>1.3</v>
      </c>
      <c r="G31" s="583"/>
      <c r="H31" s="600">
        <f>H30*F31</f>
        <v>3434.9388937499998</v>
      </c>
    </row>
    <row r="32" spans="1:8" ht="16">
      <c r="A32" s="680"/>
      <c r="B32" s="875" t="s">
        <v>385</v>
      </c>
      <c r="C32" s="875"/>
      <c r="D32" s="875"/>
      <c r="E32" s="875"/>
      <c r="F32" s="875"/>
      <c r="G32" s="875"/>
      <c r="H32" s="875"/>
    </row>
    <row r="33" spans="2:8" ht="34">
      <c r="B33" s="601">
        <v>20</v>
      </c>
      <c r="C33" s="585" t="s">
        <v>794</v>
      </c>
      <c r="D33" s="583" t="s">
        <v>795</v>
      </c>
      <c r="E33" s="586" t="s">
        <v>796</v>
      </c>
      <c r="F33" s="587">
        <v>1</v>
      </c>
      <c r="G33" s="587">
        <v>14</v>
      </c>
      <c r="H33" s="588">
        <f t="shared" ref="H33:H52" si="1">F33*G33</f>
        <v>14</v>
      </c>
    </row>
    <row r="34" spans="2:8" ht="34">
      <c r="B34" s="601">
        <v>21</v>
      </c>
      <c r="C34" s="583" t="s">
        <v>833</v>
      </c>
      <c r="D34" s="583" t="s">
        <v>803</v>
      </c>
      <c r="E34" s="586" t="s">
        <v>667</v>
      </c>
      <c r="F34" s="587">
        <v>5</v>
      </c>
      <c r="G34" s="589">
        <v>10</v>
      </c>
      <c r="H34" s="588">
        <f t="shared" si="1"/>
        <v>50</v>
      </c>
    </row>
    <row r="35" spans="2:8" ht="51">
      <c r="B35" s="601">
        <v>22</v>
      </c>
      <c r="C35" s="599" t="s">
        <v>804</v>
      </c>
      <c r="D35" s="599" t="s">
        <v>805</v>
      </c>
      <c r="E35" s="582" t="s">
        <v>470</v>
      </c>
      <c r="F35" s="589">
        <v>5</v>
      </c>
      <c r="G35" s="589">
        <v>20</v>
      </c>
      <c r="H35" s="588">
        <f t="shared" si="1"/>
        <v>100</v>
      </c>
    </row>
    <row r="36" spans="2:8" ht="34">
      <c r="B36" s="601">
        <v>23</v>
      </c>
      <c r="C36" s="599" t="s">
        <v>806</v>
      </c>
      <c r="D36" s="599" t="s">
        <v>807</v>
      </c>
      <c r="E36" s="582" t="s">
        <v>668</v>
      </c>
      <c r="F36" s="589">
        <v>1</v>
      </c>
      <c r="G36" s="589">
        <v>17</v>
      </c>
      <c r="H36" s="588">
        <f t="shared" si="1"/>
        <v>17</v>
      </c>
    </row>
    <row r="37" spans="2:8" ht="51">
      <c r="B37" s="601">
        <v>24</v>
      </c>
      <c r="C37" s="583" t="s">
        <v>834</v>
      </c>
      <c r="D37" s="599" t="s">
        <v>835</v>
      </c>
      <c r="E37" s="582" t="s">
        <v>671</v>
      </c>
      <c r="F37" s="589">
        <v>1</v>
      </c>
      <c r="G37" s="589">
        <v>105</v>
      </c>
      <c r="H37" s="588">
        <f t="shared" si="1"/>
        <v>105</v>
      </c>
    </row>
    <row r="38" spans="2:8" ht="68">
      <c r="B38" s="601">
        <v>25</v>
      </c>
      <c r="C38" s="599" t="s">
        <v>836</v>
      </c>
      <c r="D38" s="599" t="s">
        <v>837</v>
      </c>
      <c r="E38" s="582" t="s">
        <v>672</v>
      </c>
      <c r="F38" s="589">
        <v>1</v>
      </c>
      <c r="G38" s="589">
        <v>61</v>
      </c>
      <c r="H38" s="588">
        <f t="shared" si="1"/>
        <v>61</v>
      </c>
    </row>
    <row r="39" spans="2:8" ht="34">
      <c r="B39" s="601">
        <v>26</v>
      </c>
      <c r="C39" s="599" t="s">
        <v>838</v>
      </c>
      <c r="D39" s="599" t="s">
        <v>839</v>
      </c>
      <c r="E39" s="582" t="s">
        <v>840</v>
      </c>
      <c r="F39" s="589">
        <v>5</v>
      </c>
      <c r="G39" s="589">
        <v>68</v>
      </c>
      <c r="H39" s="588">
        <f t="shared" si="1"/>
        <v>340</v>
      </c>
    </row>
    <row r="40" spans="2:8" ht="34">
      <c r="B40" s="601">
        <v>27</v>
      </c>
      <c r="C40" s="599" t="s">
        <v>841</v>
      </c>
      <c r="D40" s="599" t="s">
        <v>842</v>
      </c>
      <c r="E40" s="582" t="s">
        <v>843</v>
      </c>
      <c r="F40" s="589">
        <v>5</v>
      </c>
      <c r="G40" s="589">
        <v>6</v>
      </c>
      <c r="H40" s="588">
        <f t="shared" si="1"/>
        <v>30</v>
      </c>
    </row>
    <row r="41" spans="2:8" ht="68">
      <c r="B41" s="601">
        <v>28</v>
      </c>
      <c r="C41" s="599" t="s">
        <v>844</v>
      </c>
      <c r="D41" s="599" t="s">
        <v>845</v>
      </c>
      <c r="E41" s="582" t="s">
        <v>673</v>
      </c>
      <c r="F41" s="589">
        <v>5</v>
      </c>
      <c r="G41" s="589">
        <v>77</v>
      </c>
      <c r="H41" s="588">
        <f t="shared" si="1"/>
        <v>385</v>
      </c>
    </row>
    <row r="42" spans="2:8" ht="51">
      <c r="B42" s="601">
        <v>29</v>
      </c>
      <c r="C42" s="599" t="s">
        <v>846</v>
      </c>
      <c r="D42" s="599" t="s">
        <v>847</v>
      </c>
      <c r="E42" s="582" t="s">
        <v>673</v>
      </c>
      <c r="F42" s="589">
        <v>2</v>
      </c>
      <c r="G42" s="589">
        <v>26</v>
      </c>
      <c r="H42" s="588">
        <f t="shared" si="1"/>
        <v>52</v>
      </c>
    </row>
    <row r="43" spans="2:8" ht="85">
      <c r="B43" s="601">
        <v>30</v>
      </c>
      <c r="C43" s="599" t="s">
        <v>848</v>
      </c>
      <c r="D43" s="599" t="s">
        <v>849</v>
      </c>
      <c r="E43" s="582" t="s">
        <v>673</v>
      </c>
      <c r="F43" s="589">
        <v>4</v>
      </c>
      <c r="G43" s="589">
        <v>45</v>
      </c>
      <c r="H43" s="588">
        <f t="shared" si="1"/>
        <v>180</v>
      </c>
    </row>
    <row r="44" spans="2:8" ht="34">
      <c r="B44" s="601">
        <v>31</v>
      </c>
      <c r="C44" s="599" t="s">
        <v>850</v>
      </c>
      <c r="D44" s="599" t="s">
        <v>851</v>
      </c>
      <c r="E44" s="582" t="s">
        <v>673</v>
      </c>
      <c r="F44" s="589">
        <v>1</v>
      </c>
      <c r="G44" s="589">
        <v>206</v>
      </c>
      <c r="H44" s="588">
        <f t="shared" si="1"/>
        <v>206</v>
      </c>
    </row>
    <row r="45" spans="2:8" ht="34">
      <c r="B45" s="601">
        <v>32</v>
      </c>
      <c r="C45" s="599" t="s">
        <v>852</v>
      </c>
      <c r="D45" s="599" t="s">
        <v>853</v>
      </c>
      <c r="E45" s="582" t="s">
        <v>854</v>
      </c>
      <c r="F45" s="589">
        <v>1</v>
      </c>
      <c r="G45" s="589">
        <v>11</v>
      </c>
      <c r="H45" s="588">
        <f t="shared" si="1"/>
        <v>11</v>
      </c>
    </row>
    <row r="46" spans="2:8" ht="68">
      <c r="B46" s="601">
        <v>33</v>
      </c>
      <c r="C46" s="590" t="s">
        <v>855</v>
      </c>
      <c r="D46" s="590" t="s">
        <v>856</v>
      </c>
      <c r="E46" s="591" t="s">
        <v>857</v>
      </c>
      <c r="F46" s="592">
        <v>1</v>
      </c>
      <c r="G46" s="593">
        <v>257</v>
      </c>
      <c r="H46" s="588">
        <f t="shared" si="1"/>
        <v>257</v>
      </c>
    </row>
    <row r="47" spans="2:8" ht="51">
      <c r="B47" s="601">
        <v>34</v>
      </c>
      <c r="C47" s="590" t="s">
        <v>858</v>
      </c>
      <c r="D47" s="590" t="s">
        <v>859</v>
      </c>
      <c r="E47" s="591" t="s">
        <v>857</v>
      </c>
      <c r="F47" s="592">
        <v>3</v>
      </c>
      <c r="G47" s="593">
        <v>80</v>
      </c>
      <c r="H47" s="588">
        <f t="shared" si="1"/>
        <v>240</v>
      </c>
    </row>
    <row r="48" spans="2:8" ht="51">
      <c r="B48" s="601">
        <v>35</v>
      </c>
      <c r="C48" s="590" t="s">
        <v>860</v>
      </c>
      <c r="D48" s="590" t="s">
        <v>861</v>
      </c>
      <c r="E48" s="591" t="s">
        <v>674</v>
      </c>
      <c r="F48" s="592">
        <v>2</v>
      </c>
      <c r="G48" s="593">
        <v>90</v>
      </c>
      <c r="H48" s="588">
        <f t="shared" si="1"/>
        <v>180</v>
      </c>
    </row>
    <row r="49" spans="2:8" ht="34">
      <c r="B49" s="601">
        <v>36</v>
      </c>
      <c r="C49" s="590" t="s">
        <v>862</v>
      </c>
      <c r="D49" s="590" t="s">
        <v>863</v>
      </c>
      <c r="E49" s="591" t="s">
        <v>673</v>
      </c>
      <c r="F49" s="592">
        <v>1</v>
      </c>
      <c r="G49" s="593">
        <v>49</v>
      </c>
      <c r="H49" s="588">
        <f t="shared" si="1"/>
        <v>49</v>
      </c>
    </row>
    <row r="50" spans="2:8" ht="51">
      <c r="B50" s="601">
        <v>37</v>
      </c>
      <c r="C50" s="590" t="s">
        <v>864</v>
      </c>
      <c r="D50" s="590" t="s">
        <v>865</v>
      </c>
      <c r="E50" s="591" t="s">
        <v>673</v>
      </c>
      <c r="F50" s="592">
        <v>1</v>
      </c>
      <c r="G50" s="589">
        <v>152</v>
      </c>
      <c r="H50" s="588">
        <f t="shared" si="1"/>
        <v>152</v>
      </c>
    </row>
    <row r="51" spans="2:8" ht="34">
      <c r="B51" s="601">
        <v>38</v>
      </c>
      <c r="C51" s="590" t="s">
        <v>866</v>
      </c>
      <c r="D51" s="590" t="s">
        <v>867</v>
      </c>
      <c r="E51" s="591" t="s">
        <v>675</v>
      </c>
      <c r="F51" s="592">
        <v>1</v>
      </c>
      <c r="G51" s="592">
        <v>446</v>
      </c>
      <c r="H51" s="588">
        <f t="shared" si="1"/>
        <v>446</v>
      </c>
    </row>
    <row r="52" spans="2:8" ht="51">
      <c r="B52" s="601">
        <v>39</v>
      </c>
      <c r="C52" s="590" t="s">
        <v>868</v>
      </c>
      <c r="D52" s="590" t="s">
        <v>869</v>
      </c>
      <c r="E52" s="591" t="s">
        <v>319</v>
      </c>
      <c r="F52" s="592">
        <v>1</v>
      </c>
      <c r="G52" s="592">
        <v>800</v>
      </c>
      <c r="H52" s="593">
        <f t="shared" si="1"/>
        <v>800</v>
      </c>
    </row>
    <row r="53" spans="2:8" ht="16">
      <c r="B53" s="601">
        <v>40</v>
      </c>
      <c r="C53" s="876" t="s">
        <v>819</v>
      </c>
      <c r="D53" s="877"/>
      <c r="E53" s="877"/>
      <c r="F53" s="877"/>
      <c r="G53" s="878"/>
      <c r="H53" s="602">
        <f>SUM(H33:H52)</f>
        <v>3675</v>
      </c>
    </row>
    <row r="54" spans="2:8" ht="51">
      <c r="B54" s="601">
        <v>41</v>
      </c>
      <c r="C54" s="599" t="s">
        <v>870</v>
      </c>
      <c r="D54" s="599" t="s">
        <v>871</v>
      </c>
      <c r="E54" s="582" t="s">
        <v>822</v>
      </c>
      <c r="F54" s="589">
        <v>85</v>
      </c>
      <c r="G54" s="589"/>
      <c r="H54" s="603">
        <f>H53*(F54/100)</f>
        <v>3123.75</v>
      </c>
    </row>
    <row r="55" spans="2:8" ht="17">
      <c r="B55" s="601">
        <v>42</v>
      </c>
      <c r="C55" s="599" t="s">
        <v>872</v>
      </c>
      <c r="D55" s="599"/>
      <c r="E55" s="582"/>
      <c r="F55" s="589"/>
      <c r="G55" s="589"/>
      <c r="H55" s="603">
        <f>SUM(H53:H54)</f>
        <v>6798.75</v>
      </c>
    </row>
    <row r="56" spans="2:8" ht="35.25" customHeight="1">
      <c r="B56" s="601">
        <v>43</v>
      </c>
      <c r="C56" s="599" t="s">
        <v>873</v>
      </c>
      <c r="D56" s="583" t="s">
        <v>832</v>
      </c>
      <c r="E56" s="582"/>
      <c r="F56" s="589">
        <v>1.25</v>
      </c>
      <c r="G56" s="589"/>
      <c r="H56" s="603">
        <f>H55*F56</f>
        <v>8498.4375</v>
      </c>
    </row>
    <row r="57" spans="2:8" ht="17">
      <c r="B57" s="601">
        <v>44</v>
      </c>
      <c r="C57" s="599" t="s">
        <v>874</v>
      </c>
      <c r="D57" s="599"/>
      <c r="E57" s="582"/>
      <c r="F57" s="589"/>
      <c r="G57" s="589"/>
      <c r="H57" s="603">
        <f>H56+H31</f>
        <v>11933.376393750001</v>
      </c>
    </row>
    <row r="58" spans="2:8" ht="63" customHeight="1">
      <c r="B58" s="601">
        <v>47</v>
      </c>
      <c r="C58" s="868" t="s">
        <v>676</v>
      </c>
      <c r="D58" s="869"/>
      <c r="E58" s="870"/>
      <c r="F58" s="589">
        <v>11.37</v>
      </c>
      <c r="G58" s="589"/>
      <c r="H58" s="603">
        <f>H57*F58</f>
        <v>135682.48959693749</v>
      </c>
    </row>
  </sheetData>
  <mergeCells count="10">
    <mergeCell ref="C58:E58"/>
    <mergeCell ref="B12:H12"/>
    <mergeCell ref="C24:G24"/>
    <mergeCell ref="B32:H32"/>
    <mergeCell ref="C53:G53"/>
    <mergeCell ref="A1:H1"/>
    <mergeCell ref="A2:H2"/>
    <mergeCell ref="A3:F3"/>
    <mergeCell ref="A4:G4"/>
    <mergeCell ref="A9:H9"/>
  </mergeCells>
  <pageMargins left="0.7" right="0.7" top="0.75" bottom="0.75" header="0.3" footer="0.3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L47"/>
  <sheetViews>
    <sheetView view="pageBreakPreview" topLeftCell="A15" zoomScaleNormal="115" zoomScaleSheetLayoutView="100" workbookViewId="0">
      <selection activeCell="A8" sqref="A8"/>
    </sheetView>
  </sheetViews>
  <sheetFormatPr baseColWidth="10" defaultColWidth="11.5" defaultRowHeight="13"/>
  <cols>
    <col min="1" max="1" width="3.6640625" style="478" customWidth="1"/>
    <col min="2" max="2" width="26.6640625" style="478" customWidth="1"/>
    <col min="3" max="3" width="7.6640625" style="478" customWidth="1"/>
    <col min="4" max="4" width="5.1640625" style="478" customWidth="1"/>
    <col min="5" max="5" width="27.6640625" style="478" customWidth="1"/>
    <col min="6" max="6" width="16.6640625" style="478" customWidth="1"/>
    <col min="7" max="7" width="11.5" style="478"/>
    <col min="8" max="256" width="11.5" style="477"/>
    <col min="257" max="257" width="3.6640625" style="477" customWidth="1"/>
    <col min="258" max="258" width="26.6640625" style="477" customWidth="1"/>
    <col min="259" max="259" width="7.6640625" style="477" customWidth="1"/>
    <col min="260" max="260" width="5.1640625" style="477" customWidth="1"/>
    <col min="261" max="261" width="27.6640625" style="477" customWidth="1"/>
    <col min="262" max="262" width="14.5" style="477" customWidth="1"/>
    <col min="263" max="512" width="11.5" style="477"/>
    <col min="513" max="513" width="3.6640625" style="477" customWidth="1"/>
    <col min="514" max="514" width="26.6640625" style="477" customWidth="1"/>
    <col min="515" max="515" width="7.6640625" style="477" customWidth="1"/>
    <col min="516" max="516" width="5.1640625" style="477" customWidth="1"/>
    <col min="517" max="517" width="27.6640625" style="477" customWidth="1"/>
    <col min="518" max="518" width="14.5" style="477" customWidth="1"/>
    <col min="519" max="768" width="11.5" style="477"/>
    <col min="769" max="769" width="3.6640625" style="477" customWidth="1"/>
    <col min="770" max="770" width="26.6640625" style="477" customWidth="1"/>
    <col min="771" max="771" width="7.6640625" style="477" customWidth="1"/>
    <col min="772" max="772" width="5.1640625" style="477" customWidth="1"/>
    <col min="773" max="773" width="27.6640625" style="477" customWidth="1"/>
    <col min="774" max="774" width="14.5" style="477" customWidth="1"/>
    <col min="775" max="1024" width="11.5" style="477"/>
    <col min="1025" max="1025" width="3.6640625" style="477" customWidth="1"/>
    <col min="1026" max="1026" width="26.6640625" style="477" customWidth="1"/>
    <col min="1027" max="1027" width="7.6640625" style="477" customWidth="1"/>
    <col min="1028" max="1028" width="5.1640625" style="477" customWidth="1"/>
    <col min="1029" max="1029" width="27.6640625" style="477" customWidth="1"/>
    <col min="1030" max="1030" width="14.5" style="477" customWidth="1"/>
    <col min="1031" max="1280" width="11.5" style="477"/>
    <col min="1281" max="1281" width="3.6640625" style="477" customWidth="1"/>
    <col min="1282" max="1282" width="26.6640625" style="477" customWidth="1"/>
    <col min="1283" max="1283" width="7.6640625" style="477" customWidth="1"/>
    <col min="1284" max="1284" width="5.1640625" style="477" customWidth="1"/>
    <col min="1285" max="1285" width="27.6640625" style="477" customWidth="1"/>
    <col min="1286" max="1286" width="14.5" style="477" customWidth="1"/>
    <col min="1287" max="1536" width="11.5" style="477"/>
    <col min="1537" max="1537" width="3.6640625" style="477" customWidth="1"/>
    <col min="1538" max="1538" width="26.6640625" style="477" customWidth="1"/>
    <col min="1539" max="1539" width="7.6640625" style="477" customWidth="1"/>
    <col min="1540" max="1540" width="5.1640625" style="477" customWidth="1"/>
    <col min="1541" max="1541" width="27.6640625" style="477" customWidth="1"/>
    <col min="1542" max="1542" width="14.5" style="477" customWidth="1"/>
    <col min="1543" max="1792" width="11.5" style="477"/>
    <col min="1793" max="1793" width="3.6640625" style="477" customWidth="1"/>
    <col min="1794" max="1794" width="26.6640625" style="477" customWidth="1"/>
    <col min="1795" max="1795" width="7.6640625" style="477" customWidth="1"/>
    <col min="1796" max="1796" width="5.1640625" style="477" customWidth="1"/>
    <col min="1797" max="1797" width="27.6640625" style="477" customWidth="1"/>
    <col min="1798" max="1798" width="14.5" style="477" customWidth="1"/>
    <col min="1799" max="2048" width="11.5" style="477"/>
    <col min="2049" max="2049" width="3.6640625" style="477" customWidth="1"/>
    <col min="2050" max="2050" width="26.6640625" style="477" customWidth="1"/>
    <col min="2051" max="2051" width="7.6640625" style="477" customWidth="1"/>
    <col min="2052" max="2052" width="5.1640625" style="477" customWidth="1"/>
    <col min="2053" max="2053" width="27.6640625" style="477" customWidth="1"/>
    <col min="2054" max="2054" width="14.5" style="477" customWidth="1"/>
    <col min="2055" max="2304" width="11.5" style="477"/>
    <col min="2305" max="2305" width="3.6640625" style="477" customWidth="1"/>
    <col min="2306" max="2306" width="26.6640625" style="477" customWidth="1"/>
    <col min="2307" max="2307" width="7.6640625" style="477" customWidth="1"/>
    <col min="2308" max="2308" width="5.1640625" style="477" customWidth="1"/>
    <col min="2309" max="2309" width="27.6640625" style="477" customWidth="1"/>
    <col min="2310" max="2310" width="14.5" style="477" customWidth="1"/>
    <col min="2311" max="2560" width="11.5" style="477"/>
    <col min="2561" max="2561" width="3.6640625" style="477" customWidth="1"/>
    <col min="2562" max="2562" width="26.6640625" style="477" customWidth="1"/>
    <col min="2563" max="2563" width="7.6640625" style="477" customWidth="1"/>
    <col min="2564" max="2564" width="5.1640625" style="477" customWidth="1"/>
    <col min="2565" max="2565" width="27.6640625" style="477" customWidth="1"/>
    <col min="2566" max="2566" width="14.5" style="477" customWidth="1"/>
    <col min="2567" max="2816" width="11.5" style="477"/>
    <col min="2817" max="2817" width="3.6640625" style="477" customWidth="1"/>
    <col min="2818" max="2818" width="26.6640625" style="477" customWidth="1"/>
    <col min="2819" max="2819" width="7.6640625" style="477" customWidth="1"/>
    <col min="2820" max="2820" width="5.1640625" style="477" customWidth="1"/>
    <col min="2821" max="2821" width="27.6640625" style="477" customWidth="1"/>
    <col min="2822" max="2822" width="14.5" style="477" customWidth="1"/>
    <col min="2823" max="3072" width="11.5" style="477"/>
    <col min="3073" max="3073" width="3.6640625" style="477" customWidth="1"/>
    <col min="3074" max="3074" width="26.6640625" style="477" customWidth="1"/>
    <col min="3075" max="3075" width="7.6640625" style="477" customWidth="1"/>
    <col min="3076" max="3076" width="5.1640625" style="477" customWidth="1"/>
    <col min="3077" max="3077" width="27.6640625" style="477" customWidth="1"/>
    <col min="3078" max="3078" width="14.5" style="477" customWidth="1"/>
    <col min="3079" max="3328" width="11.5" style="477"/>
    <col min="3329" max="3329" width="3.6640625" style="477" customWidth="1"/>
    <col min="3330" max="3330" width="26.6640625" style="477" customWidth="1"/>
    <col min="3331" max="3331" width="7.6640625" style="477" customWidth="1"/>
    <col min="3332" max="3332" width="5.1640625" style="477" customWidth="1"/>
    <col min="3333" max="3333" width="27.6640625" style="477" customWidth="1"/>
    <col min="3334" max="3334" width="14.5" style="477" customWidth="1"/>
    <col min="3335" max="3584" width="11.5" style="477"/>
    <col min="3585" max="3585" width="3.6640625" style="477" customWidth="1"/>
    <col min="3586" max="3586" width="26.6640625" style="477" customWidth="1"/>
    <col min="3587" max="3587" width="7.6640625" style="477" customWidth="1"/>
    <col min="3588" max="3588" width="5.1640625" style="477" customWidth="1"/>
    <col min="3589" max="3589" width="27.6640625" style="477" customWidth="1"/>
    <col min="3590" max="3590" width="14.5" style="477" customWidth="1"/>
    <col min="3591" max="3840" width="11.5" style="477"/>
    <col min="3841" max="3841" width="3.6640625" style="477" customWidth="1"/>
    <col min="3842" max="3842" width="26.6640625" style="477" customWidth="1"/>
    <col min="3843" max="3843" width="7.6640625" style="477" customWidth="1"/>
    <col min="3844" max="3844" width="5.1640625" style="477" customWidth="1"/>
    <col min="3845" max="3845" width="27.6640625" style="477" customWidth="1"/>
    <col min="3846" max="3846" width="14.5" style="477" customWidth="1"/>
    <col min="3847" max="4096" width="11.5" style="477"/>
    <col min="4097" max="4097" width="3.6640625" style="477" customWidth="1"/>
    <col min="4098" max="4098" width="26.6640625" style="477" customWidth="1"/>
    <col min="4099" max="4099" width="7.6640625" style="477" customWidth="1"/>
    <col min="4100" max="4100" width="5.1640625" style="477" customWidth="1"/>
    <col min="4101" max="4101" width="27.6640625" style="477" customWidth="1"/>
    <col min="4102" max="4102" width="14.5" style="477" customWidth="1"/>
    <col min="4103" max="4352" width="11.5" style="477"/>
    <col min="4353" max="4353" width="3.6640625" style="477" customWidth="1"/>
    <col min="4354" max="4354" width="26.6640625" style="477" customWidth="1"/>
    <col min="4355" max="4355" width="7.6640625" style="477" customWidth="1"/>
    <col min="4356" max="4356" width="5.1640625" style="477" customWidth="1"/>
    <col min="4357" max="4357" width="27.6640625" style="477" customWidth="1"/>
    <col min="4358" max="4358" width="14.5" style="477" customWidth="1"/>
    <col min="4359" max="4608" width="11.5" style="477"/>
    <col min="4609" max="4609" width="3.6640625" style="477" customWidth="1"/>
    <col min="4610" max="4610" width="26.6640625" style="477" customWidth="1"/>
    <col min="4611" max="4611" width="7.6640625" style="477" customWidth="1"/>
    <col min="4612" max="4612" width="5.1640625" style="477" customWidth="1"/>
    <col min="4613" max="4613" width="27.6640625" style="477" customWidth="1"/>
    <col min="4614" max="4614" width="14.5" style="477" customWidth="1"/>
    <col min="4615" max="4864" width="11.5" style="477"/>
    <col min="4865" max="4865" width="3.6640625" style="477" customWidth="1"/>
    <col min="4866" max="4866" width="26.6640625" style="477" customWidth="1"/>
    <col min="4867" max="4867" width="7.6640625" style="477" customWidth="1"/>
    <col min="4868" max="4868" width="5.1640625" style="477" customWidth="1"/>
    <col min="4869" max="4869" width="27.6640625" style="477" customWidth="1"/>
    <col min="4870" max="4870" width="14.5" style="477" customWidth="1"/>
    <col min="4871" max="5120" width="11.5" style="477"/>
    <col min="5121" max="5121" width="3.6640625" style="477" customWidth="1"/>
    <col min="5122" max="5122" width="26.6640625" style="477" customWidth="1"/>
    <col min="5123" max="5123" width="7.6640625" style="477" customWidth="1"/>
    <col min="5124" max="5124" width="5.1640625" style="477" customWidth="1"/>
    <col min="5125" max="5125" width="27.6640625" style="477" customWidth="1"/>
    <col min="5126" max="5126" width="14.5" style="477" customWidth="1"/>
    <col min="5127" max="5376" width="11.5" style="477"/>
    <col min="5377" max="5377" width="3.6640625" style="477" customWidth="1"/>
    <col min="5378" max="5378" width="26.6640625" style="477" customWidth="1"/>
    <col min="5379" max="5379" width="7.6640625" style="477" customWidth="1"/>
    <col min="5380" max="5380" width="5.1640625" style="477" customWidth="1"/>
    <col min="5381" max="5381" width="27.6640625" style="477" customWidth="1"/>
    <col min="5382" max="5382" width="14.5" style="477" customWidth="1"/>
    <col min="5383" max="5632" width="11.5" style="477"/>
    <col min="5633" max="5633" width="3.6640625" style="477" customWidth="1"/>
    <col min="5634" max="5634" width="26.6640625" style="477" customWidth="1"/>
    <col min="5635" max="5635" width="7.6640625" style="477" customWidth="1"/>
    <col min="5636" max="5636" width="5.1640625" style="477" customWidth="1"/>
    <col min="5637" max="5637" width="27.6640625" style="477" customWidth="1"/>
    <col min="5638" max="5638" width="14.5" style="477" customWidth="1"/>
    <col min="5639" max="5888" width="11.5" style="477"/>
    <col min="5889" max="5889" width="3.6640625" style="477" customWidth="1"/>
    <col min="5890" max="5890" width="26.6640625" style="477" customWidth="1"/>
    <col min="5891" max="5891" width="7.6640625" style="477" customWidth="1"/>
    <col min="5892" max="5892" width="5.1640625" style="477" customWidth="1"/>
    <col min="5893" max="5893" width="27.6640625" style="477" customWidth="1"/>
    <col min="5894" max="5894" width="14.5" style="477" customWidth="1"/>
    <col min="5895" max="6144" width="11.5" style="477"/>
    <col min="6145" max="6145" width="3.6640625" style="477" customWidth="1"/>
    <col min="6146" max="6146" width="26.6640625" style="477" customWidth="1"/>
    <col min="6147" max="6147" width="7.6640625" style="477" customWidth="1"/>
    <col min="6148" max="6148" width="5.1640625" style="477" customWidth="1"/>
    <col min="6149" max="6149" width="27.6640625" style="477" customWidth="1"/>
    <col min="6150" max="6150" width="14.5" style="477" customWidth="1"/>
    <col min="6151" max="6400" width="11.5" style="477"/>
    <col min="6401" max="6401" width="3.6640625" style="477" customWidth="1"/>
    <col min="6402" max="6402" width="26.6640625" style="477" customWidth="1"/>
    <col min="6403" max="6403" width="7.6640625" style="477" customWidth="1"/>
    <col min="6404" max="6404" width="5.1640625" style="477" customWidth="1"/>
    <col min="6405" max="6405" width="27.6640625" style="477" customWidth="1"/>
    <col min="6406" max="6406" width="14.5" style="477" customWidth="1"/>
    <col min="6407" max="6656" width="11.5" style="477"/>
    <col min="6657" max="6657" width="3.6640625" style="477" customWidth="1"/>
    <col min="6658" max="6658" width="26.6640625" style="477" customWidth="1"/>
    <col min="6659" max="6659" width="7.6640625" style="477" customWidth="1"/>
    <col min="6660" max="6660" width="5.1640625" style="477" customWidth="1"/>
    <col min="6661" max="6661" width="27.6640625" style="477" customWidth="1"/>
    <col min="6662" max="6662" width="14.5" style="477" customWidth="1"/>
    <col min="6663" max="6912" width="11.5" style="477"/>
    <col min="6913" max="6913" width="3.6640625" style="477" customWidth="1"/>
    <col min="6914" max="6914" width="26.6640625" style="477" customWidth="1"/>
    <col min="6915" max="6915" width="7.6640625" style="477" customWidth="1"/>
    <col min="6916" max="6916" width="5.1640625" style="477" customWidth="1"/>
    <col min="6917" max="6917" width="27.6640625" style="477" customWidth="1"/>
    <col min="6918" max="6918" width="14.5" style="477" customWidth="1"/>
    <col min="6919" max="7168" width="11.5" style="477"/>
    <col min="7169" max="7169" width="3.6640625" style="477" customWidth="1"/>
    <col min="7170" max="7170" width="26.6640625" style="477" customWidth="1"/>
    <col min="7171" max="7171" width="7.6640625" style="477" customWidth="1"/>
    <col min="7172" max="7172" width="5.1640625" style="477" customWidth="1"/>
    <col min="7173" max="7173" width="27.6640625" style="477" customWidth="1"/>
    <col min="7174" max="7174" width="14.5" style="477" customWidth="1"/>
    <col min="7175" max="7424" width="11.5" style="477"/>
    <col min="7425" max="7425" width="3.6640625" style="477" customWidth="1"/>
    <col min="7426" max="7426" width="26.6640625" style="477" customWidth="1"/>
    <col min="7427" max="7427" width="7.6640625" style="477" customWidth="1"/>
    <col min="7428" max="7428" width="5.1640625" style="477" customWidth="1"/>
    <col min="7429" max="7429" width="27.6640625" style="477" customWidth="1"/>
    <col min="7430" max="7430" width="14.5" style="477" customWidth="1"/>
    <col min="7431" max="7680" width="11.5" style="477"/>
    <col min="7681" max="7681" width="3.6640625" style="477" customWidth="1"/>
    <col min="7682" max="7682" width="26.6640625" style="477" customWidth="1"/>
    <col min="7683" max="7683" width="7.6640625" style="477" customWidth="1"/>
    <col min="7684" max="7684" width="5.1640625" style="477" customWidth="1"/>
    <col min="7685" max="7685" width="27.6640625" style="477" customWidth="1"/>
    <col min="7686" max="7686" width="14.5" style="477" customWidth="1"/>
    <col min="7687" max="7936" width="11.5" style="477"/>
    <col min="7937" max="7937" width="3.6640625" style="477" customWidth="1"/>
    <col min="7938" max="7938" width="26.6640625" style="477" customWidth="1"/>
    <col min="7939" max="7939" width="7.6640625" style="477" customWidth="1"/>
    <col min="7940" max="7940" width="5.1640625" style="477" customWidth="1"/>
    <col min="7941" max="7941" width="27.6640625" style="477" customWidth="1"/>
    <col min="7942" max="7942" width="14.5" style="477" customWidth="1"/>
    <col min="7943" max="8192" width="11.5" style="477"/>
    <col min="8193" max="8193" width="3.6640625" style="477" customWidth="1"/>
    <col min="8194" max="8194" width="26.6640625" style="477" customWidth="1"/>
    <col min="8195" max="8195" width="7.6640625" style="477" customWidth="1"/>
    <col min="8196" max="8196" width="5.1640625" style="477" customWidth="1"/>
    <col min="8197" max="8197" width="27.6640625" style="477" customWidth="1"/>
    <col min="8198" max="8198" width="14.5" style="477" customWidth="1"/>
    <col min="8199" max="8448" width="11.5" style="477"/>
    <col min="8449" max="8449" width="3.6640625" style="477" customWidth="1"/>
    <col min="8450" max="8450" width="26.6640625" style="477" customWidth="1"/>
    <col min="8451" max="8451" width="7.6640625" style="477" customWidth="1"/>
    <col min="8452" max="8452" width="5.1640625" style="477" customWidth="1"/>
    <col min="8453" max="8453" width="27.6640625" style="477" customWidth="1"/>
    <col min="8454" max="8454" width="14.5" style="477" customWidth="1"/>
    <col min="8455" max="8704" width="11.5" style="477"/>
    <col min="8705" max="8705" width="3.6640625" style="477" customWidth="1"/>
    <col min="8706" max="8706" width="26.6640625" style="477" customWidth="1"/>
    <col min="8707" max="8707" width="7.6640625" style="477" customWidth="1"/>
    <col min="8708" max="8708" width="5.1640625" style="477" customWidth="1"/>
    <col min="8709" max="8709" width="27.6640625" style="477" customWidth="1"/>
    <col min="8710" max="8710" width="14.5" style="477" customWidth="1"/>
    <col min="8711" max="8960" width="11.5" style="477"/>
    <col min="8961" max="8961" width="3.6640625" style="477" customWidth="1"/>
    <col min="8962" max="8962" width="26.6640625" style="477" customWidth="1"/>
    <col min="8963" max="8963" width="7.6640625" style="477" customWidth="1"/>
    <col min="8964" max="8964" width="5.1640625" style="477" customWidth="1"/>
    <col min="8965" max="8965" width="27.6640625" style="477" customWidth="1"/>
    <col min="8966" max="8966" width="14.5" style="477" customWidth="1"/>
    <col min="8967" max="9216" width="11.5" style="477"/>
    <col min="9217" max="9217" width="3.6640625" style="477" customWidth="1"/>
    <col min="9218" max="9218" width="26.6640625" style="477" customWidth="1"/>
    <col min="9219" max="9219" width="7.6640625" style="477" customWidth="1"/>
    <col min="9220" max="9220" width="5.1640625" style="477" customWidth="1"/>
    <col min="9221" max="9221" width="27.6640625" style="477" customWidth="1"/>
    <col min="9222" max="9222" width="14.5" style="477" customWidth="1"/>
    <col min="9223" max="9472" width="11.5" style="477"/>
    <col min="9473" max="9473" width="3.6640625" style="477" customWidth="1"/>
    <col min="9474" max="9474" width="26.6640625" style="477" customWidth="1"/>
    <col min="9475" max="9475" width="7.6640625" style="477" customWidth="1"/>
    <col min="9476" max="9476" width="5.1640625" style="477" customWidth="1"/>
    <col min="9477" max="9477" width="27.6640625" style="477" customWidth="1"/>
    <col min="9478" max="9478" width="14.5" style="477" customWidth="1"/>
    <col min="9479" max="9728" width="11.5" style="477"/>
    <col min="9729" max="9729" width="3.6640625" style="477" customWidth="1"/>
    <col min="9730" max="9730" width="26.6640625" style="477" customWidth="1"/>
    <col min="9731" max="9731" width="7.6640625" style="477" customWidth="1"/>
    <col min="9732" max="9732" width="5.1640625" style="477" customWidth="1"/>
    <col min="9733" max="9733" width="27.6640625" style="477" customWidth="1"/>
    <col min="9734" max="9734" width="14.5" style="477" customWidth="1"/>
    <col min="9735" max="9984" width="11.5" style="477"/>
    <col min="9985" max="9985" width="3.6640625" style="477" customWidth="1"/>
    <col min="9986" max="9986" width="26.6640625" style="477" customWidth="1"/>
    <col min="9987" max="9987" width="7.6640625" style="477" customWidth="1"/>
    <col min="9988" max="9988" width="5.1640625" style="477" customWidth="1"/>
    <col min="9989" max="9989" width="27.6640625" style="477" customWidth="1"/>
    <col min="9990" max="9990" width="14.5" style="477" customWidth="1"/>
    <col min="9991" max="10240" width="11.5" style="477"/>
    <col min="10241" max="10241" width="3.6640625" style="477" customWidth="1"/>
    <col min="10242" max="10242" width="26.6640625" style="477" customWidth="1"/>
    <col min="10243" max="10243" width="7.6640625" style="477" customWidth="1"/>
    <col min="10244" max="10244" width="5.1640625" style="477" customWidth="1"/>
    <col min="10245" max="10245" width="27.6640625" style="477" customWidth="1"/>
    <col min="10246" max="10246" width="14.5" style="477" customWidth="1"/>
    <col min="10247" max="10496" width="11.5" style="477"/>
    <col min="10497" max="10497" width="3.6640625" style="477" customWidth="1"/>
    <col min="10498" max="10498" width="26.6640625" style="477" customWidth="1"/>
    <col min="10499" max="10499" width="7.6640625" style="477" customWidth="1"/>
    <col min="10500" max="10500" width="5.1640625" style="477" customWidth="1"/>
    <col min="10501" max="10501" width="27.6640625" style="477" customWidth="1"/>
    <col min="10502" max="10502" width="14.5" style="477" customWidth="1"/>
    <col min="10503" max="10752" width="11.5" style="477"/>
    <col min="10753" max="10753" width="3.6640625" style="477" customWidth="1"/>
    <col min="10754" max="10754" width="26.6640625" style="477" customWidth="1"/>
    <col min="10755" max="10755" width="7.6640625" style="477" customWidth="1"/>
    <col min="10756" max="10756" width="5.1640625" style="477" customWidth="1"/>
    <col min="10757" max="10757" width="27.6640625" style="477" customWidth="1"/>
    <col min="10758" max="10758" width="14.5" style="477" customWidth="1"/>
    <col min="10759" max="11008" width="11.5" style="477"/>
    <col min="11009" max="11009" width="3.6640625" style="477" customWidth="1"/>
    <col min="11010" max="11010" width="26.6640625" style="477" customWidth="1"/>
    <col min="11011" max="11011" width="7.6640625" style="477" customWidth="1"/>
    <col min="11012" max="11012" width="5.1640625" style="477" customWidth="1"/>
    <col min="11013" max="11013" width="27.6640625" style="477" customWidth="1"/>
    <col min="11014" max="11014" width="14.5" style="477" customWidth="1"/>
    <col min="11015" max="11264" width="11.5" style="477"/>
    <col min="11265" max="11265" width="3.6640625" style="477" customWidth="1"/>
    <col min="11266" max="11266" width="26.6640625" style="477" customWidth="1"/>
    <col min="11267" max="11267" width="7.6640625" style="477" customWidth="1"/>
    <col min="11268" max="11268" width="5.1640625" style="477" customWidth="1"/>
    <col min="11269" max="11269" width="27.6640625" style="477" customWidth="1"/>
    <col min="11270" max="11270" width="14.5" style="477" customWidth="1"/>
    <col min="11271" max="11520" width="11.5" style="477"/>
    <col min="11521" max="11521" width="3.6640625" style="477" customWidth="1"/>
    <col min="11522" max="11522" width="26.6640625" style="477" customWidth="1"/>
    <col min="11523" max="11523" width="7.6640625" style="477" customWidth="1"/>
    <col min="11524" max="11524" width="5.1640625" style="477" customWidth="1"/>
    <col min="11525" max="11525" width="27.6640625" style="477" customWidth="1"/>
    <col min="11526" max="11526" width="14.5" style="477" customWidth="1"/>
    <col min="11527" max="11776" width="11.5" style="477"/>
    <col min="11777" max="11777" width="3.6640625" style="477" customWidth="1"/>
    <col min="11778" max="11778" width="26.6640625" style="477" customWidth="1"/>
    <col min="11779" max="11779" width="7.6640625" style="477" customWidth="1"/>
    <col min="11780" max="11780" width="5.1640625" style="477" customWidth="1"/>
    <col min="11781" max="11781" width="27.6640625" style="477" customWidth="1"/>
    <col min="11782" max="11782" width="14.5" style="477" customWidth="1"/>
    <col min="11783" max="12032" width="11.5" style="477"/>
    <col min="12033" max="12033" width="3.6640625" style="477" customWidth="1"/>
    <col min="12034" max="12034" width="26.6640625" style="477" customWidth="1"/>
    <col min="12035" max="12035" width="7.6640625" style="477" customWidth="1"/>
    <col min="12036" max="12036" width="5.1640625" style="477" customWidth="1"/>
    <col min="12037" max="12037" width="27.6640625" style="477" customWidth="1"/>
    <col min="12038" max="12038" width="14.5" style="477" customWidth="1"/>
    <col min="12039" max="12288" width="11.5" style="477"/>
    <col min="12289" max="12289" width="3.6640625" style="477" customWidth="1"/>
    <col min="12290" max="12290" width="26.6640625" style="477" customWidth="1"/>
    <col min="12291" max="12291" width="7.6640625" style="477" customWidth="1"/>
    <col min="12292" max="12292" width="5.1640625" style="477" customWidth="1"/>
    <col min="12293" max="12293" width="27.6640625" style="477" customWidth="1"/>
    <col min="12294" max="12294" width="14.5" style="477" customWidth="1"/>
    <col min="12295" max="12544" width="11.5" style="477"/>
    <col min="12545" max="12545" width="3.6640625" style="477" customWidth="1"/>
    <col min="12546" max="12546" width="26.6640625" style="477" customWidth="1"/>
    <col min="12547" max="12547" width="7.6640625" style="477" customWidth="1"/>
    <col min="12548" max="12548" width="5.1640625" style="477" customWidth="1"/>
    <col min="12549" max="12549" width="27.6640625" style="477" customWidth="1"/>
    <col min="12550" max="12550" width="14.5" style="477" customWidth="1"/>
    <col min="12551" max="12800" width="11.5" style="477"/>
    <col min="12801" max="12801" width="3.6640625" style="477" customWidth="1"/>
    <col min="12802" max="12802" width="26.6640625" style="477" customWidth="1"/>
    <col min="12803" max="12803" width="7.6640625" style="477" customWidth="1"/>
    <col min="12804" max="12804" width="5.1640625" style="477" customWidth="1"/>
    <col min="12805" max="12805" width="27.6640625" style="477" customWidth="1"/>
    <col min="12806" max="12806" width="14.5" style="477" customWidth="1"/>
    <col min="12807" max="13056" width="11.5" style="477"/>
    <col min="13057" max="13057" width="3.6640625" style="477" customWidth="1"/>
    <col min="13058" max="13058" width="26.6640625" style="477" customWidth="1"/>
    <col min="13059" max="13059" width="7.6640625" style="477" customWidth="1"/>
    <col min="13060" max="13060" width="5.1640625" style="477" customWidth="1"/>
    <col min="13061" max="13061" width="27.6640625" style="477" customWidth="1"/>
    <col min="13062" max="13062" width="14.5" style="477" customWidth="1"/>
    <col min="13063" max="13312" width="11.5" style="477"/>
    <col min="13313" max="13313" width="3.6640625" style="477" customWidth="1"/>
    <col min="13314" max="13314" width="26.6640625" style="477" customWidth="1"/>
    <col min="13315" max="13315" width="7.6640625" style="477" customWidth="1"/>
    <col min="13316" max="13316" width="5.1640625" style="477" customWidth="1"/>
    <col min="13317" max="13317" width="27.6640625" style="477" customWidth="1"/>
    <col min="13318" max="13318" width="14.5" style="477" customWidth="1"/>
    <col min="13319" max="13568" width="11.5" style="477"/>
    <col min="13569" max="13569" width="3.6640625" style="477" customWidth="1"/>
    <col min="13570" max="13570" width="26.6640625" style="477" customWidth="1"/>
    <col min="13571" max="13571" width="7.6640625" style="477" customWidth="1"/>
    <col min="13572" max="13572" width="5.1640625" style="477" customWidth="1"/>
    <col min="13573" max="13573" width="27.6640625" style="477" customWidth="1"/>
    <col min="13574" max="13574" width="14.5" style="477" customWidth="1"/>
    <col min="13575" max="13824" width="11.5" style="477"/>
    <col min="13825" max="13825" width="3.6640625" style="477" customWidth="1"/>
    <col min="13826" max="13826" width="26.6640625" style="477" customWidth="1"/>
    <col min="13827" max="13827" width="7.6640625" style="477" customWidth="1"/>
    <col min="13828" max="13828" width="5.1640625" style="477" customWidth="1"/>
    <col min="13829" max="13829" width="27.6640625" style="477" customWidth="1"/>
    <col min="13830" max="13830" width="14.5" style="477" customWidth="1"/>
    <col min="13831" max="14080" width="11.5" style="477"/>
    <col min="14081" max="14081" width="3.6640625" style="477" customWidth="1"/>
    <col min="14082" max="14082" width="26.6640625" style="477" customWidth="1"/>
    <col min="14083" max="14083" width="7.6640625" style="477" customWidth="1"/>
    <col min="14084" max="14084" width="5.1640625" style="477" customWidth="1"/>
    <col min="14085" max="14085" width="27.6640625" style="477" customWidth="1"/>
    <col min="14086" max="14086" width="14.5" style="477" customWidth="1"/>
    <col min="14087" max="14336" width="11.5" style="477"/>
    <col min="14337" max="14337" width="3.6640625" style="477" customWidth="1"/>
    <col min="14338" max="14338" width="26.6640625" style="477" customWidth="1"/>
    <col min="14339" max="14339" width="7.6640625" style="477" customWidth="1"/>
    <col min="14340" max="14340" width="5.1640625" style="477" customWidth="1"/>
    <col min="14341" max="14341" width="27.6640625" style="477" customWidth="1"/>
    <col min="14342" max="14342" width="14.5" style="477" customWidth="1"/>
    <col min="14343" max="14592" width="11.5" style="477"/>
    <col min="14593" max="14593" width="3.6640625" style="477" customWidth="1"/>
    <col min="14594" max="14594" width="26.6640625" style="477" customWidth="1"/>
    <col min="14595" max="14595" width="7.6640625" style="477" customWidth="1"/>
    <col min="14596" max="14596" width="5.1640625" style="477" customWidth="1"/>
    <col min="14597" max="14597" width="27.6640625" style="477" customWidth="1"/>
    <col min="14598" max="14598" width="14.5" style="477" customWidth="1"/>
    <col min="14599" max="14848" width="11.5" style="477"/>
    <col min="14849" max="14849" width="3.6640625" style="477" customWidth="1"/>
    <col min="14850" max="14850" width="26.6640625" style="477" customWidth="1"/>
    <col min="14851" max="14851" width="7.6640625" style="477" customWidth="1"/>
    <col min="14852" max="14852" width="5.1640625" style="477" customWidth="1"/>
    <col min="14853" max="14853" width="27.6640625" style="477" customWidth="1"/>
    <col min="14854" max="14854" width="14.5" style="477" customWidth="1"/>
    <col min="14855" max="15104" width="11.5" style="477"/>
    <col min="15105" max="15105" width="3.6640625" style="477" customWidth="1"/>
    <col min="15106" max="15106" width="26.6640625" style="477" customWidth="1"/>
    <col min="15107" max="15107" width="7.6640625" style="477" customWidth="1"/>
    <col min="15108" max="15108" width="5.1640625" style="477" customWidth="1"/>
    <col min="15109" max="15109" width="27.6640625" style="477" customWidth="1"/>
    <col min="15110" max="15110" width="14.5" style="477" customWidth="1"/>
    <col min="15111" max="15360" width="11.5" style="477"/>
    <col min="15361" max="15361" width="3.6640625" style="477" customWidth="1"/>
    <col min="15362" max="15362" width="26.6640625" style="477" customWidth="1"/>
    <col min="15363" max="15363" width="7.6640625" style="477" customWidth="1"/>
    <col min="15364" max="15364" width="5.1640625" style="477" customWidth="1"/>
    <col min="15365" max="15365" width="27.6640625" style="477" customWidth="1"/>
    <col min="15366" max="15366" width="14.5" style="477" customWidth="1"/>
    <col min="15367" max="15616" width="11.5" style="477"/>
    <col min="15617" max="15617" width="3.6640625" style="477" customWidth="1"/>
    <col min="15618" max="15618" width="26.6640625" style="477" customWidth="1"/>
    <col min="15619" max="15619" width="7.6640625" style="477" customWidth="1"/>
    <col min="15620" max="15620" width="5.1640625" style="477" customWidth="1"/>
    <col min="15621" max="15621" width="27.6640625" style="477" customWidth="1"/>
    <col min="15622" max="15622" width="14.5" style="477" customWidth="1"/>
    <col min="15623" max="15872" width="11.5" style="477"/>
    <col min="15873" max="15873" width="3.6640625" style="477" customWidth="1"/>
    <col min="15874" max="15874" width="26.6640625" style="477" customWidth="1"/>
    <col min="15875" max="15875" width="7.6640625" style="477" customWidth="1"/>
    <col min="15876" max="15876" width="5.1640625" style="477" customWidth="1"/>
    <col min="15877" max="15877" width="27.6640625" style="477" customWidth="1"/>
    <col min="15878" max="15878" width="14.5" style="477" customWidth="1"/>
    <col min="15879" max="16128" width="11.5" style="477"/>
    <col min="16129" max="16129" width="3.6640625" style="477" customWidth="1"/>
    <col min="16130" max="16130" width="26.6640625" style="477" customWidth="1"/>
    <col min="16131" max="16131" width="7.6640625" style="477" customWidth="1"/>
    <col min="16132" max="16132" width="5.1640625" style="477" customWidth="1"/>
    <col min="16133" max="16133" width="27.6640625" style="477" customWidth="1"/>
    <col min="16134" max="16134" width="14.5" style="477" customWidth="1"/>
    <col min="16135" max="16384" width="11.5" style="477"/>
  </cols>
  <sheetData>
    <row r="1" spans="1:12" s="475" customFormat="1" ht="15">
      <c r="A1" s="840" t="s">
        <v>766</v>
      </c>
      <c r="B1" s="840"/>
      <c r="C1" s="840"/>
      <c r="D1" s="840"/>
      <c r="E1" s="840"/>
      <c r="F1" s="840"/>
      <c r="G1" s="840"/>
      <c r="H1" s="840"/>
      <c r="I1" s="840"/>
    </row>
    <row r="2" spans="1:12" s="475" customFormat="1" ht="15">
      <c r="A2" s="866" t="s">
        <v>765</v>
      </c>
      <c r="B2" s="866"/>
      <c r="C2" s="866"/>
      <c r="D2" s="866"/>
      <c r="E2" s="866"/>
      <c r="F2" s="866"/>
      <c r="G2" s="866"/>
      <c r="H2" s="866"/>
      <c r="I2" s="866"/>
    </row>
    <row r="3" spans="1:12" s="1" customFormat="1" ht="27" customHeight="1">
      <c r="A3" s="791" t="s">
        <v>916</v>
      </c>
      <c r="B3" s="791"/>
      <c r="C3" s="791"/>
      <c r="D3" s="791"/>
      <c r="E3" s="791"/>
      <c r="F3" s="791"/>
    </row>
    <row r="4" spans="1:12" s="1" customFormat="1" ht="15" customHeight="1">
      <c r="A4" s="796" t="s">
        <v>665</v>
      </c>
      <c r="B4" s="796"/>
      <c r="C4" s="796"/>
      <c r="D4" s="796"/>
      <c r="E4" s="796"/>
      <c r="F4" s="796"/>
      <c r="G4" s="796"/>
    </row>
    <row r="5" spans="1:12" s="1" customFormat="1" ht="14">
      <c r="A5" s="16" t="s">
        <v>291</v>
      </c>
      <c r="B5" s="17"/>
      <c r="C5" s="17"/>
      <c r="D5" s="17"/>
      <c r="E5" s="17"/>
      <c r="F5" s="17"/>
    </row>
    <row r="6" spans="1:12" s="1" customFormat="1" ht="14">
      <c r="A6" s="16" t="s">
        <v>149</v>
      </c>
      <c r="B6" s="16"/>
      <c r="C6" s="18"/>
      <c r="D6" s="18"/>
      <c r="E6" s="18"/>
      <c r="F6" s="4"/>
    </row>
    <row r="7" spans="1:12" s="1" customFormat="1" ht="14">
      <c r="A7" s="16" t="s">
        <v>924</v>
      </c>
      <c r="B7" s="16"/>
      <c r="C7" s="19"/>
      <c r="D7" s="16"/>
      <c r="E7" s="16"/>
      <c r="F7" s="4"/>
    </row>
    <row r="8" spans="1:12" s="475" customFormat="1" ht="15">
      <c r="A8" s="476"/>
      <c r="B8" s="476"/>
      <c r="C8" s="476"/>
      <c r="D8" s="476"/>
      <c r="E8" s="476"/>
      <c r="F8" s="476"/>
      <c r="G8" s="476"/>
      <c r="H8" s="476"/>
      <c r="I8" s="476"/>
      <c r="J8" s="476"/>
      <c r="K8" s="476"/>
      <c r="L8" s="476"/>
    </row>
    <row r="9" spans="1:12" ht="32.25" customHeight="1">
      <c r="A9" s="684" t="s">
        <v>688</v>
      </c>
      <c r="B9" s="685" t="s">
        <v>304</v>
      </c>
      <c r="C9" s="685" t="s">
        <v>689</v>
      </c>
      <c r="D9" s="685" t="s">
        <v>690</v>
      </c>
      <c r="E9" s="685" t="s">
        <v>306</v>
      </c>
      <c r="F9" s="685" t="s">
        <v>307</v>
      </c>
      <c r="G9" s="685" t="s">
        <v>691</v>
      </c>
    </row>
    <row r="10" spans="1:12">
      <c r="A10" s="686">
        <v>1</v>
      </c>
      <c r="B10" s="687">
        <v>2</v>
      </c>
      <c r="C10" s="687">
        <v>3</v>
      </c>
      <c r="D10" s="687">
        <v>4</v>
      </c>
      <c r="E10" s="687">
        <v>5</v>
      </c>
      <c r="F10" s="687">
        <v>6</v>
      </c>
      <c r="G10" s="687">
        <v>7</v>
      </c>
    </row>
    <row r="11" spans="1:12" ht="13.25" customHeight="1">
      <c r="A11" s="688" t="s">
        <v>24</v>
      </c>
      <c r="B11" s="689" t="s">
        <v>692</v>
      </c>
      <c r="C11" s="689"/>
      <c r="D11" s="689"/>
      <c r="E11" s="689" t="s">
        <v>322</v>
      </c>
      <c r="F11" s="689"/>
      <c r="G11" s="690"/>
    </row>
    <row r="12" spans="1:12" ht="79.25" customHeight="1">
      <c r="A12" s="479" t="s">
        <v>18</v>
      </c>
      <c r="B12" s="480" t="s">
        <v>693</v>
      </c>
      <c r="C12" s="481" t="s">
        <v>694</v>
      </c>
      <c r="D12" s="481">
        <v>50</v>
      </c>
      <c r="E12" s="481" t="s">
        <v>695</v>
      </c>
      <c r="F12" s="481" t="s">
        <v>696</v>
      </c>
      <c r="G12" s="482">
        <f>(0.0096  * 50)</f>
        <v>0.48</v>
      </c>
    </row>
    <row r="13" spans="1:12" ht="79.25" customHeight="1">
      <c r="A13" s="483" t="s">
        <v>16</v>
      </c>
      <c r="B13" s="484" t="s">
        <v>697</v>
      </c>
      <c r="C13" s="485" t="s">
        <v>470</v>
      </c>
      <c r="D13" s="485">
        <v>20</v>
      </c>
      <c r="E13" s="485" t="s">
        <v>698</v>
      </c>
      <c r="F13" s="485" t="s">
        <v>699</v>
      </c>
      <c r="G13" s="486">
        <f>(0.107  * 20 * 1.21 * 1.1)</f>
        <v>2.8483400000000003</v>
      </c>
    </row>
    <row r="14" spans="1:12" ht="16.25" customHeight="1">
      <c r="A14" s="487" t="s">
        <v>700</v>
      </c>
      <c r="B14" s="488" t="s">
        <v>701</v>
      </c>
      <c r="C14" s="488"/>
      <c r="D14" s="488"/>
      <c r="E14" s="488"/>
      <c r="F14" s="488"/>
      <c r="G14" s="489"/>
    </row>
    <row r="15" spans="1:12" ht="66" customHeight="1">
      <c r="A15" s="490" t="s">
        <v>700</v>
      </c>
      <c r="B15" s="491" t="s">
        <v>702</v>
      </c>
      <c r="C15" s="491"/>
      <c r="D15" s="491"/>
      <c r="E15" s="491" t="s">
        <v>703</v>
      </c>
      <c r="F15" s="491"/>
      <c r="G15" s="492"/>
    </row>
    <row r="16" spans="1:12" ht="119" customHeight="1">
      <c r="A16" s="493" t="s">
        <v>700</v>
      </c>
      <c r="B16" s="494" t="s">
        <v>704</v>
      </c>
      <c r="C16" s="494"/>
      <c r="D16" s="494"/>
      <c r="E16" s="494" t="s">
        <v>705</v>
      </c>
      <c r="F16" s="494"/>
      <c r="G16" s="495"/>
    </row>
    <row r="17" spans="1:7" ht="66" customHeight="1">
      <c r="A17" s="496" t="s">
        <v>27</v>
      </c>
      <c r="B17" s="497" t="s">
        <v>706</v>
      </c>
      <c r="C17" s="498" t="s">
        <v>707</v>
      </c>
      <c r="D17" s="498">
        <v>3</v>
      </c>
      <c r="E17" s="498" t="s">
        <v>708</v>
      </c>
      <c r="F17" s="498" t="s">
        <v>709</v>
      </c>
      <c r="G17" s="499">
        <f>(0.05  * 3 * 1.1 * 1.5)</f>
        <v>0.24750000000000005</v>
      </c>
    </row>
    <row r="18" spans="1:7" ht="16.25" customHeight="1">
      <c r="A18" s="487" t="s">
        <v>700</v>
      </c>
      <c r="B18" s="488" t="s">
        <v>701</v>
      </c>
      <c r="C18" s="488"/>
      <c r="D18" s="488"/>
      <c r="E18" s="488"/>
      <c r="F18" s="488"/>
      <c r="G18" s="489"/>
    </row>
    <row r="19" spans="1:7" ht="119" customHeight="1">
      <c r="A19" s="490" t="s">
        <v>700</v>
      </c>
      <c r="B19" s="491" t="s">
        <v>704</v>
      </c>
      <c r="C19" s="491"/>
      <c r="D19" s="491"/>
      <c r="E19" s="491" t="s">
        <v>710</v>
      </c>
      <c r="F19" s="491"/>
      <c r="G19" s="492"/>
    </row>
    <row r="20" spans="1:7" ht="53" customHeight="1">
      <c r="A20" s="493" t="s">
        <v>700</v>
      </c>
      <c r="B20" s="494" t="s">
        <v>711</v>
      </c>
      <c r="C20" s="494"/>
      <c r="D20" s="494"/>
      <c r="E20" s="494" t="s">
        <v>712</v>
      </c>
      <c r="F20" s="494"/>
      <c r="G20" s="495"/>
    </row>
    <row r="21" spans="1:7" ht="92.5" customHeight="1">
      <c r="A21" s="496" t="s">
        <v>17</v>
      </c>
      <c r="B21" s="497" t="s">
        <v>713</v>
      </c>
      <c r="C21" s="498" t="s">
        <v>714</v>
      </c>
      <c r="D21" s="498">
        <v>216</v>
      </c>
      <c r="E21" s="498" t="s">
        <v>715</v>
      </c>
      <c r="F21" s="498" t="s">
        <v>716</v>
      </c>
      <c r="G21" s="499">
        <f>(0.015  * 216 * 1.1 * 1.21)</f>
        <v>4.3124399999999996</v>
      </c>
    </row>
    <row r="22" spans="1:7" ht="16.25" customHeight="1">
      <c r="A22" s="487" t="s">
        <v>700</v>
      </c>
      <c r="B22" s="488" t="s">
        <v>701</v>
      </c>
      <c r="C22" s="488"/>
      <c r="D22" s="488"/>
      <c r="E22" s="488"/>
      <c r="F22" s="488"/>
      <c r="G22" s="489"/>
    </row>
    <row r="23" spans="1:7" ht="119" customHeight="1">
      <c r="A23" s="490" t="s">
        <v>700</v>
      </c>
      <c r="B23" s="491" t="s">
        <v>704</v>
      </c>
      <c r="C23" s="491"/>
      <c r="D23" s="491"/>
      <c r="E23" s="491" t="s">
        <v>710</v>
      </c>
      <c r="F23" s="491"/>
      <c r="G23" s="492"/>
    </row>
    <row r="24" spans="1:7" ht="39.5" customHeight="1">
      <c r="A24" s="493" t="s">
        <v>700</v>
      </c>
      <c r="B24" s="494" t="s">
        <v>717</v>
      </c>
      <c r="C24" s="494"/>
      <c r="D24" s="494"/>
      <c r="E24" s="494" t="s">
        <v>718</v>
      </c>
      <c r="F24" s="494"/>
      <c r="G24" s="495"/>
    </row>
    <row r="25" spans="1:7" ht="26.5" customHeight="1">
      <c r="A25" s="493" t="s">
        <v>719</v>
      </c>
      <c r="B25" s="500" t="s">
        <v>720</v>
      </c>
      <c r="C25" s="500"/>
      <c r="D25" s="500"/>
      <c r="E25" s="500"/>
      <c r="F25" s="500" t="s">
        <v>721</v>
      </c>
      <c r="G25" s="501">
        <f>(($G$12 + $G$13 + $G$17 + $G$21))</f>
        <v>7.88828</v>
      </c>
    </row>
    <row r="26" spans="1:7" ht="13.25" customHeight="1">
      <c r="A26" s="688" t="s">
        <v>32</v>
      </c>
      <c r="B26" s="689" t="s">
        <v>692</v>
      </c>
      <c r="C26" s="689"/>
      <c r="D26" s="689"/>
      <c r="E26" s="689" t="s">
        <v>385</v>
      </c>
      <c r="F26" s="689"/>
      <c r="G26" s="690"/>
    </row>
    <row r="27" spans="1:7" ht="92.5" customHeight="1">
      <c r="A27" s="483" t="s">
        <v>14</v>
      </c>
      <c r="B27" s="484" t="s">
        <v>722</v>
      </c>
      <c r="C27" s="485" t="s">
        <v>723</v>
      </c>
      <c r="D27" s="485">
        <v>15</v>
      </c>
      <c r="E27" s="485" t="s">
        <v>724</v>
      </c>
      <c r="F27" s="485" t="s">
        <v>725</v>
      </c>
      <c r="G27" s="486">
        <f>(0.023  * 15 * 1.21)</f>
        <v>0.41744999999999993</v>
      </c>
    </row>
    <row r="28" spans="1:7" ht="16.25" customHeight="1">
      <c r="A28" s="487" t="s">
        <v>700</v>
      </c>
      <c r="B28" s="488" t="s">
        <v>701</v>
      </c>
      <c r="C28" s="488"/>
      <c r="D28" s="488"/>
      <c r="E28" s="488"/>
      <c r="F28" s="488"/>
      <c r="G28" s="489"/>
    </row>
    <row r="29" spans="1:7" ht="39.5" customHeight="1">
      <c r="A29" s="493" t="s">
        <v>700</v>
      </c>
      <c r="B29" s="494" t="s">
        <v>717</v>
      </c>
      <c r="C29" s="494"/>
      <c r="D29" s="494"/>
      <c r="E29" s="494" t="s">
        <v>726</v>
      </c>
      <c r="F29" s="494"/>
      <c r="G29" s="495"/>
    </row>
    <row r="30" spans="1:7" ht="92.5" customHeight="1">
      <c r="A30" s="496" t="s">
        <v>15</v>
      </c>
      <c r="B30" s="497" t="s">
        <v>727</v>
      </c>
      <c r="C30" s="498" t="s">
        <v>728</v>
      </c>
      <c r="D30" s="498">
        <v>34</v>
      </c>
      <c r="E30" s="498" t="s">
        <v>729</v>
      </c>
      <c r="F30" s="498" t="s">
        <v>730</v>
      </c>
      <c r="G30" s="499">
        <f>(0.013  * 34 * 1.21)</f>
        <v>0.53481999999999996</v>
      </c>
    </row>
    <row r="31" spans="1:7" ht="16.25" customHeight="1">
      <c r="A31" s="487" t="s">
        <v>700</v>
      </c>
      <c r="B31" s="488" t="s">
        <v>701</v>
      </c>
      <c r="C31" s="488"/>
      <c r="D31" s="488"/>
      <c r="E31" s="488"/>
      <c r="F31" s="488"/>
      <c r="G31" s="489"/>
    </row>
    <row r="32" spans="1:7" ht="39.5" customHeight="1">
      <c r="A32" s="493" t="s">
        <v>700</v>
      </c>
      <c r="B32" s="494" t="s">
        <v>717</v>
      </c>
      <c r="C32" s="494"/>
      <c r="D32" s="494"/>
      <c r="E32" s="494" t="s">
        <v>726</v>
      </c>
      <c r="F32" s="494"/>
      <c r="G32" s="495"/>
    </row>
    <row r="33" spans="1:7" ht="92.5" customHeight="1">
      <c r="A33" s="493" t="s">
        <v>731</v>
      </c>
      <c r="B33" s="494" t="s">
        <v>732</v>
      </c>
      <c r="C33" s="494"/>
      <c r="D33" s="494"/>
      <c r="E33" s="494" t="s">
        <v>733</v>
      </c>
      <c r="F33" s="494" t="s">
        <v>734</v>
      </c>
      <c r="G33" s="503">
        <v>1.095</v>
      </c>
    </row>
    <row r="34" spans="1:7" ht="79.25" customHeight="1">
      <c r="A34" s="479" t="s">
        <v>735</v>
      </c>
      <c r="B34" s="480" t="s">
        <v>736</v>
      </c>
      <c r="C34" s="481" t="s">
        <v>737</v>
      </c>
      <c r="D34" s="481">
        <v>1</v>
      </c>
      <c r="E34" s="481" t="s">
        <v>738</v>
      </c>
      <c r="F34" s="481" t="s">
        <v>739</v>
      </c>
      <c r="G34" s="482">
        <f>(0.4  * 1)</f>
        <v>0.4</v>
      </c>
    </row>
    <row r="35" spans="1:7" ht="13.25" customHeight="1">
      <c r="A35" s="479" t="s">
        <v>740</v>
      </c>
      <c r="B35" s="480" t="s">
        <v>741</v>
      </c>
      <c r="C35" s="480"/>
      <c r="D35" s="480"/>
      <c r="E35" s="480"/>
      <c r="F35" s="480"/>
      <c r="G35" s="502">
        <f>((SUM($G$27:$G$34)))</f>
        <v>2.4472700000000001</v>
      </c>
    </row>
    <row r="36" spans="1:7" ht="105.5" customHeight="1">
      <c r="A36" s="479" t="s">
        <v>742</v>
      </c>
      <c r="B36" s="481" t="s">
        <v>743</v>
      </c>
      <c r="C36" s="481"/>
      <c r="D36" s="481"/>
      <c r="E36" s="481" t="s">
        <v>744</v>
      </c>
      <c r="F36" s="481" t="s">
        <v>745</v>
      </c>
      <c r="G36" s="482">
        <f>(($G$35) * 0.57 * 1)</f>
        <v>1.3949438999999999</v>
      </c>
    </row>
    <row r="37" spans="1:7" ht="39.5" customHeight="1">
      <c r="A37" s="479" t="s">
        <v>746</v>
      </c>
      <c r="B37" s="481" t="s">
        <v>747</v>
      </c>
      <c r="C37" s="481"/>
      <c r="D37" s="481"/>
      <c r="E37" s="481" t="s">
        <v>748</v>
      </c>
      <c r="F37" s="481" t="s">
        <v>749</v>
      </c>
      <c r="G37" s="482">
        <f>(($G$35) * 0.15 * 1)</f>
        <v>0.36709049999999999</v>
      </c>
    </row>
    <row r="38" spans="1:7" ht="26.5" customHeight="1">
      <c r="A38" s="479" t="s">
        <v>750</v>
      </c>
      <c r="B38" s="480" t="s">
        <v>720</v>
      </c>
      <c r="C38" s="480"/>
      <c r="D38" s="480"/>
      <c r="E38" s="480"/>
      <c r="F38" s="480" t="s">
        <v>751</v>
      </c>
      <c r="G38" s="502">
        <f>((SUM($G$35:$G$37)))</f>
        <v>4.2093043999999997</v>
      </c>
    </row>
    <row r="39" spans="1:7" ht="13.25" customHeight="1">
      <c r="A39" s="688" t="s">
        <v>40</v>
      </c>
      <c r="B39" s="689" t="s">
        <v>692</v>
      </c>
      <c r="C39" s="689"/>
      <c r="D39" s="689"/>
      <c r="E39" s="689" t="s">
        <v>439</v>
      </c>
      <c r="F39" s="689"/>
      <c r="G39" s="690"/>
    </row>
    <row r="40" spans="1:7" ht="79.25" customHeight="1">
      <c r="A40" s="479" t="s">
        <v>42</v>
      </c>
      <c r="B40" s="481" t="s">
        <v>752</v>
      </c>
      <c r="C40" s="481"/>
      <c r="D40" s="481"/>
      <c r="E40" s="481" t="s">
        <v>753</v>
      </c>
      <c r="F40" s="481" t="s">
        <v>754</v>
      </c>
      <c r="G40" s="482">
        <f>(($G$25) * 10 / 100 * 1)</f>
        <v>0.78882800000000008</v>
      </c>
    </row>
    <row r="41" spans="1:7" ht="79.25" customHeight="1">
      <c r="A41" s="479" t="s">
        <v>46</v>
      </c>
      <c r="B41" s="481" t="s">
        <v>755</v>
      </c>
      <c r="C41" s="481"/>
      <c r="D41" s="481"/>
      <c r="E41" s="481" t="s">
        <v>756</v>
      </c>
      <c r="F41" s="481" t="s">
        <v>757</v>
      </c>
      <c r="G41" s="482">
        <f>(($G$25) * 1.5 * 1 * 6 / 100 * 1)</f>
        <v>0.70994519999999994</v>
      </c>
    </row>
    <row r="42" spans="1:7" ht="79.25" customHeight="1">
      <c r="A42" s="479" t="s">
        <v>50</v>
      </c>
      <c r="B42" s="481" t="s">
        <v>758</v>
      </c>
      <c r="C42" s="481"/>
      <c r="D42" s="481"/>
      <c r="E42" s="481" t="s">
        <v>744</v>
      </c>
      <c r="F42" s="481" t="s">
        <v>759</v>
      </c>
      <c r="G42" s="482">
        <f>(($G$25 +SUM( $G$40:$G$41)) * 0.52 * 1)</f>
        <v>4.8812676640000001</v>
      </c>
    </row>
    <row r="43" spans="1:7" ht="39.5" customHeight="1">
      <c r="A43" s="479" t="s">
        <v>760</v>
      </c>
      <c r="B43" s="481" t="s">
        <v>747</v>
      </c>
      <c r="C43" s="481"/>
      <c r="D43" s="481"/>
      <c r="E43" s="481" t="s">
        <v>761</v>
      </c>
      <c r="F43" s="481" t="s">
        <v>749</v>
      </c>
      <c r="G43" s="482">
        <f>(($G$35) * 0.15 * 1)</f>
        <v>0.36709049999999999</v>
      </c>
    </row>
    <row r="44" spans="1:7" ht="26.5" customHeight="1">
      <c r="A44" s="479" t="s">
        <v>762</v>
      </c>
      <c r="B44" s="480" t="s">
        <v>720</v>
      </c>
      <c r="C44" s="480"/>
      <c r="D44" s="480"/>
      <c r="E44" s="480"/>
      <c r="F44" s="480" t="s">
        <v>763</v>
      </c>
      <c r="G44" s="502">
        <f>((SUM($G$40:$G$43)))</f>
        <v>6.7471313639999995</v>
      </c>
    </row>
    <row r="45" spans="1:7" ht="13.25" customHeight="1">
      <c r="A45" s="479" t="s">
        <v>64</v>
      </c>
      <c r="B45" s="480" t="s">
        <v>764</v>
      </c>
      <c r="C45" s="480"/>
      <c r="D45" s="480"/>
      <c r="E45" s="480"/>
      <c r="F45" s="480"/>
      <c r="G45" s="502">
        <f>ROUND((SUM($G$25:$G$25 )+ $G$38 + $G$44),3)</f>
        <v>18.844999999999999</v>
      </c>
    </row>
    <row r="46" spans="1:7" ht="27.75" customHeight="1">
      <c r="A46" s="479" t="s">
        <v>76</v>
      </c>
      <c r="B46" s="879" t="s">
        <v>416</v>
      </c>
      <c r="C46" s="880"/>
      <c r="D46" s="880"/>
      <c r="E46" s="881"/>
      <c r="F46" s="481">
        <v>11.37</v>
      </c>
      <c r="G46" s="502">
        <f>G45*11.37</f>
        <v>214.26764999999997</v>
      </c>
    </row>
    <row r="47" spans="1:7" ht="13.25" customHeight="1"/>
  </sheetData>
  <mergeCells count="5">
    <mergeCell ref="A4:G4"/>
    <mergeCell ref="B46:E46"/>
    <mergeCell ref="A1:I1"/>
    <mergeCell ref="A2:I2"/>
    <mergeCell ref="A3:F3"/>
  </mergeCells>
  <pageMargins left="0.39374999999999999" right="0.39374999999999999" top="0.59027777777777779" bottom="0.82777777777777783" header="0.51180555555555562" footer="0.59027777777777779"/>
  <pageSetup paperSize="9" scale="96" orientation="portrait" useFirstPageNumber="1" horizontalDpi="300" verticalDpi="300" r:id="rId1"/>
  <headerFooter alignWithMargins="0">
    <oddFooter>&amp;CСтраница &amp;P</oddFooter>
  </headerFooter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138"/>
  <sheetViews>
    <sheetView view="pageBreakPreview" zoomScaleNormal="85" zoomScaleSheetLayoutView="100" workbookViewId="0">
      <selection activeCell="A8" sqref="A8"/>
    </sheetView>
  </sheetViews>
  <sheetFormatPr baseColWidth="10" defaultColWidth="8.83203125" defaultRowHeight="13"/>
  <cols>
    <col min="1" max="1" width="5" style="553" customWidth="1"/>
    <col min="2" max="2" width="41.6640625" style="554" customWidth="1"/>
    <col min="3" max="3" width="16.5" style="508" customWidth="1"/>
    <col min="4" max="4" width="11" style="508" customWidth="1"/>
    <col min="5" max="5" width="24.5" style="508" customWidth="1"/>
    <col min="6" max="6" width="17.83203125" style="509" bestFit="1" customWidth="1"/>
    <col min="7" max="7" width="9.5" style="508" customWidth="1"/>
    <col min="8" max="8" width="19.5" style="508" customWidth="1"/>
    <col min="9" max="9" width="17.5" style="508" customWidth="1"/>
    <col min="10" max="255" width="9.1640625" style="508"/>
    <col min="256" max="256" width="5" style="508" customWidth="1"/>
    <col min="257" max="257" width="50.6640625" style="508" customWidth="1"/>
    <col min="258" max="258" width="25.33203125" style="508" customWidth="1"/>
    <col min="259" max="259" width="11" style="508" customWidth="1"/>
    <col min="260" max="260" width="24.5" style="508" customWidth="1"/>
    <col min="261" max="261" width="20" style="508" customWidth="1"/>
    <col min="262" max="262" width="17.83203125" style="508" bestFit="1" customWidth="1"/>
    <col min="263" max="263" width="9.5" style="508" customWidth="1"/>
    <col min="264" max="264" width="9.5" style="508" bestFit="1" customWidth="1"/>
    <col min="265" max="265" width="5.83203125" style="508" customWidth="1"/>
    <col min="266" max="511" width="9.1640625" style="508"/>
    <col min="512" max="512" width="5" style="508" customWidth="1"/>
    <col min="513" max="513" width="50.6640625" style="508" customWidth="1"/>
    <col min="514" max="514" width="25.33203125" style="508" customWidth="1"/>
    <col min="515" max="515" width="11" style="508" customWidth="1"/>
    <col min="516" max="516" width="24.5" style="508" customWidth="1"/>
    <col min="517" max="517" width="20" style="508" customWidth="1"/>
    <col min="518" max="518" width="17.83203125" style="508" bestFit="1" customWidth="1"/>
    <col min="519" max="519" width="9.5" style="508" customWidth="1"/>
    <col min="520" max="520" width="9.5" style="508" bestFit="1" customWidth="1"/>
    <col min="521" max="521" width="5.83203125" style="508" customWidth="1"/>
    <col min="522" max="767" width="9.1640625" style="508"/>
    <col min="768" max="768" width="5" style="508" customWidth="1"/>
    <col min="769" max="769" width="50.6640625" style="508" customWidth="1"/>
    <col min="770" max="770" width="25.33203125" style="508" customWidth="1"/>
    <col min="771" max="771" width="11" style="508" customWidth="1"/>
    <col min="772" max="772" width="24.5" style="508" customWidth="1"/>
    <col min="773" max="773" width="20" style="508" customWidth="1"/>
    <col min="774" max="774" width="17.83203125" style="508" bestFit="1" customWidth="1"/>
    <col min="775" max="775" width="9.5" style="508" customWidth="1"/>
    <col min="776" max="776" width="9.5" style="508" bestFit="1" customWidth="1"/>
    <col min="777" max="777" width="5.83203125" style="508" customWidth="1"/>
    <col min="778" max="1023" width="9.1640625" style="508"/>
    <col min="1024" max="1024" width="5" style="508" customWidth="1"/>
    <col min="1025" max="1025" width="50.6640625" style="508" customWidth="1"/>
    <col min="1026" max="1026" width="25.33203125" style="508" customWidth="1"/>
    <col min="1027" max="1027" width="11" style="508" customWidth="1"/>
    <col min="1028" max="1028" width="24.5" style="508" customWidth="1"/>
    <col min="1029" max="1029" width="20" style="508" customWidth="1"/>
    <col min="1030" max="1030" width="17.83203125" style="508" bestFit="1" customWidth="1"/>
    <col min="1031" max="1031" width="9.5" style="508" customWidth="1"/>
    <col min="1032" max="1032" width="9.5" style="508" bestFit="1" customWidth="1"/>
    <col min="1033" max="1033" width="5.83203125" style="508" customWidth="1"/>
    <col min="1034" max="1279" width="9.1640625" style="508"/>
    <col min="1280" max="1280" width="5" style="508" customWidth="1"/>
    <col min="1281" max="1281" width="50.6640625" style="508" customWidth="1"/>
    <col min="1282" max="1282" width="25.33203125" style="508" customWidth="1"/>
    <col min="1283" max="1283" width="11" style="508" customWidth="1"/>
    <col min="1284" max="1284" width="24.5" style="508" customWidth="1"/>
    <col min="1285" max="1285" width="20" style="508" customWidth="1"/>
    <col min="1286" max="1286" width="17.83203125" style="508" bestFit="1" customWidth="1"/>
    <col min="1287" max="1287" width="9.5" style="508" customWidth="1"/>
    <col min="1288" max="1288" width="9.5" style="508" bestFit="1" customWidth="1"/>
    <col min="1289" max="1289" width="5.83203125" style="508" customWidth="1"/>
    <col min="1290" max="1535" width="9.1640625" style="508"/>
    <col min="1536" max="1536" width="5" style="508" customWidth="1"/>
    <col min="1537" max="1537" width="50.6640625" style="508" customWidth="1"/>
    <col min="1538" max="1538" width="25.33203125" style="508" customWidth="1"/>
    <col min="1539" max="1539" width="11" style="508" customWidth="1"/>
    <col min="1540" max="1540" width="24.5" style="508" customWidth="1"/>
    <col min="1541" max="1541" width="20" style="508" customWidth="1"/>
    <col min="1542" max="1542" width="17.83203125" style="508" bestFit="1" customWidth="1"/>
    <col min="1543" max="1543" width="9.5" style="508" customWidth="1"/>
    <col min="1544" max="1544" width="9.5" style="508" bestFit="1" customWidth="1"/>
    <col min="1545" max="1545" width="5.83203125" style="508" customWidth="1"/>
    <col min="1546" max="1791" width="9.1640625" style="508"/>
    <col min="1792" max="1792" width="5" style="508" customWidth="1"/>
    <col min="1793" max="1793" width="50.6640625" style="508" customWidth="1"/>
    <col min="1794" max="1794" width="25.33203125" style="508" customWidth="1"/>
    <col min="1795" max="1795" width="11" style="508" customWidth="1"/>
    <col min="1796" max="1796" width="24.5" style="508" customWidth="1"/>
    <col min="1797" max="1797" width="20" style="508" customWidth="1"/>
    <col min="1798" max="1798" width="17.83203125" style="508" bestFit="1" customWidth="1"/>
    <col min="1799" max="1799" width="9.5" style="508" customWidth="1"/>
    <col min="1800" max="1800" width="9.5" style="508" bestFit="1" customWidth="1"/>
    <col min="1801" max="1801" width="5.83203125" style="508" customWidth="1"/>
    <col min="1802" max="2047" width="9.1640625" style="508"/>
    <col min="2048" max="2048" width="5" style="508" customWidth="1"/>
    <col min="2049" max="2049" width="50.6640625" style="508" customWidth="1"/>
    <col min="2050" max="2050" width="25.33203125" style="508" customWidth="1"/>
    <col min="2051" max="2051" width="11" style="508" customWidth="1"/>
    <col min="2052" max="2052" width="24.5" style="508" customWidth="1"/>
    <col min="2053" max="2053" width="20" style="508" customWidth="1"/>
    <col min="2054" max="2054" width="17.83203125" style="508" bestFit="1" customWidth="1"/>
    <col min="2055" max="2055" width="9.5" style="508" customWidth="1"/>
    <col min="2056" max="2056" width="9.5" style="508" bestFit="1" customWidth="1"/>
    <col min="2057" max="2057" width="5.83203125" style="508" customWidth="1"/>
    <col min="2058" max="2303" width="9.1640625" style="508"/>
    <col min="2304" max="2304" width="5" style="508" customWidth="1"/>
    <col min="2305" max="2305" width="50.6640625" style="508" customWidth="1"/>
    <col min="2306" max="2306" width="25.33203125" style="508" customWidth="1"/>
    <col min="2307" max="2307" width="11" style="508" customWidth="1"/>
    <col min="2308" max="2308" width="24.5" style="508" customWidth="1"/>
    <col min="2309" max="2309" width="20" style="508" customWidth="1"/>
    <col min="2310" max="2310" width="17.83203125" style="508" bestFit="1" customWidth="1"/>
    <col min="2311" max="2311" width="9.5" style="508" customWidth="1"/>
    <col min="2312" max="2312" width="9.5" style="508" bestFit="1" customWidth="1"/>
    <col min="2313" max="2313" width="5.83203125" style="508" customWidth="1"/>
    <col min="2314" max="2559" width="9.1640625" style="508"/>
    <col min="2560" max="2560" width="5" style="508" customWidth="1"/>
    <col min="2561" max="2561" width="50.6640625" style="508" customWidth="1"/>
    <col min="2562" max="2562" width="25.33203125" style="508" customWidth="1"/>
    <col min="2563" max="2563" width="11" style="508" customWidth="1"/>
    <col min="2564" max="2564" width="24.5" style="508" customWidth="1"/>
    <col min="2565" max="2565" width="20" style="508" customWidth="1"/>
    <col min="2566" max="2566" width="17.83203125" style="508" bestFit="1" customWidth="1"/>
    <col min="2567" max="2567" width="9.5" style="508" customWidth="1"/>
    <col min="2568" max="2568" width="9.5" style="508" bestFit="1" customWidth="1"/>
    <col min="2569" max="2569" width="5.83203125" style="508" customWidth="1"/>
    <col min="2570" max="2815" width="9.1640625" style="508"/>
    <col min="2816" max="2816" width="5" style="508" customWidth="1"/>
    <col min="2817" max="2817" width="50.6640625" style="508" customWidth="1"/>
    <col min="2818" max="2818" width="25.33203125" style="508" customWidth="1"/>
    <col min="2819" max="2819" width="11" style="508" customWidth="1"/>
    <col min="2820" max="2820" width="24.5" style="508" customWidth="1"/>
    <col min="2821" max="2821" width="20" style="508" customWidth="1"/>
    <col min="2822" max="2822" width="17.83203125" style="508" bestFit="1" customWidth="1"/>
    <col min="2823" max="2823" width="9.5" style="508" customWidth="1"/>
    <col min="2824" max="2824" width="9.5" style="508" bestFit="1" customWidth="1"/>
    <col min="2825" max="2825" width="5.83203125" style="508" customWidth="1"/>
    <col min="2826" max="3071" width="9.1640625" style="508"/>
    <col min="3072" max="3072" width="5" style="508" customWidth="1"/>
    <col min="3073" max="3073" width="50.6640625" style="508" customWidth="1"/>
    <col min="3074" max="3074" width="25.33203125" style="508" customWidth="1"/>
    <col min="3075" max="3075" width="11" style="508" customWidth="1"/>
    <col min="3076" max="3076" width="24.5" style="508" customWidth="1"/>
    <col min="3077" max="3077" width="20" style="508" customWidth="1"/>
    <col min="3078" max="3078" width="17.83203125" style="508" bestFit="1" customWidth="1"/>
    <col min="3079" max="3079" width="9.5" style="508" customWidth="1"/>
    <col min="3080" max="3080" width="9.5" style="508" bestFit="1" customWidth="1"/>
    <col min="3081" max="3081" width="5.83203125" style="508" customWidth="1"/>
    <col min="3082" max="3327" width="9.1640625" style="508"/>
    <col min="3328" max="3328" width="5" style="508" customWidth="1"/>
    <col min="3329" max="3329" width="50.6640625" style="508" customWidth="1"/>
    <col min="3330" max="3330" width="25.33203125" style="508" customWidth="1"/>
    <col min="3331" max="3331" width="11" style="508" customWidth="1"/>
    <col min="3332" max="3332" width="24.5" style="508" customWidth="1"/>
    <col min="3333" max="3333" width="20" style="508" customWidth="1"/>
    <col min="3334" max="3334" width="17.83203125" style="508" bestFit="1" customWidth="1"/>
    <col min="3335" max="3335" width="9.5" style="508" customWidth="1"/>
    <col min="3336" max="3336" width="9.5" style="508" bestFit="1" customWidth="1"/>
    <col min="3337" max="3337" width="5.83203125" style="508" customWidth="1"/>
    <col min="3338" max="3583" width="9.1640625" style="508"/>
    <col min="3584" max="3584" width="5" style="508" customWidth="1"/>
    <col min="3585" max="3585" width="50.6640625" style="508" customWidth="1"/>
    <col min="3586" max="3586" width="25.33203125" style="508" customWidth="1"/>
    <col min="3587" max="3587" width="11" style="508" customWidth="1"/>
    <col min="3588" max="3588" width="24.5" style="508" customWidth="1"/>
    <col min="3589" max="3589" width="20" style="508" customWidth="1"/>
    <col min="3590" max="3590" width="17.83203125" style="508" bestFit="1" customWidth="1"/>
    <col min="3591" max="3591" width="9.5" style="508" customWidth="1"/>
    <col min="3592" max="3592" width="9.5" style="508" bestFit="1" customWidth="1"/>
    <col min="3593" max="3593" width="5.83203125" style="508" customWidth="1"/>
    <col min="3594" max="3839" width="9.1640625" style="508"/>
    <col min="3840" max="3840" width="5" style="508" customWidth="1"/>
    <col min="3841" max="3841" width="50.6640625" style="508" customWidth="1"/>
    <col min="3842" max="3842" width="25.33203125" style="508" customWidth="1"/>
    <col min="3843" max="3843" width="11" style="508" customWidth="1"/>
    <col min="3844" max="3844" width="24.5" style="508" customWidth="1"/>
    <col min="3845" max="3845" width="20" style="508" customWidth="1"/>
    <col min="3846" max="3846" width="17.83203125" style="508" bestFit="1" customWidth="1"/>
    <col min="3847" max="3847" width="9.5" style="508" customWidth="1"/>
    <col min="3848" max="3848" width="9.5" style="508" bestFit="1" customWidth="1"/>
    <col min="3849" max="3849" width="5.83203125" style="508" customWidth="1"/>
    <col min="3850" max="4095" width="9.1640625" style="508"/>
    <col min="4096" max="4096" width="5" style="508" customWidth="1"/>
    <col min="4097" max="4097" width="50.6640625" style="508" customWidth="1"/>
    <col min="4098" max="4098" width="25.33203125" style="508" customWidth="1"/>
    <col min="4099" max="4099" width="11" style="508" customWidth="1"/>
    <col min="4100" max="4100" width="24.5" style="508" customWidth="1"/>
    <col min="4101" max="4101" width="20" style="508" customWidth="1"/>
    <col min="4102" max="4102" width="17.83203125" style="508" bestFit="1" customWidth="1"/>
    <col min="4103" max="4103" width="9.5" style="508" customWidth="1"/>
    <col min="4104" max="4104" width="9.5" style="508" bestFit="1" customWidth="1"/>
    <col min="4105" max="4105" width="5.83203125" style="508" customWidth="1"/>
    <col min="4106" max="4351" width="9.1640625" style="508"/>
    <col min="4352" max="4352" width="5" style="508" customWidth="1"/>
    <col min="4353" max="4353" width="50.6640625" style="508" customWidth="1"/>
    <col min="4354" max="4354" width="25.33203125" style="508" customWidth="1"/>
    <col min="4355" max="4355" width="11" style="508" customWidth="1"/>
    <col min="4356" max="4356" width="24.5" style="508" customWidth="1"/>
    <col min="4357" max="4357" width="20" style="508" customWidth="1"/>
    <col min="4358" max="4358" width="17.83203125" style="508" bestFit="1" customWidth="1"/>
    <col min="4359" max="4359" width="9.5" style="508" customWidth="1"/>
    <col min="4360" max="4360" width="9.5" style="508" bestFit="1" customWidth="1"/>
    <col min="4361" max="4361" width="5.83203125" style="508" customWidth="1"/>
    <col min="4362" max="4607" width="9.1640625" style="508"/>
    <col min="4608" max="4608" width="5" style="508" customWidth="1"/>
    <col min="4609" max="4609" width="50.6640625" style="508" customWidth="1"/>
    <col min="4610" max="4610" width="25.33203125" style="508" customWidth="1"/>
    <col min="4611" max="4611" width="11" style="508" customWidth="1"/>
    <col min="4612" max="4612" width="24.5" style="508" customWidth="1"/>
    <col min="4613" max="4613" width="20" style="508" customWidth="1"/>
    <col min="4614" max="4614" width="17.83203125" style="508" bestFit="1" customWidth="1"/>
    <col min="4615" max="4615" width="9.5" style="508" customWidth="1"/>
    <col min="4616" max="4616" width="9.5" style="508" bestFit="1" customWidth="1"/>
    <col min="4617" max="4617" width="5.83203125" style="508" customWidth="1"/>
    <col min="4618" max="4863" width="9.1640625" style="508"/>
    <col min="4864" max="4864" width="5" style="508" customWidth="1"/>
    <col min="4865" max="4865" width="50.6640625" style="508" customWidth="1"/>
    <col min="4866" max="4866" width="25.33203125" style="508" customWidth="1"/>
    <col min="4867" max="4867" width="11" style="508" customWidth="1"/>
    <col min="4868" max="4868" width="24.5" style="508" customWidth="1"/>
    <col min="4869" max="4869" width="20" style="508" customWidth="1"/>
    <col min="4870" max="4870" width="17.83203125" style="508" bestFit="1" customWidth="1"/>
    <col min="4871" max="4871" width="9.5" style="508" customWidth="1"/>
    <col min="4872" max="4872" width="9.5" style="508" bestFit="1" customWidth="1"/>
    <col min="4873" max="4873" width="5.83203125" style="508" customWidth="1"/>
    <col min="4874" max="5119" width="9.1640625" style="508"/>
    <col min="5120" max="5120" width="5" style="508" customWidth="1"/>
    <col min="5121" max="5121" width="50.6640625" style="508" customWidth="1"/>
    <col min="5122" max="5122" width="25.33203125" style="508" customWidth="1"/>
    <col min="5123" max="5123" width="11" style="508" customWidth="1"/>
    <col min="5124" max="5124" width="24.5" style="508" customWidth="1"/>
    <col min="5125" max="5125" width="20" style="508" customWidth="1"/>
    <col min="5126" max="5126" width="17.83203125" style="508" bestFit="1" customWidth="1"/>
    <col min="5127" max="5127" width="9.5" style="508" customWidth="1"/>
    <col min="5128" max="5128" width="9.5" style="508" bestFit="1" customWidth="1"/>
    <col min="5129" max="5129" width="5.83203125" style="508" customWidth="1"/>
    <col min="5130" max="5375" width="9.1640625" style="508"/>
    <col min="5376" max="5376" width="5" style="508" customWidth="1"/>
    <col min="5377" max="5377" width="50.6640625" style="508" customWidth="1"/>
    <col min="5378" max="5378" width="25.33203125" style="508" customWidth="1"/>
    <col min="5379" max="5379" width="11" style="508" customWidth="1"/>
    <col min="5380" max="5380" width="24.5" style="508" customWidth="1"/>
    <col min="5381" max="5381" width="20" style="508" customWidth="1"/>
    <col min="5382" max="5382" width="17.83203125" style="508" bestFit="1" customWidth="1"/>
    <col min="5383" max="5383" width="9.5" style="508" customWidth="1"/>
    <col min="5384" max="5384" width="9.5" style="508" bestFit="1" customWidth="1"/>
    <col min="5385" max="5385" width="5.83203125" style="508" customWidth="1"/>
    <col min="5386" max="5631" width="9.1640625" style="508"/>
    <col min="5632" max="5632" width="5" style="508" customWidth="1"/>
    <col min="5633" max="5633" width="50.6640625" style="508" customWidth="1"/>
    <col min="5634" max="5634" width="25.33203125" style="508" customWidth="1"/>
    <col min="5635" max="5635" width="11" style="508" customWidth="1"/>
    <col min="5636" max="5636" width="24.5" style="508" customWidth="1"/>
    <col min="5637" max="5637" width="20" style="508" customWidth="1"/>
    <col min="5638" max="5638" width="17.83203125" style="508" bestFit="1" customWidth="1"/>
    <col min="5639" max="5639" width="9.5" style="508" customWidth="1"/>
    <col min="5640" max="5640" width="9.5" style="508" bestFit="1" customWidth="1"/>
    <col min="5641" max="5641" width="5.83203125" style="508" customWidth="1"/>
    <col min="5642" max="5887" width="9.1640625" style="508"/>
    <col min="5888" max="5888" width="5" style="508" customWidth="1"/>
    <col min="5889" max="5889" width="50.6640625" style="508" customWidth="1"/>
    <col min="5890" max="5890" width="25.33203125" style="508" customWidth="1"/>
    <col min="5891" max="5891" width="11" style="508" customWidth="1"/>
    <col min="5892" max="5892" width="24.5" style="508" customWidth="1"/>
    <col min="5893" max="5893" width="20" style="508" customWidth="1"/>
    <col min="5894" max="5894" width="17.83203125" style="508" bestFit="1" customWidth="1"/>
    <col min="5895" max="5895" width="9.5" style="508" customWidth="1"/>
    <col min="5896" max="5896" width="9.5" style="508" bestFit="1" customWidth="1"/>
    <col min="5897" max="5897" width="5.83203125" style="508" customWidth="1"/>
    <col min="5898" max="6143" width="9.1640625" style="508"/>
    <col min="6144" max="6144" width="5" style="508" customWidth="1"/>
    <col min="6145" max="6145" width="50.6640625" style="508" customWidth="1"/>
    <col min="6146" max="6146" width="25.33203125" style="508" customWidth="1"/>
    <col min="6147" max="6147" width="11" style="508" customWidth="1"/>
    <col min="6148" max="6148" width="24.5" style="508" customWidth="1"/>
    <col min="6149" max="6149" width="20" style="508" customWidth="1"/>
    <col min="6150" max="6150" width="17.83203125" style="508" bestFit="1" customWidth="1"/>
    <col min="6151" max="6151" width="9.5" style="508" customWidth="1"/>
    <col min="6152" max="6152" width="9.5" style="508" bestFit="1" customWidth="1"/>
    <col min="6153" max="6153" width="5.83203125" style="508" customWidth="1"/>
    <col min="6154" max="6399" width="9.1640625" style="508"/>
    <col min="6400" max="6400" width="5" style="508" customWidth="1"/>
    <col min="6401" max="6401" width="50.6640625" style="508" customWidth="1"/>
    <col min="6402" max="6402" width="25.33203125" style="508" customWidth="1"/>
    <col min="6403" max="6403" width="11" style="508" customWidth="1"/>
    <col min="6404" max="6404" width="24.5" style="508" customWidth="1"/>
    <col min="6405" max="6405" width="20" style="508" customWidth="1"/>
    <col min="6406" max="6406" width="17.83203125" style="508" bestFit="1" customWidth="1"/>
    <col min="6407" max="6407" width="9.5" style="508" customWidth="1"/>
    <col min="6408" max="6408" width="9.5" style="508" bestFit="1" customWidth="1"/>
    <col min="6409" max="6409" width="5.83203125" style="508" customWidth="1"/>
    <col min="6410" max="6655" width="9.1640625" style="508"/>
    <col min="6656" max="6656" width="5" style="508" customWidth="1"/>
    <col min="6657" max="6657" width="50.6640625" style="508" customWidth="1"/>
    <col min="6658" max="6658" width="25.33203125" style="508" customWidth="1"/>
    <col min="6659" max="6659" width="11" style="508" customWidth="1"/>
    <col min="6660" max="6660" width="24.5" style="508" customWidth="1"/>
    <col min="6661" max="6661" width="20" style="508" customWidth="1"/>
    <col min="6662" max="6662" width="17.83203125" style="508" bestFit="1" customWidth="1"/>
    <col min="6663" max="6663" width="9.5" style="508" customWidth="1"/>
    <col min="6664" max="6664" width="9.5" style="508" bestFit="1" customWidth="1"/>
    <col min="6665" max="6665" width="5.83203125" style="508" customWidth="1"/>
    <col min="6666" max="6911" width="9.1640625" style="508"/>
    <col min="6912" max="6912" width="5" style="508" customWidth="1"/>
    <col min="6913" max="6913" width="50.6640625" style="508" customWidth="1"/>
    <col min="6914" max="6914" width="25.33203125" style="508" customWidth="1"/>
    <col min="6915" max="6915" width="11" style="508" customWidth="1"/>
    <col min="6916" max="6916" width="24.5" style="508" customWidth="1"/>
    <col min="6917" max="6917" width="20" style="508" customWidth="1"/>
    <col min="6918" max="6918" width="17.83203125" style="508" bestFit="1" customWidth="1"/>
    <col min="6919" max="6919" width="9.5" style="508" customWidth="1"/>
    <col min="6920" max="6920" width="9.5" style="508" bestFit="1" customWidth="1"/>
    <col min="6921" max="6921" width="5.83203125" style="508" customWidth="1"/>
    <col min="6922" max="7167" width="9.1640625" style="508"/>
    <col min="7168" max="7168" width="5" style="508" customWidth="1"/>
    <col min="7169" max="7169" width="50.6640625" style="508" customWidth="1"/>
    <col min="7170" max="7170" width="25.33203125" style="508" customWidth="1"/>
    <col min="7171" max="7171" width="11" style="508" customWidth="1"/>
    <col min="7172" max="7172" width="24.5" style="508" customWidth="1"/>
    <col min="7173" max="7173" width="20" style="508" customWidth="1"/>
    <col min="7174" max="7174" width="17.83203125" style="508" bestFit="1" customWidth="1"/>
    <col min="7175" max="7175" width="9.5" style="508" customWidth="1"/>
    <col min="7176" max="7176" width="9.5" style="508" bestFit="1" customWidth="1"/>
    <col min="7177" max="7177" width="5.83203125" style="508" customWidth="1"/>
    <col min="7178" max="7423" width="9.1640625" style="508"/>
    <col min="7424" max="7424" width="5" style="508" customWidth="1"/>
    <col min="7425" max="7425" width="50.6640625" style="508" customWidth="1"/>
    <col min="7426" max="7426" width="25.33203125" style="508" customWidth="1"/>
    <col min="7427" max="7427" width="11" style="508" customWidth="1"/>
    <col min="7428" max="7428" width="24.5" style="508" customWidth="1"/>
    <col min="7429" max="7429" width="20" style="508" customWidth="1"/>
    <col min="7430" max="7430" width="17.83203125" style="508" bestFit="1" customWidth="1"/>
    <col min="7431" max="7431" width="9.5" style="508" customWidth="1"/>
    <col min="7432" max="7432" width="9.5" style="508" bestFit="1" customWidth="1"/>
    <col min="7433" max="7433" width="5.83203125" style="508" customWidth="1"/>
    <col min="7434" max="7679" width="9.1640625" style="508"/>
    <col min="7680" max="7680" width="5" style="508" customWidth="1"/>
    <col min="7681" max="7681" width="50.6640625" style="508" customWidth="1"/>
    <col min="7682" max="7682" width="25.33203125" style="508" customWidth="1"/>
    <col min="7683" max="7683" width="11" style="508" customWidth="1"/>
    <col min="7684" max="7684" width="24.5" style="508" customWidth="1"/>
    <col min="7685" max="7685" width="20" style="508" customWidth="1"/>
    <col min="7686" max="7686" width="17.83203125" style="508" bestFit="1" customWidth="1"/>
    <col min="7687" max="7687" width="9.5" style="508" customWidth="1"/>
    <col min="7688" max="7688" width="9.5" style="508" bestFit="1" customWidth="1"/>
    <col min="7689" max="7689" width="5.83203125" style="508" customWidth="1"/>
    <col min="7690" max="7935" width="9.1640625" style="508"/>
    <col min="7936" max="7936" width="5" style="508" customWidth="1"/>
    <col min="7937" max="7937" width="50.6640625" style="508" customWidth="1"/>
    <col min="7938" max="7938" width="25.33203125" style="508" customWidth="1"/>
    <col min="7939" max="7939" width="11" style="508" customWidth="1"/>
    <col min="7940" max="7940" width="24.5" style="508" customWidth="1"/>
    <col min="7941" max="7941" width="20" style="508" customWidth="1"/>
    <col min="7942" max="7942" width="17.83203125" style="508" bestFit="1" customWidth="1"/>
    <col min="7943" max="7943" width="9.5" style="508" customWidth="1"/>
    <col min="7944" max="7944" width="9.5" style="508" bestFit="1" customWidth="1"/>
    <col min="7945" max="7945" width="5.83203125" style="508" customWidth="1"/>
    <col min="7946" max="8191" width="9.1640625" style="508"/>
    <col min="8192" max="8192" width="5" style="508" customWidth="1"/>
    <col min="8193" max="8193" width="50.6640625" style="508" customWidth="1"/>
    <col min="8194" max="8194" width="25.33203125" style="508" customWidth="1"/>
    <col min="8195" max="8195" width="11" style="508" customWidth="1"/>
    <col min="8196" max="8196" width="24.5" style="508" customWidth="1"/>
    <col min="8197" max="8197" width="20" style="508" customWidth="1"/>
    <col min="8198" max="8198" width="17.83203125" style="508" bestFit="1" customWidth="1"/>
    <col min="8199" max="8199" width="9.5" style="508" customWidth="1"/>
    <col min="8200" max="8200" width="9.5" style="508" bestFit="1" customWidth="1"/>
    <col min="8201" max="8201" width="5.83203125" style="508" customWidth="1"/>
    <col min="8202" max="8447" width="9.1640625" style="508"/>
    <col min="8448" max="8448" width="5" style="508" customWidth="1"/>
    <col min="8449" max="8449" width="50.6640625" style="508" customWidth="1"/>
    <col min="8450" max="8450" width="25.33203125" style="508" customWidth="1"/>
    <col min="8451" max="8451" width="11" style="508" customWidth="1"/>
    <col min="8452" max="8452" width="24.5" style="508" customWidth="1"/>
    <col min="8453" max="8453" width="20" style="508" customWidth="1"/>
    <col min="8454" max="8454" width="17.83203125" style="508" bestFit="1" customWidth="1"/>
    <col min="8455" max="8455" width="9.5" style="508" customWidth="1"/>
    <col min="8456" max="8456" width="9.5" style="508" bestFit="1" customWidth="1"/>
    <col min="8457" max="8457" width="5.83203125" style="508" customWidth="1"/>
    <col min="8458" max="8703" width="9.1640625" style="508"/>
    <col min="8704" max="8704" width="5" style="508" customWidth="1"/>
    <col min="8705" max="8705" width="50.6640625" style="508" customWidth="1"/>
    <col min="8706" max="8706" width="25.33203125" style="508" customWidth="1"/>
    <col min="8707" max="8707" width="11" style="508" customWidth="1"/>
    <col min="8708" max="8708" width="24.5" style="508" customWidth="1"/>
    <col min="8709" max="8709" width="20" style="508" customWidth="1"/>
    <col min="8710" max="8710" width="17.83203125" style="508" bestFit="1" customWidth="1"/>
    <col min="8711" max="8711" width="9.5" style="508" customWidth="1"/>
    <col min="8712" max="8712" width="9.5" style="508" bestFit="1" customWidth="1"/>
    <col min="8713" max="8713" width="5.83203125" style="508" customWidth="1"/>
    <col min="8714" max="8959" width="9.1640625" style="508"/>
    <col min="8960" max="8960" width="5" style="508" customWidth="1"/>
    <col min="8961" max="8961" width="50.6640625" style="508" customWidth="1"/>
    <col min="8962" max="8962" width="25.33203125" style="508" customWidth="1"/>
    <col min="8963" max="8963" width="11" style="508" customWidth="1"/>
    <col min="8964" max="8964" width="24.5" style="508" customWidth="1"/>
    <col min="8965" max="8965" width="20" style="508" customWidth="1"/>
    <col min="8966" max="8966" width="17.83203125" style="508" bestFit="1" customWidth="1"/>
    <col min="8967" max="8967" width="9.5" style="508" customWidth="1"/>
    <col min="8968" max="8968" width="9.5" style="508" bestFit="1" customWidth="1"/>
    <col min="8969" max="8969" width="5.83203125" style="508" customWidth="1"/>
    <col min="8970" max="9215" width="9.1640625" style="508"/>
    <col min="9216" max="9216" width="5" style="508" customWidth="1"/>
    <col min="9217" max="9217" width="50.6640625" style="508" customWidth="1"/>
    <col min="9218" max="9218" width="25.33203125" style="508" customWidth="1"/>
    <col min="9219" max="9219" width="11" style="508" customWidth="1"/>
    <col min="9220" max="9220" width="24.5" style="508" customWidth="1"/>
    <col min="9221" max="9221" width="20" style="508" customWidth="1"/>
    <col min="9222" max="9222" width="17.83203125" style="508" bestFit="1" customWidth="1"/>
    <col min="9223" max="9223" width="9.5" style="508" customWidth="1"/>
    <col min="9224" max="9224" width="9.5" style="508" bestFit="1" customWidth="1"/>
    <col min="9225" max="9225" width="5.83203125" style="508" customWidth="1"/>
    <col min="9226" max="9471" width="9.1640625" style="508"/>
    <col min="9472" max="9472" width="5" style="508" customWidth="1"/>
    <col min="9473" max="9473" width="50.6640625" style="508" customWidth="1"/>
    <col min="9474" max="9474" width="25.33203125" style="508" customWidth="1"/>
    <col min="9475" max="9475" width="11" style="508" customWidth="1"/>
    <col min="9476" max="9476" width="24.5" style="508" customWidth="1"/>
    <col min="9477" max="9477" width="20" style="508" customWidth="1"/>
    <col min="9478" max="9478" width="17.83203125" style="508" bestFit="1" customWidth="1"/>
    <col min="9479" max="9479" width="9.5" style="508" customWidth="1"/>
    <col min="9480" max="9480" width="9.5" style="508" bestFit="1" customWidth="1"/>
    <col min="9481" max="9481" width="5.83203125" style="508" customWidth="1"/>
    <col min="9482" max="9727" width="9.1640625" style="508"/>
    <col min="9728" max="9728" width="5" style="508" customWidth="1"/>
    <col min="9729" max="9729" width="50.6640625" style="508" customWidth="1"/>
    <col min="9730" max="9730" width="25.33203125" style="508" customWidth="1"/>
    <col min="9731" max="9731" width="11" style="508" customWidth="1"/>
    <col min="9732" max="9732" width="24.5" style="508" customWidth="1"/>
    <col min="9733" max="9733" width="20" style="508" customWidth="1"/>
    <col min="9734" max="9734" width="17.83203125" style="508" bestFit="1" customWidth="1"/>
    <col min="9735" max="9735" width="9.5" style="508" customWidth="1"/>
    <col min="9736" max="9736" width="9.5" style="508" bestFit="1" customWidth="1"/>
    <col min="9737" max="9737" width="5.83203125" style="508" customWidth="1"/>
    <col min="9738" max="9983" width="9.1640625" style="508"/>
    <col min="9984" max="9984" width="5" style="508" customWidth="1"/>
    <col min="9985" max="9985" width="50.6640625" style="508" customWidth="1"/>
    <col min="9986" max="9986" width="25.33203125" style="508" customWidth="1"/>
    <col min="9987" max="9987" width="11" style="508" customWidth="1"/>
    <col min="9988" max="9988" width="24.5" style="508" customWidth="1"/>
    <col min="9989" max="9989" width="20" style="508" customWidth="1"/>
    <col min="9990" max="9990" width="17.83203125" style="508" bestFit="1" customWidth="1"/>
    <col min="9991" max="9991" width="9.5" style="508" customWidth="1"/>
    <col min="9992" max="9992" width="9.5" style="508" bestFit="1" customWidth="1"/>
    <col min="9993" max="9993" width="5.83203125" style="508" customWidth="1"/>
    <col min="9994" max="10239" width="9.1640625" style="508"/>
    <col min="10240" max="10240" width="5" style="508" customWidth="1"/>
    <col min="10241" max="10241" width="50.6640625" style="508" customWidth="1"/>
    <col min="10242" max="10242" width="25.33203125" style="508" customWidth="1"/>
    <col min="10243" max="10243" width="11" style="508" customWidth="1"/>
    <col min="10244" max="10244" width="24.5" style="508" customWidth="1"/>
    <col min="10245" max="10245" width="20" style="508" customWidth="1"/>
    <col min="10246" max="10246" width="17.83203125" style="508" bestFit="1" customWidth="1"/>
    <col min="10247" max="10247" width="9.5" style="508" customWidth="1"/>
    <col min="10248" max="10248" width="9.5" style="508" bestFit="1" customWidth="1"/>
    <col min="10249" max="10249" width="5.83203125" style="508" customWidth="1"/>
    <col min="10250" max="10495" width="9.1640625" style="508"/>
    <col min="10496" max="10496" width="5" style="508" customWidth="1"/>
    <col min="10497" max="10497" width="50.6640625" style="508" customWidth="1"/>
    <col min="10498" max="10498" width="25.33203125" style="508" customWidth="1"/>
    <col min="10499" max="10499" width="11" style="508" customWidth="1"/>
    <col min="10500" max="10500" width="24.5" style="508" customWidth="1"/>
    <col min="10501" max="10501" width="20" style="508" customWidth="1"/>
    <col min="10502" max="10502" width="17.83203125" style="508" bestFit="1" customWidth="1"/>
    <col min="10503" max="10503" width="9.5" style="508" customWidth="1"/>
    <col min="10504" max="10504" width="9.5" style="508" bestFit="1" customWidth="1"/>
    <col min="10505" max="10505" width="5.83203125" style="508" customWidth="1"/>
    <col min="10506" max="10751" width="9.1640625" style="508"/>
    <col min="10752" max="10752" width="5" style="508" customWidth="1"/>
    <col min="10753" max="10753" width="50.6640625" style="508" customWidth="1"/>
    <col min="10754" max="10754" width="25.33203125" style="508" customWidth="1"/>
    <col min="10755" max="10755" width="11" style="508" customWidth="1"/>
    <col min="10756" max="10756" width="24.5" style="508" customWidth="1"/>
    <col min="10757" max="10757" width="20" style="508" customWidth="1"/>
    <col min="10758" max="10758" width="17.83203125" style="508" bestFit="1" customWidth="1"/>
    <col min="10759" max="10759" width="9.5" style="508" customWidth="1"/>
    <col min="10760" max="10760" width="9.5" style="508" bestFit="1" customWidth="1"/>
    <col min="10761" max="10761" width="5.83203125" style="508" customWidth="1"/>
    <col min="10762" max="11007" width="9.1640625" style="508"/>
    <col min="11008" max="11008" width="5" style="508" customWidth="1"/>
    <col min="11009" max="11009" width="50.6640625" style="508" customWidth="1"/>
    <col min="11010" max="11010" width="25.33203125" style="508" customWidth="1"/>
    <col min="11011" max="11011" width="11" style="508" customWidth="1"/>
    <col min="11012" max="11012" width="24.5" style="508" customWidth="1"/>
    <col min="11013" max="11013" width="20" style="508" customWidth="1"/>
    <col min="11014" max="11014" width="17.83203125" style="508" bestFit="1" customWidth="1"/>
    <col min="11015" max="11015" width="9.5" style="508" customWidth="1"/>
    <col min="11016" max="11016" width="9.5" style="508" bestFit="1" customWidth="1"/>
    <col min="11017" max="11017" width="5.83203125" style="508" customWidth="1"/>
    <col min="11018" max="11263" width="9.1640625" style="508"/>
    <col min="11264" max="11264" width="5" style="508" customWidth="1"/>
    <col min="11265" max="11265" width="50.6640625" style="508" customWidth="1"/>
    <col min="11266" max="11266" width="25.33203125" style="508" customWidth="1"/>
    <col min="11267" max="11267" width="11" style="508" customWidth="1"/>
    <col min="11268" max="11268" width="24.5" style="508" customWidth="1"/>
    <col min="11269" max="11269" width="20" style="508" customWidth="1"/>
    <col min="11270" max="11270" width="17.83203125" style="508" bestFit="1" customWidth="1"/>
    <col min="11271" max="11271" width="9.5" style="508" customWidth="1"/>
    <col min="11272" max="11272" width="9.5" style="508" bestFit="1" customWidth="1"/>
    <col min="11273" max="11273" width="5.83203125" style="508" customWidth="1"/>
    <col min="11274" max="11519" width="9.1640625" style="508"/>
    <col min="11520" max="11520" width="5" style="508" customWidth="1"/>
    <col min="11521" max="11521" width="50.6640625" style="508" customWidth="1"/>
    <col min="11522" max="11522" width="25.33203125" style="508" customWidth="1"/>
    <col min="11523" max="11523" width="11" style="508" customWidth="1"/>
    <col min="11524" max="11524" width="24.5" style="508" customWidth="1"/>
    <col min="11525" max="11525" width="20" style="508" customWidth="1"/>
    <col min="11526" max="11526" width="17.83203125" style="508" bestFit="1" customWidth="1"/>
    <col min="11527" max="11527" width="9.5" style="508" customWidth="1"/>
    <col min="11528" max="11528" width="9.5" style="508" bestFit="1" customWidth="1"/>
    <col min="11529" max="11529" width="5.83203125" style="508" customWidth="1"/>
    <col min="11530" max="11775" width="9.1640625" style="508"/>
    <col min="11776" max="11776" width="5" style="508" customWidth="1"/>
    <col min="11777" max="11777" width="50.6640625" style="508" customWidth="1"/>
    <col min="11778" max="11778" width="25.33203125" style="508" customWidth="1"/>
    <col min="11779" max="11779" width="11" style="508" customWidth="1"/>
    <col min="11780" max="11780" width="24.5" style="508" customWidth="1"/>
    <col min="11781" max="11781" width="20" style="508" customWidth="1"/>
    <col min="11782" max="11782" width="17.83203125" style="508" bestFit="1" customWidth="1"/>
    <col min="11783" max="11783" width="9.5" style="508" customWidth="1"/>
    <col min="11784" max="11784" width="9.5" style="508" bestFit="1" customWidth="1"/>
    <col min="11785" max="11785" width="5.83203125" style="508" customWidth="1"/>
    <col min="11786" max="12031" width="9.1640625" style="508"/>
    <col min="12032" max="12032" width="5" style="508" customWidth="1"/>
    <col min="12033" max="12033" width="50.6640625" style="508" customWidth="1"/>
    <col min="12034" max="12034" width="25.33203125" style="508" customWidth="1"/>
    <col min="12035" max="12035" width="11" style="508" customWidth="1"/>
    <col min="12036" max="12036" width="24.5" style="508" customWidth="1"/>
    <col min="12037" max="12037" width="20" style="508" customWidth="1"/>
    <col min="12038" max="12038" width="17.83203125" style="508" bestFit="1" customWidth="1"/>
    <col min="12039" max="12039" width="9.5" style="508" customWidth="1"/>
    <col min="12040" max="12040" width="9.5" style="508" bestFit="1" customWidth="1"/>
    <col min="12041" max="12041" width="5.83203125" style="508" customWidth="1"/>
    <col min="12042" max="12287" width="9.1640625" style="508"/>
    <col min="12288" max="12288" width="5" style="508" customWidth="1"/>
    <col min="12289" max="12289" width="50.6640625" style="508" customWidth="1"/>
    <col min="12290" max="12290" width="25.33203125" style="508" customWidth="1"/>
    <col min="12291" max="12291" width="11" style="508" customWidth="1"/>
    <col min="12292" max="12292" width="24.5" style="508" customWidth="1"/>
    <col min="12293" max="12293" width="20" style="508" customWidth="1"/>
    <col min="12294" max="12294" width="17.83203125" style="508" bestFit="1" customWidth="1"/>
    <col min="12295" max="12295" width="9.5" style="508" customWidth="1"/>
    <col min="12296" max="12296" width="9.5" style="508" bestFit="1" customWidth="1"/>
    <col min="12297" max="12297" width="5.83203125" style="508" customWidth="1"/>
    <col min="12298" max="12543" width="9.1640625" style="508"/>
    <col min="12544" max="12544" width="5" style="508" customWidth="1"/>
    <col min="12545" max="12545" width="50.6640625" style="508" customWidth="1"/>
    <col min="12546" max="12546" width="25.33203125" style="508" customWidth="1"/>
    <col min="12547" max="12547" width="11" style="508" customWidth="1"/>
    <col min="12548" max="12548" width="24.5" style="508" customWidth="1"/>
    <col min="12549" max="12549" width="20" style="508" customWidth="1"/>
    <col min="12550" max="12550" width="17.83203125" style="508" bestFit="1" customWidth="1"/>
    <col min="12551" max="12551" width="9.5" style="508" customWidth="1"/>
    <col min="12552" max="12552" width="9.5" style="508" bestFit="1" customWidth="1"/>
    <col min="12553" max="12553" width="5.83203125" style="508" customWidth="1"/>
    <col min="12554" max="12799" width="9.1640625" style="508"/>
    <col min="12800" max="12800" width="5" style="508" customWidth="1"/>
    <col min="12801" max="12801" width="50.6640625" style="508" customWidth="1"/>
    <col min="12802" max="12802" width="25.33203125" style="508" customWidth="1"/>
    <col min="12803" max="12803" width="11" style="508" customWidth="1"/>
    <col min="12804" max="12804" width="24.5" style="508" customWidth="1"/>
    <col min="12805" max="12805" width="20" style="508" customWidth="1"/>
    <col min="12806" max="12806" width="17.83203125" style="508" bestFit="1" customWidth="1"/>
    <col min="12807" max="12807" width="9.5" style="508" customWidth="1"/>
    <col min="12808" max="12808" width="9.5" style="508" bestFit="1" customWidth="1"/>
    <col min="12809" max="12809" width="5.83203125" style="508" customWidth="1"/>
    <col min="12810" max="13055" width="9.1640625" style="508"/>
    <col min="13056" max="13056" width="5" style="508" customWidth="1"/>
    <col min="13057" max="13057" width="50.6640625" style="508" customWidth="1"/>
    <col min="13058" max="13058" width="25.33203125" style="508" customWidth="1"/>
    <col min="13059" max="13059" width="11" style="508" customWidth="1"/>
    <col min="13060" max="13060" width="24.5" style="508" customWidth="1"/>
    <col min="13061" max="13061" width="20" style="508" customWidth="1"/>
    <col min="13062" max="13062" width="17.83203125" style="508" bestFit="1" customWidth="1"/>
    <col min="13063" max="13063" width="9.5" style="508" customWidth="1"/>
    <col min="13064" max="13064" width="9.5" style="508" bestFit="1" customWidth="1"/>
    <col min="13065" max="13065" width="5.83203125" style="508" customWidth="1"/>
    <col min="13066" max="13311" width="9.1640625" style="508"/>
    <col min="13312" max="13312" width="5" style="508" customWidth="1"/>
    <col min="13313" max="13313" width="50.6640625" style="508" customWidth="1"/>
    <col min="13314" max="13314" width="25.33203125" style="508" customWidth="1"/>
    <col min="13315" max="13315" width="11" style="508" customWidth="1"/>
    <col min="13316" max="13316" width="24.5" style="508" customWidth="1"/>
    <col min="13317" max="13317" width="20" style="508" customWidth="1"/>
    <col min="13318" max="13318" width="17.83203125" style="508" bestFit="1" customWidth="1"/>
    <col min="13319" max="13319" width="9.5" style="508" customWidth="1"/>
    <col min="13320" max="13320" width="9.5" style="508" bestFit="1" customWidth="1"/>
    <col min="13321" max="13321" width="5.83203125" style="508" customWidth="1"/>
    <col min="13322" max="13567" width="9.1640625" style="508"/>
    <col min="13568" max="13568" width="5" style="508" customWidth="1"/>
    <col min="13569" max="13569" width="50.6640625" style="508" customWidth="1"/>
    <col min="13570" max="13570" width="25.33203125" style="508" customWidth="1"/>
    <col min="13571" max="13571" width="11" style="508" customWidth="1"/>
    <col min="13572" max="13572" width="24.5" style="508" customWidth="1"/>
    <col min="13573" max="13573" width="20" style="508" customWidth="1"/>
    <col min="13574" max="13574" width="17.83203125" style="508" bestFit="1" customWidth="1"/>
    <col min="13575" max="13575" width="9.5" style="508" customWidth="1"/>
    <col min="13576" max="13576" width="9.5" style="508" bestFit="1" customWidth="1"/>
    <col min="13577" max="13577" width="5.83203125" style="508" customWidth="1"/>
    <col min="13578" max="13823" width="9.1640625" style="508"/>
    <col min="13824" max="13824" width="5" style="508" customWidth="1"/>
    <col min="13825" max="13825" width="50.6640625" style="508" customWidth="1"/>
    <col min="13826" max="13826" width="25.33203125" style="508" customWidth="1"/>
    <col min="13827" max="13827" width="11" style="508" customWidth="1"/>
    <col min="13828" max="13828" width="24.5" style="508" customWidth="1"/>
    <col min="13829" max="13829" width="20" style="508" customWidth="1"/>
    <col min="13830" max="13830" width="17.83203125" style="508" bestFit="1" customWidth="1"/>
    <col min="13831" max="13831" width="9.5" style="508" customWidth="1"/>
    <col min="13832" max="13832" width="9.5" style="508" bestFit="1" customWidth="1"/>
    <col min="13833" max="13833" width="5.83203125" style="508" customWidth="1"/>
    <col min="13834" max="14079" width="9.1640625" style="508"/>
    <col min="14080" max="14080" width="5" style="508" customWidth="1"/>
    <col min="14081" max="14081" width="50.6640625" style="508" customWidth="1"/>
    <col min="14082" max="14082" width="25.33203125" style="508" customWidth="1"/>
    <col min="14083" max="14083" width="11" style="508" customWidth="1"/>
    <col min="14084" max="14084" width="24.5" style="508" customWidth="1"/>
    <col min="14085" max="14085" width="20" style="508" customWidth="1"/>
    <col min="14086" max="14086" width="17.83203125" style="508" bestFit="1" customWidth="1"/>
    <col min="14087" max="14087" width="9.5" style="508" customWidth="1"/>
    <col min="14088" max="14088" width="9.5" style="508" bestFit="1" customWidth="1"/>
    <col min="14089" max="14089" width="5.83203125" style="508" customWidth="1"/>
    <col min="14090" max="14335" width="9.1640625" style="508"/>
    <col min="14336" max="14336" width="5" style="508" customWidth="1"/>
    <col min="14337" max="14337" width="50.6640625" style="508" customWidth="1"/>
    <col min="14338" max="14338" width="25.33203125" style="508" customWidth="1"/>
    <col min="14339" max="14339" width="11" style="508" customWidth="1"/>
    <col min="14340" max="14340" width="24.5" style="508" customWidth="1"/>
    <col min="14341" max="14341" width="20" style="508" customWidth="1"/>
    <col min="14342" max="14342" width="17.83203125" style="508" bestFit="1" customWidth="1"/>
    <col min="14343" max="14343" width="9.5" style="508" customWidth="1"/>
    <col min="14344" max="14344" width="9.5" style="508" bestFit="1" customWidth="1"/>
    <col min="14345" max="14345" width="5.83203125" style="508" customWidth="1"/>
    <col min="14346" max="14591" width="9.1640625" style="508"/>
    <col min="14592" max="14592" width="5" style="508" customWidth="1"/>
    <col min="14593" max="14593" width="50.6640625" style="508" customWidth="1"/>
    <col min="14594" max="14594" width="25.33203125" style="508" customWidth="1"/>
    <col min="14595" max="14595" width="11" style="508" customWidth="1"/>
    <col min="14596" max="14596" width="24.5" style="508" customWidth="1"/>
    <col min="14597" max="14597" width="20" style="508" customWidth="1"/>
    <col min="14598" max="14598" width="17.83203125" style="508" bestFit="1" customWidth="1"/>
    <col min="14599" max="14599" width="9.5" style="508" customWidth="1"/>
    <col min="14600" max="14600" width="9.5" style="508" bestFit="1" customWidth="1"/>
    <col min="14601" max="14601" width="5.83203125" style="508" customWidth="1"/>
    <col min="14602" max="14847" width="9.1640625" style="508"/>
    <col min="14848" max="14848" width="5" style="508" customWidth="1"/>
    <col min="14849" max="14849" width="50.6640625" style="508" customWidth="1"/>
    <col min="14850" max="14850" width="25.33203125" style="508" customWidth="1"/>
    <col min="14851" max="14851" width="11" style="508" customWidth="1"/>
    <col min="14852" max="14852" width="24.5" style="508" customWidth="1"/>
    <col min="14853" max="14853" width="20" style="508" customWidth="1"/>
    <col min="14854" max="14854" width="17.83203125" style="508" bestFit="1" customWidth="1"/>
    <col min="14855" max="14855" width="9.5" style="508" customWidth="1"/>
    <col min="14856" max="14856" width="9.5" style="508" bestFit="1" customWidth="1"/>
    <col min="14857" max="14857" width="5.83203125" style="508" customWidth="1"/>
    <col min="14858" max="15103" width="9.1640625" style="508"/>
    <col min="15104" max="15104" width="5" style="508" customWidth="1"/>
    <col min="15105" max="15105" width="50.6640625" style="508" customWidth="1"/>
    <col min="15106" max="15106" width="25.33203125" style="508" customWidth="1"/>
    <col min="15107" max="15107" width="11" style="508" customWidth="1"/>
    <col min="15108" max="15108" width="24.5" style="508" customWidth="1"/>
    <col min="15109" max="15109" width="20" style="508" customWidth="1"/>
    <col min="15110" max="15110" width="17.83203125" style="508" bestFit="1" customWidth="1"/>
    <col min="15111" max="15111" width="9.5" style="508" customWidth="1"/>
    <col min="15112" max="15112" width="9.5" style="508" bestFit="1" customWidth="1"/>
    <col min="15113" max="15113" width="5.83203125" style="508" customWidth="1"/>
    <col min="15114" max="15359" width="9.1640625" style="508"/>
    <col min="15360" max="15360" width="5" style="508" customWidth="1"/>
    <col min="15361" max="15361" width="50.6640625" style="508" customWidth="1"/>
    <col min="15362" max="15362" width="25.33203125" style="508" customWidth="1"/>
    <col min="15363" max="15363" width="11" style="508" customWidth="1"/>
    <col min="15364" max="15364" width="24.5" style="508" customWidth="1"/>
    <col min="15365" max="15365" width="20" style="508" customWidth="1"/>
    <col min="15366" max="15366" width="17.83203125" style="508" bestFit="1" customWidth="1"/>
    <col min="15367" max="15367" width="9.5" style="508" customWidth="1"/>
    <col min="15368" max="15368" width="9.5" style="508" bestFit="1" customWidth="1"/>
    <col min="15369" max="15369" width="5.83203125" style="508" customWidth="1"/>
    <col min="15370" max="15615" width="9.1640625" style="508"/>
    <col min="15616" max="15616" width="5" style="508" customWidth="1"/>
    <col min="15617" max="15617" width="50.6640625" style="508" customWidth="1"/>
    <col min="15618" max="15618" width="25.33203125" style="508" customWidth="1"/>
    <col min="15619" max="15619" width="11" style="508" customWidth="1"/>
    <col min="15620" max="15620" width="24.5" style="508" customWidth="1"/>
    <col min="15621" max="15621" width="20" style="508" customWidth="1"/>
    <col min="15622" max="15622" width="17.83203125" style="508" bestFit="1" customWidth="1"/>
    <col min="15623" max="15623" width="9.5" style="508" customWidth="1"/>
    <col min="15624" max="15624" width="9.5" style="508" bestFit="1" customWidth="1"/>
    <col min="15625" max="15625" width="5.83203125" style="508" customWidth="1"/>
    <col min="15626" max="15871" width="9.1640625" style="508"/>
    <col min="15872" max="15872" width="5" style="508" customWidth="1"/>
    <col min="15873" max="15873" width="50.6640625" style="508" customWidth="1"/>
    <col min="15874" max="15874" width="25.33203125" style="508" customWidth="1"/>
    <col min="15875" max="15875" width="11" style="508" customWidth="1"/>
    <col min="15876" max="15876" width="24.5" style="508" customWidth="1"/>
    <col min="15877" max="15877" width="20" style="508" customWidth="1"/>
    <col min="15878" max="15878" width="17.83203125" style="508" bestFit="1" customWidth="1"/>
    <col min="15879" max="15879" width="9.5" style="508" customWidth="1"/>
    <col min="15880" max="15880" width="9.5" style="508" bestFit="1" customWidth="1"/>
    <col min="15881" max="15881" width="5.83203125" style="508" customWidth="1"/>
    <col min="15882" max="16127" width="9.1640625" style="508"/>
    <col min="16128" max="16128" width="5" style="508" customWidth="1"/>
    <col min="16129" max="16129" width="50.6640625" style="508" customWidth="1"/>
    <col min="16130" max="16130" width="25.33203125" style="508" customWidth="1"/>
    <col min="16131" max="16131" width="11" style="508" customWidth="1"/>
    <col min="16132" max="16132" width="24.5" style="508" customWidth="1"/>
    <col min="16133" max="16133" width="20" style="508" customWidth="1"/>
    <col min="16134" max="16134" width="17.83203125" style="508" bestFit="1" customWidth="1"/>
    <col min="16135" max="16135" width="9.5" style="508" customWidth="1"/>
    <col min="16136" max="16136" width="9.5" style="508" bestFit="1" customWidth="1"/>
    <col min="16137" max="16137" width="5.83203125" style="508" customWidth="1"/>
    <col min="16138" max="16384" width="9.1640625" style="508"/>
  </cols>
  <sheetData>
    <row r="1" spans="1:9" s="510" customFormat="1" ht="13.5" customHeight="1">
      <c r="A1" s="619"/>
      <c r="B1" s="619"/>
      <c r="C1" s="619"/>
      <c r="D1" s="886" t="s">
        <v>887</v>
      </c>
      <c r="E1" s="886"/>
      <c r="F1" s="886"/>
      <c r="G1" s="886"/>
      <c r="H1" s="886"/>
      <c r="I1" s="619"/>
    </row>
    <row r="2" spans="1:9" s="510" customFormat="1" ht="14">
      <c r="A2" s="619"/>
      <c r="B2" s="619"/>
      <c r="C2" s="619"/>
      <c r="D2" s="619"/>
      <c r="E2" s="619"/>
      <c r="F2" s="619"/>
      <c r="G2" s="619"/>
      <c r="H2" s="619"/>
      <c r="I2" s="619"/>
    </row>
    <row r="3" spans="1:9" s="510" customFormat="1" ht="36" customHeight="1">
      <c r="A3" s="791" t="s">
        <v>916</v>
      </c>
      <c r="B3" s="791"/>
      <c r="C3" s="791"/>
      <c r="D3" s="791"/>
      <c r="E3" s="791"/>
      <c r="F3" s="791"/>
      <c r="G3" s="692"/>
      <c r="H3" s="619"/>
      <c r="I3" s="619"/>
    </row>
    <row r="4" spans="1:9" s="510" customFormat="1" ht="15">
      <c r="A4" s="796" t="s">
        <v>880</v>
      </c>
      <c r="B4" s="796"/>
      <c r="C4" s="796"/>
      <c r="D4" s="796"/>
      <c r="E4" s="796"/>
      <c r="F4" s="796"/>
      <c r="G4" s="796"/>
      <c r="H4" s="903"/>
      <c r="I4" s="903"/>
    </row>
    <row r="5" spans="1:9" s="510" customFormat="1" ht="14">
      <c r="A5" s="624" t="s">
        <v>881</v>
      </c>
      <c r="B5" s="625"/>
      <c r="C5" s="625"/>
      <c r="D5" s="625"/>
      <c r="E5" s="625"/>
      <c r="F5" s="625"/>
      <c r="G5" s="625"/>
      <c r="H5" s="619"/>
      <c r="I5" s="619"/>
    </row>
    <row r="6" spans="1:9" s="510" customFormat="1" ht="14">
      <c r="A6" s="624" t="s">
        <v>149</v>
      </c>
      <c r="B6" s="624"/>
      <c r="C6" s="626"/>
      <c r="D6" s="626"/>
      <c r="E6" s="626"/>
      <c r="F6" s="620"/>
      <c r="G6" s="620"/>
      <c r="H6" s="619"/>
      <c r="I6" s="619"/>
    </row>
    <row r="7" spans="1:9" s="510" customFormat="1" ht="14">
      <c r="A7" s="624" t="s">
        <v>924</v>
      </c>
      <c r="B7" s="624"/>
      <c r="C7" s="627"/>
      <c r="D7" s="624"/>
      <c r="E7" s="624"/>
      <c r="F7" s="620"/>
      <c r="G7" s="620"/>
      <c r="H7" s="619"/>
      <c r="I7" s="619"/>
    </row>
    <row r="8" spans="1:9" s="510" customFormat="1" ht="14">
      <c r="A8" s="619"/>
      <c r="B8" s="619"/>
      <c r="C8" s="619"/>
      <c r="D8" s="619"/>
      <c r="E8" s="619"/>
      <c r="F8" s="619"/>
      <c r="G8" s="619"/>
      <c r="H8" s="619"/>
      <c r="I8" s="619"/>
    </row>
    <row r="9" spans="1:9" s="510" customFormat="1" ht="17">
      <c r="A9" s="691" t="s">
        <v>0</v>
      </c>
      <c r="B9" s="889" t="s">
        <v>1</v>
      </c>
      <c r="C9" s="889"/>
      <c r="D9" s="889"/>
      <c r="E9" s="683" t="s">
        <v>2</v>
      </c>
      <c r="F9" s="889" t="s">
        <v>3</v>
      </c>
      <c r="G9" s="889"/>
      <c r="H9" s="683" t="s">
        <v>307</v>
      </c>
      <c r="I9" s="683" t="s">
        <v>882</v>
      </c>
    </row>
    <row r="10" spans="1:9" s="510" customFormat="1" ht="14">
      <c r="A10" s="913">
        <v>1</v>
      </c>
      <c r="B10" s="890" t="s">
        <v>883</v>
      </c>
      <c r="C10" s="891"/>
      <c r="D10" s="892"/>
      <c r="E10" s="899" t="s">
        <v>423</v>
      </c>
      <c r="F10" s="904" t="s">
        <v>913</v>
      </c>
      <c r="G10" s="905"/>
      <c r="H10" s="629" t="s">
        <v>912</v>
      </c>
      <c r="I10" s="621"/>
    </row>
    <row r="11" spans="1:9" s="510" customFormat="1" ht="14">
      <c r="A11" s="914"/>
      <c r="B11" s="893"/>
      <c r="C11" s="894"/>
      <c r="D11" s="895"/>
      <c r="E11" s="900"/>
      <c r="F11" s="887"/>
      <c r="G11" s="888"/>
      <c r="H11" s="630">
        <f>504130+122750*12</f>
        <v>1977130</v>
      </c>
      <c r="I11" s="622"/>
    </row>
    <row r="12" spans="1:9" s="510" customFormat="1" ht="36" customHeight="1">
      <c r="A12" s="914"/>
      <c r="B12" s="893"/>
      <c r="C12" s="894"/>
      <c r="D12" s="895"/>
      <c r="E12" s="900"/>
      <c r="F12" s="906"/>
      <c r="G12" s="907"/>
      <c r="H12" s="628"/>
      <c r="I12" s="635">
        <f>H15</f>
        <v>6832961.2800000003</v>
      </c>
    </row>
    <row r="13" spans="1:9" s="510" customFormat="1" ht="14">
      <c r="A13" s="914"/>
      <c r="B13" s="893"/>
      <c r="C13" s="894"/>
      <c r="D13" s="895"/>
      <c r="E13" s="900"/>
      <c r="F13" s="887" t="s">
        <v>884</v>
      </c>
      <c r="G13" s="888"/>
      <c r="H13" s="628">
        <f>H11*1.2</f>
        <v>2372556</v>
      </c>
      <c r="I13" s="622"/>
    </row>
    <row r="14" spans="1:9" s="510" customFormat="1" ht="14">
      <c r="A14" s="914"/>
      <c r="B14" s="893"/>
      <c r="C14" s="894"/>
      <c r="D14" s="895"/>
      <c r="E14" s="901"/>
      <c r="F14" s="887" t="s">
        <v>885</v>
      </c>
      <c r="G14" s="888"/>
      <c r="H14" s="628">
        <f>H13*1.6</f>
        <v>3796089.6</v>
      </c>
      <c r="I14" s="637"/>
    </row>
    <row r="15" spans="1:9" s="510" customFormat="1" ht="14">
      <c r="A15" s="915"/>
      <c r="B15" s="896"/>
      <c r="C15" s="897"/>
      <c r="D15" s="898"/>
      <c r="E15" s="902"/>
      <c r="F15" s="911" t="s">
        <v>886</v>
      </c>
      <c r="G15" s="912"/>
      <c r="H15" s="636">
        <f>H14*1.8</f>
        <v>6832961.2800000003</v>
      </c>
      <c r="I15" s="623"/>
    </row>
    <row r="16" spans="1:9" s="510" customFormat="1" ht="15">
      <c r="A16" s="631">
        <v>2</v>
      </c>
      <c r="B16" s="908" t="s">
        <v>915</v>
      </c>
      <c r="C16" s="909"/>
      <c r="D16" s="909"/>
      <c r="E16" s="909"/>
      <c r="F16" s="909"/>
      <c r="G16" s="910"/>
      <c r="H16" s="632"/>
      <c r="I16" s="634">
        <f>I12</f>
        <v>6832961.2800000003</v>
      </c>
    </row>
    <row r="17" spans="1:9" s="510" customFormat="1" ht="15">
      <c r="A17" s="631"/>
      <c r="B17" s="908"/>
      <c r="C17" s="909"/>
      <c r="D17" s="909"/>
      <c r="E17" s="909"/>
      <c r="F17" s="909"/>
      <c r="G17" s="910"/>
      <c r="H17" s="633"/>
      <c r="I17" s="634"/>
    </row>
    <row r="18" spans="1:9" s="510" customFormat="1" ht="15">
      <c r="A18" s="631"/>
      <c r="B18" s="908"/>
      <c r="C18" s="909"/>
      <c r="D18" s="909"/>
      <c r="E18" s="909"/>
      <c r="F18" s="909"/>
      <c r="G18" s="910"/>
      <c r="H18" s="631"/>
      <c r="I18" s="634"/>
    </row>
    <row r="19" spans="1:9" s="510" customFormat="1">
      <c r="A19" s="610"/>
      <c r="B19" s="615"/>
      <c r="C19" s="882"/>
      <c r="D19" s="883"/>
      <c r="E19" s="235"/>
      <c r="F19" s="614"/>
    </row>
    <row r="20" spans="1:9" s="510" customFormat="1">
      <c r="A20" s="608"/>
      <c r="B20" s="611"/>
      <c r="C20" s="609"/>
      <c r="D20" s="528"/>
      <c r="E20" s="535"/>
      <c r="F20" s="536"/>
    </row>
    <row r="21" spans="1:9" s="510" customFormat="1">
      <c r="A21" s="610"/>
      <c r="B21" s="611"/>
      <c r="C21" s="882"/>
      <c r="D21" s="883"/>
      <c r="E21" s="612"/>
      <c r="F21" s="541"/>
    </row>
    <row r="22" spans="1:9" s="510" customFormat="1">
      <c r="A22" s="610"/>
      <c r="B22" s="611"/>
      <c r="C22" s="882"/>
      <c r="D22" s="883"/>
      <c r="E22" s="612"/>
      <c r="F22" s="541"/>
    </row>
    <row r="23" spans="1:9" s="510" customFormat="1">
      <c r="A23" s="610"/>
      <c r="B23" s="613"/>
      <c r="C23" s="882"/>
      <c r="D23" s="883"/>
      <c r="E23" s="612"/>
      <c r="F23" s="541"/>
    </row>
    <row r="24" spans="1:9" s="510" customFormat="1">
      <c r="A24" s="610"/>
      <c r="B24" s="533"/>
      <c r="C24" s="882"/>
      <c r="D24" s="883"/>
      <c r="E24" s="543"/>
      <c r="F24" s="614"/>
    </row>
    <row r="25" spans="1:9" s="510" customFormat="1">
      <c r="A25" s="610"/>
      <c r="B25" s="615"/>
      <c r="C25" s="882"/>
      <c r="D25" s="883"/>
      <c r="E25" s="235"/>
      <c r="F25" s="614"/>
    </row>
    <row r="26" spans="1:9" s="510" customFormat="1">
      <c r="A26" s="608"/>
      <c r="B26" s="611"/>
      <c r="C26" s="609"/>
      <c r="D26" s="528"/>
      <c r="E26" s="535"/>
      <c r="F26" s="536"/>
    </row>
    <row r="27" spans="1:9" s="510" customFormat="1">
      <c r="A27" s="610"/>
      <c r="B27" s="611"/>
      <c r="C27" s="882"/>
      <c r="D27" s="883"/>
      <c r="E27" s="612"/>
      <c r="F27" s="541"/>
    </row>
    <row r="28" spans="1:9" s="510" customFormat="1">
      <c r="A28" s="610"/>
      <c r="B28" s="611"/>
      <c r="C28" s="882"/>
      <c r="D28" s="883"/>
      <c r="E28" s="612"/>
      <c r="F28" s="541"/>
    </row>
    <row r="29" spans="1:9" s="510" customFormat="1">
      <c r="A29" s="610"/>
      <c r="B29" s="613"/>
      <c r="C29" s="882"/>
      <c r="D29" s="883"/>
      <c r="E29" s="612"/>
      <c r="F29" s="541"/>
    </row>
    <row r="30" spans="1:9" s="510" customFormat="1">
      <c r="A30" s="610"/>
      <c r="B30" s="533"/>
      <c r="C30" s="882"/>
      <c r="D30" s="883"/>
      <c r="E30" s="543"/>
      <c r="F30" s="614"/>
    </row>
    <row r="31" spans="1:9" s="510" customFormat="1">
      <c r="A31" s="610"/>
      <c r="B31" s="615"/>
      <c r="C31" s="882"/>
      <c r="D31" s="883"/>
      <c r="E31" s="235"/>
      <c r="F31" s="614"/>
    </row>
    <row r="32" spans="1:9" s="510" customFormat="1">
      <c r="A32" s="608"/>
      <c r="B32" s="611"/>
      <c r="C32" s="609"/>
      <c r="D32" s="528"/>
      <c r="E32" s="535"/>
      <c r="F32" s="536"/>
    </row>
    <row r="33" spans="1:6" s="510" customFormat="1">
      <c r="A33" s="610"/>
      <c r="B33" s="611"/>
      <c r="C33" s="882"/>
      <c r="D33" s="883"/>
      <c r="E33" s="612"/>
      <c r="F33" s="541"/>
    </row>
    <row r="34" spans="1:6" s="510" customFormat="1">
      <c r="A34" s="610"/>
      <c r="B34" s="611"/>
      <c r="C34" s="882"/>
      <c r="D34" s="883"/>
      <c r="E34" s="612"/>
      <c r="F34" s="541"/>
    </row>
    <row r="35" spans="1:6" s="510" customFormat="1">
      <c r="A35" s="610"/>
      <c r="B35" s="613"/>
      <c r="C35" s="882"/>
      <c r="D35" s="883"/>
      <c r="E35" s="612"/>
      <c r="F35" s="541"/>
    </row>
    <row r="36" spans="1:6" s="510" customFormat="1">
      <c r="A36" s="610"/>
      <c r="B36" s="533"/>
      <c r="C36" s="882"/>
      <c r="D36" s="883"/>
      <c r="E36" s="543"/>
      <c r="F36" s="614"/>
    </row>
    <row r="37" spans="1:6" s="510" customFormat="1">
      <c r="A37" s="610"/>
      <c r="B37" s="615"/>
      <c r="C37" s="882"/>
      <c r="D37" s="883"/>
      <c r="E37" s="235"/>
      <c r="F37" s="614"/>
    </row>
    <row r="38" spans="1:6" s="510" customFormat="1" ht="13.5" customHeight="1">
      <c r="A38" s="605"/>
      <c r="B38" s="884"/>
      <c r="C38" s="885"/>
      <c r="D38" s="606"/>
      <c r="E38" s="606"/>
      <c r="F38" s="616"/>
    </row>
    <row r="39" spans="1:6" s="510" customFormat="1" ht="13.5" customHeight="1">
      <c r="A39" s="605"/>
      <c r="B39" s="884"/>
      <c r="C39" s="885"/>
      <c r="D39" s="606"/>
      <c r="E39" s="606"/>
      <c r="F39" s="607"/>
    </row>
    <row r="40" spans="1:6" s="510" customFormat="1">
      <c r="A40" s="608"/>
      <c r="B40" s="611"/>
      <c r="C40" s="609"/>
      <c r="D40" s="528"/>
      <c r="E40" s="535"/>
      <c r="F40" s="536"/>
    </row>
    <row r="41" spans="1:6" s="510" customFormat="1">
      <c r="A41" s="610"/>
      <c r="B41" s="611"/>
      <c r="C41" s="882"/>
      <c r="D41" s="883"/>
      <c r="E41" s="612"/>
      <c r="F41" s="541"/>
    </row>
    <row r="42" spans="1:6" s="510" customFormat="1">
      <c r="A42" s="610"/>
      <c r="B42" s="611"/>
      <c r="C42" s="882"/>
      <c r="D42" s="883"/>
      <c r="E42" s="612"/>
      <c r="F42" s="541"/>
    </row>
    <row r="43" spans="1:6" s="510" customFormat="1">
      <c r="A43" s="610"/>
      <c r="B43" s="613"/>
      <c r="C43" s="882"/>
      <c r="D43" s="883"/>
      <c r="E43" s="612"/>
      <c r="F43" s="541"/>
    </row>
    <row r="44" spans="1:6" s="510" customFormat="1">
      <c r="A44" s="610"/>
      <c r="B44" s="533"/>
      <c r="C44" s="882"/>
      <c r="D44" s="883"/>
      <c r="E44" s="543"/>
      <c r="F44" s="614"/>
    </row>
    <row r="45" spans="1:6" s="510" customFormat="1">
      <c r="A45" s="610"/>
      <c r="B45" s="615"/>
      <c r="C45" s="882"/>
      <c r="D45" s="883"/>
      <c r="E45" s="235"/>
      <c r="F45" s="614"/>
    </row>
    <row r="46" spans="1:6" s="510" customFormat="1">
      <c r="A46" s="608"/>
      <c r="B46" s="611"/>
      <c r="C46" s="609"/>
      <c r="D46" s="528"/>
      <c r="E46" s="535"/>
      <c r="F46" s="536"/>
    </row>
    <row r="47" spans="1:6" s="510" customFormat="1">
      <c r="A47" s="610"/>
      <c r="B47" s="611"/>
      <c r="C47" s="882"/>
      <c r="D47" s="883"/>
      <c r="E47" s="612"/>
      <c r="F47" s="541"/>
    </row>
    <row r="48" spans="1:6" s="510" customFormat="1">
      <c r="A48" s="610"/>
      <c r="B48" s="611"/>
      <c r="C48" s="882"/>
      <c r="D48" s="883"/>
      <c r="E48" s="612"/>
      <c r="F48" s="541"/>
    </row>
    <row r="49" spans="1:6" s="510" customFormat="1">
      <c r="A49" s="610"/>
      <c r="B49" s="613"/>
      <c r="C49" s="882"/>
      <c r="D49" s="883"/>
      <c r="E49" s="612"/>
      <c r="F49" s="541"/>
    </row>
    <row r="50" spans="1:6" s="510" customFormat="1">
      <c r="A50" s="610"/>
      <c r="B50" s="533"/>
      <c r="C50" s="882"/>
      <c r="D50" s="883"/>
      <c r="E50" s="543"/>
      <c r="F50" s="614"/>
    </row>
    <row r="51" spans="1:6" s="510" customFormat="1">
      <c r="A51" s="610"/>
      <c r="B51" s="615"/>
      <c r="C51" s="882"/>
      <c r="D51" s="883"/>
      <c r="E51" s="235"/>
      <c r="F51" s="614"/>
    </row>
    <row r="52" spans="1:6" s="510" customFormat="1">
      <c r="A52" s="608"/>
      <c r="B52" s="611"/>
      <c r="C52" s="609"/>
      <c r="D52" s="528"/>
      <c r="E52" s="535"/>
      <c r="F52" s="536"/>
    </row>
    <row r="53" spans="1:6" s="510" customFormat="1">
      <c r="A53" s="610"/>
      <c r="B53" s="611"/>
      <c r="C53" s="882"/>
      <c r="D53" s="883"/>
      <c r="E53" s="612"/>
      <c r="F53" s="541"/>
    </row>
    <row r="54" spans="1:6" s="510" customFormat="1">
      <c r="A54" s="610"/>
      <c r="B54" s="611"/>
      <c r="C54" s="882"/>
      <c r="D54" s="883"/>
      <c r="E54" s="612"/>
      <c r="F54" s="541"/>
    </row>
    <row r="55" spans="1:6" s="510" customFormat="1">
      <c r="A55" s="610"/>
      <c r="B55" s="613"/>
      <c r="C55" s="882"/>
      <c r="D55" s="883"/>
      <c r="E55" s="612"/>
      <c r="F55" s="541"/>
    </row>
    <row r="56" spans="1:6" s="510" customFormat="1">
      <c r="A56" s="610"/>
      <c r="B56" s="533"/>
      <c r="C56" s="882"/>
      <c r="D56" s="883"/>
      <c r="E56" s="543"/>
      <c r="F56" s="614"/>
    </row>
    <row r="57" spans="1:6" s="510" customFormat="1">
      <c r="A57" s="610"/>
      <c r="B57" s="615"/>
      <c r="C57" s="882"/>
      <c r="D57" s="883"/>
      <c r="E57" s="235"/>
      <c r="F57" s="614"/>
    </row>
    <row r="58" spans="1:6" s="510" customFormat="1">
      <c r="A58" s="608"/>
      <c r="B58" s="611"/>
      <c r="C58" s="609"/>
      <c r="D58" s="528"/>
      <c r="E58" s="535"/>
      <c r="F58" s="536"/>
    </row>
    <row r="59" spans="1:6" s="510" customFormat="1">
      <c r="A59" s="610"/>
      <c r="B59" s="611"/>
      <c r="C59" s="882"/>
      <c r="D59" s="883"/>
      <c r="E59" s="612"/>
      <c r="F59" s="541"/>
    </row>
    <row r="60" spans="1:6" s="510" customFormat="1">
      <c r="A60" s="610"/>
      <c r="B60" s="611"/>
      <c r="C60" s="882"/>
      <c r="D60" s="883"/>
      <c r="E60" s="612"/>
      <c r="F60" s="541"/>
    </row>
    <row r="61" spans="1:6" s="510" customFormat="1">
      <c r="A61" s="610"/>
      <c r="B61" s="613"/>
      <c r="C61" s="882"/>
      <c r="D61" s="883"/>
      <c r="E61" s="612"/>
      <c r="F61" s="541"/>
    </row>
    <row r="62" spans="1:6" s="510" customFormat="1">
      <c r="A62" s="610"/>
      <c r="B62" s="533"/>
      <c r="C62" s="882"/>
      <c r="D62" s="883"/>
      <c r="E62" s="543"/>
      <c r="F62" s="614"/>
    </row>
    <row r="63" spans="1:6" s="510" customFormat="1">
      <c r="A63" s="610"/>
      <c r="B63" s="615"/>
      <c r="C63" s="882"/>
      <c r="D63" s="883"/>
      <c r="E63" s="235"/>
      <c r="F63" s="614"/>
    </row>
    <row r="64" spans="1:6" s="510" customFormat="1">
      <c r="A64" s="608"/>
      <c r="B64" s="611"/>
      <c r="C64" s="609"/>
      <c r="D64" s="528"/>
      <c r="E64" s="535"/>
      <c r="F64" s="536"/>
    </row>
    <row r="65" spans="1:6" s="510" customFormat="1">
      <c r="A65" s="610"/>
      <c r="B65" s="611"/>
      <c r="C65" s="882"/>
      <c r="D65" s="883"/>
      <c r="E65" s="612"/>
      <c r="F65" s="541"/>
    </row>
    <row r="66" spans="1:6" s="510" customFormat="1">
      <c r="A66" s="610"/>
      <c r="B66" s="611"/>
      <c r="C66" s="882"/>
      <c r="D66" s="883"/>
      <c r="E66" s="612"/>
      <c r="F66" s="541"/>
    </row>
    <row r="67" spans="1:6" s="510" customFormat="1">
      <c r="A67" s="610"/>
      <c r="B67" s="613"/>
      <c r="C67" s="882"/>
      <c r="D67" s="883"/>
      <c r="E67" s="612"/>
      <c r="F67" s="541"/>
    </row>
    <row r="68" spans="1:6" s="510" customFormat="1">
      <c r="A68" s="610"/>
      <c r="B68" s="533"/>
      <c r="C68" s="882"/>
      <c r="D68" s="883"/>
      <c r="E68" s="543"/>
      <c r="F68" s="614"/>
    </row>
    <row r="69" spans="1:6" s="510" customFormat="1">
      <c r="A69" s="610"/>
      <c r="B69" s="615"/>
      <c r="C69" s="882"/>
      <c r="D69" s="883"/>
      <c r="E69" s="235"/>
      <c r="F69" s="614"/>
    </row>
    <row r="70" spans="1:6" s="510" customFormat="1">
      <c r="A70" s="608"/>
      <c r="B70" s="611"/>
      <c r="C70" s="609"/>
      <c r="D70" s="528"/>
      <c r="E70" s="535"/>
      <c r="F70" s="536"/>
    </row>
    <row r="71" spans="1:6" s="510" customFormat="1">
      <c r="A71" s="610"/>
      <c r="B71" s="611"/>
      <c r="C71" s="882"/>
      <c r="D71" s="883"/>
      <c r="E71" s="612"/>
      <c r="F71" s="541"/>
    </row>
    <row r="72" spans="1:6" s="510" customFormat="1">
      <c r="A72" s="610"/>
      <c r="B72" s="611"/>
      <c r="C72" s="882"/>
      <c r="D72" s="883"/>
      <c r="E72" s="612"/>
      <c r="F72" s="541"/>
    </row>
    <row r="73" spans="1:6" s="510" customFormat="1">
      <c r="A73" s="610"/>
      <c r="B73" s="613"/>
      <c r="C73" s="882"/>
      <c r="D73" s="883"/>
      <c r="E73" s="612"/>
      <c r="F73" s="541"/>
    </row>
    <row r="74" spans="1:6" s="510" customFormat="1">
      <c r="A74" s="610"/>
      <c r="B74" s="533"/>
      <c r="C74" s="882"/>
      <c r="D74" s="883"/>
      <c r="E74" s="543"/>
      <c r="F74" s="614"/>
    </row>
    <row r="75" spans="1:6" s="510" customFormat="1">
      <c r="A75" s="610"/>
      <c r="B75" s="615"/>
      <c r="C75" s="882"/>
      <c r="D75" s="883"/>
      <c r="E75" s="235"/>
      <c r="F75" s="614"/>
    </row>
    <row r="76" spans="1:6" s="510" customFormat="1" ht="13.5" customHeight="1">
      <c r="A76" s="605"/>
      <c r="B76" s="884"/>
      <c r="C76" s="885"/>
      <c r="D76" s="606"/>
      <c r="E76" s="606"/>
      <c r="F76" s="616"/>
    </row>
    <row r="77" spans="1:6" s="510" customFormat="1" ht="13.5" customHeight="1">
      <c r="A77" s="605"/>
      <c r="B77" s="884"/>
      <c r="C77" s="885"/>
      <c r="D77" s="606"/>
      <c r="E77" s="606"/>
      <c r="F77" s="607"/>
    </row>
    <row r="78" spans="1:6" s="510" customFormat="1">
      <c r="A78" s="608"/>
      <c r="B78" s="611"/>
      <c r="C78" s="609"/>
      <c r="D78" s="528"/>
      <c r="E78" s="535"/>
      <c r="F78" s="536"/>
    </row>
    <row r="79" spans="1:6" s="510" customFormat="1">
      <c r="A79" s="610"/>
      <c r="B79" s="611"/>
      <c r="C79" s="527"/>
      <c r="D79" s="617"/>
      <c r="E79" s="612"/>
      <c r="F79" s="541"/>
    </row>
    <row r="80" spans="1:6" s="510" customFormat="1">
      <c r="A80" s="610"/>
      <c r="B80" s="611"/>
      <c r="C80" s="609"/>
      <c r="D80" s="528"/>
      <c r="E80" s="612"/>
      <c r="F80" s="541"/>
    </row>
    <row r="81" spans="1:6" s="510" customFormat="1">
      <c r="A81" s="610"/>
      <c r="B81" s="613"/>
      <c r="C81" s="609"/>
      <c r="D81" s="528"/>
      <c r="E81" s="612"/>
      <c r="F81" s="541"/>
    </row>
    <row r="82" spans="1:6" s="510" customFormat="1">
      <c r="A82" s="608"/>
      <c r="B82" s="611"/>
      <c r="C82" s="609"/>
      <c r="D82" s="528"/>
      <c r="E82" s="535"/>
      <c r="F82" s="536"/>
    </row>
    <row r="83" spans="1:6" s="510" customFormat="1">
      <c r="A83" s="610"/>
      <c r="B83" s="611"/>
      <c r="C83" s="527"/>
      <c r="D83" s="617"/>
      <c r="E83" s="612"/>
      <c r="F83" s="541"/>
    </row>
    <row r="84" spans="1:6" s="510" customFormat="1">
      <c r="A84" s="610"/>
      <c r="B84" s="611"/>
      <c r="C84" s="882"/>
      <c r="D84" s="883"/>
      <c r="E84" s="612"/>
      <c r="F84" s="541"/>
    </row>
    <row r="85" spans="1:6" s="510" customFormat="1">
      <c r="A85" s="610"/>
      <c r="B85" s="613"/>
      <c r="C85" s="882"/>
      <c r="D85" s="883"/>
      <c r="E85" s="612"/>
      <c r="F85" s="541"/>
    </row>
    <row r="86" spans="1:6" s="510" customFormat="1">
      <c r="A86" s="608"/>
      <c r="B86" s="611"/>
      <c r="C86" s="609"/>
      <c r="D86" s="528"/>
      <c r="E86" s="535"/>
      <c r="F86" s="536"/>
    </row>
    <row r="87" spans="1:6" s="510" customFormat="1">
      <c r="A87" s="610"/>
      <c r="B87" s="611"/>
      <c r="C87" s="527"/>
      <c r="D87" s="617"/>
      <c r="E87" s="612"/>
      <c r="F87" s="541"/>
    </row>
    <row r="88" spans="1:6" s="510" customFormat="1">
      <c r="A88" s="610"/>
      <c r="B88" s="611"/>
      <c r="C88" s="882"/>
      <c r="D88" s="883"/>
      <c r="E88" s="612"/>
      <c r="F88" s="541"/>
    </row>
    <row r="89" spans="1:6" s="510" customFormat="1">
      <c r="A89" s="610"/>
      <c r="B89" s="613"/>
      <c r="C89" s="882"/>
      <c r="D89" s="883"/>
      <c r="E89" s="612"/>
      <c r="F89" s="541"/>
    </row>
    <row r="90" spans="1:6" s="510" customFormat="1">
      <c r="A90" s="608"/>
      <c r="B90" s="611"/>
      <c r="C90" s="609"/>
      <c r="D90" s="528"/>
      <c r="E90" s="535"/>
      <c r="F90" s="536"/>
    </row>
    <row r="91" spans="1:6" s="510" customFormat="1">
      <c r="A91" s="610"/>
      <c r="B91" s="611"/>
      <c r="C91" s="527"/>
      <c r="D91" s="617"/>
      <c r="E91" s="612"/>
      <c r="F91" s="541"/>
    </row>
    <row r="92" spans="1:6" s="510" customFormat="1">
      <c r="A92" s="610"/>
      <c r="B92" s="611"/>
      <c r="C92" s="882"/>
      <c r="D92" s="883"/>
      <c r="E92" s="612"/>
      <c r="F92" s="541"/>
    </row>
    <row r="93" spans="1:6" s="510" customFormat="1">
      <c r="A93" s="610"/>
      <c r="B93" s="613"/>
      <c r="C93" s="882"/>
      <c r="D93" s="883"/>
      <c r="E93" s="612"/>
      <c r="F93" s="541"/>
    </row>
    <row r="94" spans="1:6" s="510" customFormat="1">
      <c r="A94" s="608"/>
      <c r="B94" s="611"/>
      <c r="C94" s="609"/>
      <c r="D94" s="528"/>
      <c r="E94" s="535"/>
      <c r="F94" s="536"/>
    </row>
    <row r="95" spans="1:6" s="510" customFormat="1">
      <c r="A95" s="610"/>
      <c r="B95" s="611"/>
      <c r="C95" s="527"/>
      <c r="D95" s="617"/>
      <c r="E95" s="612"/>
      <c r="F95" s="541"/>
    </row>
    <row r="96" spans="1:6" s="510" customFormat="1">
      <c r="A96" s="610"/>
      <c r="B96" s="611"/>
      <c r="C96" s="882"/>
      <c r="D96" s="883"/>
      <c r="E96" s="612"/>
      <c r="F96" s="541"/>
    </row>
    <row r="97" spans="1:6" s="510" customFormat="1">
      <c r="A97" s="610"/>
      <c r="B97" s="611"/>
      <c r="C97" s="882"/>
      <c r="D97" s="883"/>
      <c r="E97" s="612"/>
      <c r="F97" s="541"/>
    </row>
    <row r="98" spans="1:6" s="510" customFormat="1" ht="13.5" customHeight="1">
      <c r="A98" s="605"/>
      <c r="B98" s="884"/>
      <c r="C98" s="885"/>
      <c r="D98" s="606"/>
      <c r="E98" s="606"/>
      <c r="F98" s="616"/>
    </row>
    <row r="99" spans="1:6" s="511" customFormat="1" ht="18">
      <c r="A99" s="610"/>
      <c r="B99" s="513"/>
      <c r="C99" s="609"/>
      <c r="D99" s="528"/>
      <c r="E99" s="535"/>
      <c r="F99" s="618"/>
    </row>
    <row r="100" spans="1:6" ht="16">
      <c r="A100" s="512"/>
      <c r="B100" s="513"/>
      <c r="C100" s="514"/>
      <c r="D100" s="515"/>
      <c r="E100" s="516"/>
      <c r="F100" s="517"/>
    </row>
    <row r="101" spans="1:6">
      <c r="A101" s="512"/>
      <c r="B101" s="522"/>
      <c r="C101" s="522"/>
      <c r="D101" s="522"/>
      <c r="E101" s="522"/>
      <c r="F101" s="524"/>
    </row>
    <row r="102" spans="1:6" ht="17">
      <c r="A102" s="512"/>
      <c r="B102" s="526" t="s">
        <v>771</v>
      </c>
      <c r="C102" s="520" t="s">
        <v>772</v>
      </c>
      <c r="D102" s="522"/>
      <c r="E102" s="520"/>
      <c r="F102" s="520"/>
    </row>
    <row r="103" spans="1:6">
      <c r="A103" s="512"/>
      <c r="B103" s="525"/>
      <c r="C103" s="527"/>
      <c r="D103" s="528"/>
      <c r="E103" s="529"/>
      <c r="F103" s="530"/>
    </row>
    <row r="104" spans="1:6">
      <c r="A104" s="512"/>
      <c r="B104" s="531" t="s">
        <v>773</v>
      </c>
      <c r="C104" s="532"/>
      <c r="D104" s="533"/>
      <c r="E104" s="529"/>
      <c r="F104" s="530"/>
    </row>
    <row r="105" spans="1:6" ht="16">
      <c r="A105" s="512"/>
      <c r="B105" s="531" t="s">
        <v>774</v>
      </c>
      <c r="C105" s="520" t="s">
        <v>772</v>
      </c>
      <c r="D105" s="534"/>
      <c r="E105" s="535"/>
      <c r="F105" s="536"/>
    </row>
    <row r="106" spans="1:6">
      <c r="A106" s="512"/>
      <c r="B106" s="537"/>
      <c r="C106" s="538"/>
      <c r="D106" s="539"/>
      <c r="E106" s="540"/>
      <c r="F106" s="541"/>
    </row>
    <row r="107" spans="1:6">
      <c r="A107" s="512"/>
      <c r="B107" s="525"/>
      <c r="C107" s="538"/>
      <c r="D107" s="539"/>
      <c r="E107" s="540"/>
      <c r="F107" s="530"/>
    </row>
    <row r="108" spans="1:6">
      <c r="A108" s="512"/>
      <c r="B108" s="525"/>
      <c r="C108" s="532"/>
      <c r="D108" s="542"/>
      <c r="E108" s="543"/>
      <c r="F108" s="530"/>
    </row>
    <row r="109" spans="1:6">
      <c r="A109" s="512"/>
      <c r="B109" s="525"/>
      <c r="C109" s="527"/>
      <c r="D109" s="528"/>
      <c r="E109" s="529"/>
      <c r="F109" s="530"/>
    </row>
    <row r="110" spans="1:6">
      <c r="A110" s="512"/>
      <c r="B110" s="525"/>
      <c r="C110" s="527"/>
      <c r="D110" s="528"/>
      <c r="E110" s="529"/>
      <c r="F110" s="530"/>
    </row>
    <row r="111" spans="1:6">
      <c r="A111" s="512"/>
      <c r="B111" s="525"/>
      <c r="C111" s="532"/>
      <c r="D111" s="533"/>
      <c r="E111" s="529"/>
      <c r="F111" s="530"/>
    </row>
    <row r="112" spans="1:6">
      <c r="A112" s="512"/>
      <c r="B112" s="544"/>
      <c r="C112" s="527"/>
      <c r="D112" s="528"/>
      <c r="E112" s="529"/>
      <c r="F112" s="545"/>
    </row>
    <row r="113" spans="1:6">
      <c r="A113" s="512"/>
      <c r="B113" s="544"/>
      <c r="C113" s="532"/>
      <c r="D113" s="533"/>
      <c r="E113" s="546"/>
      <c r="F113" s="524"/>
    </row>
    <row r="114" spans="1:6" ht="16">
      <c r="A114" s="547"/>
      <c r="B114" s="513"/>
      <c r="C114" s="514"/>
      <c r="D114" s="515"/>
      <c r="E114" s="516"/>
      <c r="F114" s="517"/>
    </row>
    <row r="115" spans="1:6" ht="16">
      <c r="A115" s="547"/>
      <c r="B115" s="513"/>
      <c r="C115" s="514"/>
      <c r="D115" s="515"/>
      <c r="E115" s="516"/>
      <c r="F115" s="517"/>
    </row>
    <row r="116" spans="1:6" ht="16">
      <c r="A116" s="547"/>
      <c r="B116" s="513"/>
      <c r="C116" s="514"/>
      <c r="D116" s="515"/>
      <c r="E116" s="516"/>
      <c r="F116" s="517"/>
    </row>
    <row r="117" spans="1:6" ht="16">
      <c r="A117" s="547"/>
      <c r="B117" s="518"/>
      <c r="C117" s="519"/>
      <c r="D117" s="520"/>
      <c r="E117" s="520"/>
      <c r="F117" s="517"/>
    </row>
    <row r="118" spans="1:6" ht="16">
      <c r="A118" s="512"/>
      <c r="B118" s="521"/>
      <c r="C118" s="522"/>
      <c r="D118" s="522"/>
      <c r="E118" s="522"/>
      <c r="F118" s="523"/>
    </row>
    <row r="119" spans="1:6" ht="16">
      <c r="A119" s="512"/>
      <c r="B119" s="521"/>
      <c r="C119" s="522"/>
      <c r="D119" s="522"/>
      <c r="E119" s="522"/>
      <c r="F119" s="523"/>
    </row>
    <row r="120" spans="1:6">
      <c r="A120" s="512"/>
      <c r="B120" s="507"/>
      <c r="C120" s="522"/>
      <c r="D120" s="522"/>
      <c r="E120" s="522"/>
      <c r="F120" s="524"/>
    </row>
    <row r="121" spans="1:6">
      <c r="A121" s="512"/>
      <c r="B121" s="522"/>
      <c r="C121" s="522"/>
      <c r="D121" s="522"/>
      <c r="E121" s="522"/>
      <c r="F121" s="524"/>
    </row>
    <row r="122" spans="1:6">
      <c r="A122" s="512"/>
      <c r="B122" s="522"/>
      <c r="C122" s="522"/>
      <c r="D122" s="522"/>
      <c r="E122" s="522"/>
      <c r="F122" s="524"/>
    </row>
    <row r="123" spans="1:6">
      <c r="A123" s="512"/>
      <c r="B123" s="522"/>
      <c r="C123" s="522"/>
      <c r="D123" s="522"/>
      <c r="E123" s="522"/>
      <c r="F123" s="524"/>
    </row>
    <row r="124" spans="1:6">
      <c r="A124" s="512"/>
      <c r="B124" s="522"/>
      <c r="C124" s="522"/>
      <c r="D124" s="522"/>
      <c r="E124" s="522"/>
      <c r="F124" s="524"/>
    </row>
    <row r="125" spans="1:6">
      <c r="A125" s="512"/>
      <c r="B125" s="522"/>
      <c r="C125" s="522"/>
      <c r="D125" s="522"/>
      <c r="E125" s="522"/>
      <c r="F125" s="524"/>
    </row>
    <row r="126" spans="1:6">
      <c r="A126" s="512"/>
      <c r="B126" s="522"/>
      <c r="C126" s="522"/>
      <c r="D126" s="522"/>
      <c r="E126" s="522"/>
      <c r="F126" s="524"/>
    </row>
    <row r="127" spans="1:6">
      <c r="A127" s="512"/>
      <c r="B127" s="522"/>
      <c r="C127" s="522"/>
      <c r="D127" s="522"/>
      <c r="E127" s="522"/>
      <c r="F127" s="524"/>
    </row>
    <row r="128" spans="1:6">
      <c r="A128" s="512"/>
      <c r="B128" s="522"/>
      <c r="C128" s="522"/>
      <c r="D128" s="522"/>
      <c r="E128" s="522"/>
      <c r="F128" s="524"/>
    </row>
    <row r="129" spans="1:6">
      <c r="A129" s="522"/>
      <c r="B129" s="507"/>
      <c r="C129" s="522"/>
      <c r="D129" s="522"/>
      <c r="E129" s="522"/>
      <c r="F129" s="524"/>
    </row>
    <row r="130" spans="1:6">
      <c r="A130" s="522"/>
      <c r="B130" s="525"/>
      <c r="C130" s="522"/>
      <c r="D130" s="522"/>
      <c r="E130" s="522"/>
      <c r="F130" s="524"/>
    </row>
    <row r="131" spans="1:6">
      <c r="A131" s="522"/>
      <c r="B131" s="522"/>
      <c r="C131" s="522"/>
      <c r="D131" s="522"/>
      <c r="E131" s="522"/>
      <c r="F131" s="524"/>
    </row>
    <row r="132" spans="1:6" ht="16">
      <c r="A132" s="522"/>
      <c r="B132" s="548"/>
      <c r="C132" s="520"/>
      <c r="D132" s="522"/>
      <c r="E132" s="520"/>
      <c r="F132" s="520"/>
    </row>
    <row r="133" spans="1:6" ht="16">
      <c r="A133" s="522"/>
      <c r="B133" s="544"/>
      <c r="C133" s="520"/>
      <c r="D133" s="522"/>
      <c r="E133" s="522"/>
      <c r="F133" s="524"/>
    </row>
    <row r="134" spans="1:6" ht="16">
      <c r="A134" s="522"/>
      <c r="B134" s="518"/>
      <c r="C134" s="520"/>
      <c r="D134" s="522"/>
      <c r="E134" s="520"/>
      <c r="F134" s="549"/>
    </row>
    <row r="135" spans="1:6" ht="16">
      <c r="A135" s="522"/>
      <c r="B135" s="550"/>
      <c r="C135" s="520"/>
      <c r="D135" s="522"/>
      <c r="E135" s="520"/>
      <c r="F135" s="520"/>
    </row>
    <row r="136" spans="1:6" ht="16">
      <c r="A136" s="522"/>
      <c r="B136" s="550"/>
      <c r="C136" s="520"/>
      <c r="D136" s="551"/>
      <c r="E136" s="551"/>
      <c r="F136" s="551"/>
    </row>
    <row r="137" spans="1:6" ht="16">
      <c r="A137" s="522"/>
      <c r="B137" s="518"/>
      <c r="C137" s="520"/>
      <c r="D137" s="552"/>
      <c r="E137" s="552"/>
      <c r="F137" s="552"/>
    </row>
    <row r="138" spans="1:6" ht="16">
      <c r="A138" s="508"/>
      <c r="B138" s="504"/>
      <c r="C138" s="505"/>
      <c r="D138" s="505"/>
      <c r="E138" s="505"/>
      <c r="F138" s="506"/>
    </row>
  </sheetData>
  <mergeCells count="74">
    <mergeCell ref="B16:G16"/>
    <mergeCell ref="F15:G15"/>
    <mergeCell ref="A10:A15"/>
    <mergeCell ref="B17:G17"/>
    <mergeCell ref="B18:G18"/>
    <mergeCell ref="D1:H1"/>
    <mergeCell ref="F13:G13"/>
    <mergeCell ref="B9:D9"/>
    <mergeCell ref="F9:G9"/>
    <mergeCell ref="B10:D15"/>
    <mergeCell ref="E10:E15"/>
    <mergeCell ref="F14:G14"/>
    <mergeCell ref="A4:I4"/>
    <mergeCell ref="F10:G12"/>
    <mergeCell ref="A3:F3"/>
    <mergeCell ref="C19:D19"/>
    <mergeCell ref="C65:D65"/>
    <mergeCell ref="C28:D28"/>
    <mergeCell ref="C29:D29"/>
    <mergeCell ref="C33:D33"/>
    <mergeCell ref="C34:D34"/>
    <mergeCell ref="C48:D48"/>
    <mergeCell ref="C49:D49"/>
    <mergeCell ref="C31:D31"/>
    <mergeCell ref="C22:D22"/>
    <mergeCell ref="C23:D23"/>
    <mergeCell ref="C30:D30"/>
    <mergeCell ref="C62:D62"/>
    <mergeCell ref="C63:D63"/>
    <mergeCell ref="C60:D60"/>
    <mergeCell ref="C53:D53"/>
    <mergeCell ref="C21:D21"/>
    <mergeCell ref="C24:D24"/>
    <mergeCell ref="C25:D25"/>
    <mergeCell ref="C27:D27"/>
    <mergeCell ref="C51:D51"/>
    <mergeCell ref="C43:D43"/>
    <mergeCell ref="C44:D44"/>
    <mergeCell ref="C45:D45"/>
    <mergeCell ref="C42:D42"/>
    <mergeCell ref="B38:C38"/>
    <mergeCell ref="C35:D35"/>
    <mergeCell ref="C36:D36"/>
    <mergeCell ref="C37:D37"/>
    <mergeCell ref="B39:C39"/>
    <mergeCell ref="C41:D41"/>
    <mergeCell ref="C97:D97"/>
    <mergeCell ref="B98:C98"/>
    <mergeCell ref="C88:D88"/>
    <mergeCell ref="C89:D89"/>
    <mergeCell ref="C73:D73"/>
    <mergeCell ref="C74:D74"/>
    <mergeCell ref="C75:D75"/>
    <mergeCell ref="C92:D92"/>
    <mergeCell ref="C93:D93"/>
    <mergeCell ref="C96:D96"/>
    <mergeCell ref="B76:C76"/>
    <mergeCell ref="B77:C77"/>
    <mergeCell ref="C84:D84"/>
    <mergeCell ref="C85:D85"/>
    <mergeCell ref="C72:D72"/>
    <mergeCell ref="C47:D47"/>
    <mergeCell ref="C50:D50"/>
    <mergeCell ref="C66:D66"/>
    <mergeCell ref="C67:D67"/>
    <mergeCell ref="C68:D68"/>
    <mergeCell ref="C69:D69"/>
    <mergeCell ref="C71:D71"/>
    <mergeCell ref="C59:D59"/>
    <mergeCell ref="C61:D61"/>
    <mergeCell ref="C56:D56"/>
    <mergeCell ref="C57:D57"/>
    <mergeCell ref="C54:D54"/>
    <mergeCell ref="C55:D55"/>
  </mergeCells>
  <pageMargins left="0.51181102362204722" right="0.23622047244094491" top="0.62992125984251968" bottom="0.6692913385826772" header="0.51181102362204722" footer="0.51181102362204722"/>
  <pageSetup paperSize="9" scale="55" firstPageNumber="412" fitToHeight="0" orientation="portrait" useFirstPageNumber="1" r:id="rId1"/>
  <headerFooter alignWithMargins="0"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I51"/>
  <sheetViews>
    <sheetView view="pageBreakPreview" topLeftCell="A34" zoomScale="115" zoomScaleNormal="115" zoomScaleSheetLayoutView="115" workbookViewId="0">
      <selection activeCell="H14" sqref="H14"/>
    </sheetView>
  </sheetViews>
  <sheetFormatPr baseColWidth="10" defaultColWidth="9.1640625" defaultRowHeight="14"/>
  <cols>
    <col min="1" max="2" width="9.1640625" style="1"/>
    <col min="3" max="3" width="10.5" style="1" customWidth="1"/>
    <col min="4" max="4" width="20" style="1" customWidth="1"/>
    <col min="5" max="5" width="9.1640625" style="1"/>
    <col min="6" max="6" width="11.6640625" style="1" customWidth="1"/>
    <col min="7" max="7" width="23.5" style="1" customWidth="1"/>
    <col min="8" max="8" width="20.5" style="1" customWidth="1"/>
    <col min="9" max="9" width="14" style="1" customWidth="1"/>
    <col min="10" max="16384" width="9.1640625" style="1"/>
  </cols>
  <sheetData>
    <row r="2" spans="1:9" ht="20">
      <c r="D2" s="933" t="s">
        <v>888</v>
      </c>
      <c r="E2" s="933"/>
      <c r="F2" s="933"/>
      <c r="G2" s="933"/>
      <c r="H2" s="933"/>
    </row>
    <row r="4" spans="1:9" ht="22.5" customHeight="1">
      <c r="A4" s="791" t="s">
        <v>916</v>
      </c>
      <c r="B4" s="791"/>
      <c r="C4" s="791"/>
      <c r="D4" s="791"/>
      <c r="E4" s="791"/>
      <c r="F4" s="791"/>
      <c r="G4" s="692"/>
    </row>
    <row r="5" spans="1:9">
      <c r="A5" s="796" t="s">
        <v>164</v>
      </c>
      <c r="B5" s="796"/>
      <c r="C5" s="796"/>
      <c r="D5" s="796"/>
      <c r="E5" s="796"/>
      <c r="F5" s="796"/>
      <c r="G5" s="796"/>
    </row>
    <row r="6" spans="1:9">
      <c r="A6" s="16" t="s">
        <v>291</v>
      </c>
      <c r="B6" s="17"/>
      <c r="C6" s="17"/>
      <c r="D6" s="17"/>
      <c r="E6" s="17"/>
      <c r="F6" s="17"/>
      <c r="G6" s="17"/>
    </row>
    <row r="7" spans="1:9">
      <c r="A7" s="16" t="s">
        <v>149</v>
      </c>
      <c r="B7" s="16"/>
      <c r="C7" s="18"/>
      <c r="D7" s="18"/>
      <c r="E7" s="18"/>
      <c r="F7" s="4"/>
      <c r="G7" s="4"/>
    </row>
    <row r="8" spans="1:9">
      <c r="A8" s="16" t="s">
        <v>923</v>
      </c>
      <c r="B8" s="16"/>
      <c r="C8" s="19"/>
      <c r="D8" s="16"/>
      <c r="E8" s="16"/>
      <c r="F8" s="4"/>
      <c r="G8" s="4"/>
    </row>
    <row r="10" spans="1:9" ht="51">
      <c r="A10" s="691" t="s">
        <v>0</v>
      </c>
      <c r="B10" s="889" t="s">
        <v>1</v>
      </c>
      <c r="C10" s="889"/>
      <c r="D10" s="889"/>
      <c r="E10" s="683" t="s">
        <v>2</v>
      </c>
      <c r="F10" s="889" t="s">
        <v>3</v>
      </c>
      <c r="G10" s="889"/>
      <c r="H10" s="683"/>
      <c r="I10" s="683" t="s">
        <v>4</v>
      </c>
    </row>
    <row r="11" spans="1:9">
      <c r="A11" s="913">
        <v>1</v>
      </c>
      <c r="B11" s="890" t="s">
        <v>917</v>
      </c>
      <c r="C11" s="891"/>
      <c r="D11" s="905"/>
      <c r="E11" s="930" t="s">
        <v>5</v>
      </c>
      <c r="F11" s="904" t="s">
        <v>920</v>
      </c>
      <c r="G11" s="905"/>
      <c r="H11" s="139" t="s">
        <v>921</v>
      </c>
      <c r="I11" s="5"/>
    </row>
    <row r="12" spans="1:9">
      <c r="A12" s="914"/>
      <c r="B12" s="893"/>
      <c r="C12" s="894"/>
      <c r="D12" s="888"/>
      <c r="E12" s="931"/>
      <c r="F12" s="911"/>
      <c r="G12" s="912"/>
      <c r="H12" s="3">
        <f>1726.92+4.43*200</f>
        <v>2612.92</v>
      </c>
      <c r="I12" s="6"/>
    </row>
    <row r="13" spans="1:9">
      <c r="A13" s="914"/>
      <c r="B13" s="893"/>
      <c r="C13" s="894"/>
      <c r="D13" s="888"/>
      <c r="E13" s="931"/>
      <c r="F13" s="887" t="s">
        <v>165</v>
      </c>
      <c r="G13" s="888"/>
      <c r="H13" s="132">
        <f>H12*1.14</f>
        <v>2978.7287999999999</v>
      </c>
      <c r="I13" s="135">
        <f>H16</f>
        <v>730.08642887999997</v>
      </c>
    </row>
    <row r="14" spans="1:9">
      <c r="A14" s="914"/>
      <c r="B14" s="893"/>
      <c r="C14" s="894"/>
      <c r="D14" s="888"/>
      <c r="E14" s="931"/>
      <c r="F14" s="887" t="s">
        <v>918</v>
      </c>
      <c r="G14" s="888"/>
      <c r="H14" s="132">
        <f>H13*0.3</f>
        <v>893.61863999999991</v>
      </c>
      <c r="I14" s="6"/>
    </row>
    <row r="15" spans="1:9" ht="30" customHeight="1">
      <c r="A15" s="914"/>
      <c r="B15" s="893"/>
      <c r="C15" s="894"/>
      <c r="D15" s="888"/>
      <c r="E15" s="931"/>
      <c r="F15" s="926" t="s">
        <v>293</v>
      </c>
      <c r="G15" s="927"/>
      <c r="H15" s="132"/>
      <c r="I15" s="134"/>
    </row>
    <row r="16" spans="1:9" ht="29.25" customHeight="1">
      <c r="A16" s="915"/>
      <c r="B16" s="896"/>
      <c r="C16" s="897"/>
      <c r="D16" s="912"/>
      <c r="E16" s="932"/>
      <c r="F16" s="928" t="s">
        <v>166</v>
      </c>
      <c r="G16" s="929"/>
      <c r="H16" s="133">
        <f>H14-H14*(0.175+0.008)</f>
        <v>730.08642887999997</v>
      </c>
      <c r="I16" s="7"/>
    </row>
    <row r="17" spans="1:9">
      <c r="A17" s="913" t="s">
        <v>29</v>
      </c>
      <c r="B17" s="916" t="s">
        <v>288</v>
      </c>
      <c r="C17" s="917"/>
      <c r="D17" s="899"/>
      <c r="E17" s="921" t="s">
        <v>6</v>
      </c>
      <c r="F17" s="924" t="s">
        <v>176</v>
      </c>
      <c r="G17" s="925"/>
      <c r="H17" s="136">
        <v>443</v>
      </c>
      <c r="I17" s="135">
        <f>H21</f>
        <v>119.992752</v>
      </c>
    </row>
    <row r="18" spans="1:9">
      <c r="A18" s="914"/>
      <c r="B18" s="918"/>
      <c r="C18" s="901"/>
      <c r="D18" s="900"/>
      <c r="E18" s="922"/>
      <c r="F18" s="887" t="s">
        <v>165</v>
      </c>
      <c r="G18" s="888"/>
      <c r="H18" s="132"/>
      <c r="I18" s="135"/>
    </row>
    <row r="19" spans="1:9" ht="15" customHeight="1">
      <c r="A19" s="914"/>
      <c r="B19" s="918"/>
      <c r="C19" s="901"/>
      <c r="D19" s="900"/>
      <c r="E19" s="922"/>
      <c r="F19" s="887" t="s">
        <v>918</v>
      </c>
      <c r="G19" s="888"/>
      <c r="H19" s="132">
        <f>H17*1.14*1</f>
        <v>505.02</v>
      </c>
      <c r="I19" s="6"/>
    </row>
    <row r="20" spans="1:9" ht="30" customHeight="1">
      <c r="A20" s="914"/>
      <c r="B20" s="918"/>
      <c r="C20" s="901"/>
      <c r="D20" s="900"/>
      <c r="E20" s="922"/>
      <c r="F20" s="926" t="s">
        <v>294</v>
      </c>
      <c r="G20" s="927"/>
      <c r="H20" s="132">
        <f>H19*0.3</f>
        <v>151.506</v>
      </c>
      <c r="I20" s="134"/>
    </row>
    <row r="21" spans="1:9" ht="30" customHeight="1">
      <c r="A21" s="915"/>
      <c r="B21" s="919"/>
      <c r="C21" s="902"/>
      <c r="D21" s="920"/>
      <c r="E21" s="923"/>
      <c r="F21" s="928" t="s">
        <v>166</v>
      </c>
      <c r="G21" s="929"/>
      <c r="H21" s="133">
        <f>H20-H20*(0.2+0.008)</f>
        <v>119.992752</v>
      </c>
      <c r="I21" s="7"/>
    </row>
    <row r="22" spans="1:9" ht="15" customHeight="1">
      <c r="A22" s="913" t="s">
        <v>32</v>
      </c>
      <c r="B22" s="916" t="s">
        <v>169</v>
      </c>
      <c r="C22" s="917"/>
      <c r="D22" s="899"/>
      <c r="E22" s="921" t="s">
        <v>919</v>
      </c>
      <c r="F22" s="924" t="s">
        <v>168</v>
      </c>
      <c r="G22" s="925"/>
      <c r="H22" s="136">
        <v>81.23</v>
      </c>
      <c r="I22" s="135">
        <f>H24*4</f>
        <v>85.778880000000001</v>
      </c>
    </row>
    <row r="23" spans="1:9" ht="15" customHeight="1">
      <c r="A23" s="914"/>
      <c r="B23" s="918"/>
      <c r="C23" s="901"/>
      <c r="D23" s="900"/>
      <c r="E23" s="922"/>
      <c r="F23" s="887" t="s">
        <v>918</v>
      </c>
      <c r="G23" s="888"/>
      <c r="H23" s="132">
        <f>H22*0.3</f>
        <v>24.369</v>
      </c>
      <c r="I23" s="6"/>
    </row>
    <row r="24" spans="1:9" ht="30" customHeight="1">
      <c r="A24" s="914"/>
      <c r="B24" s="918"/>
      <c r="C24" s="901"/>
      <c r="D24" s="900"/>
      <c r="E24" s="922"/>
      <c r="F24" s="926" t="s">
        <v>295</v>
      </c>
      <c r="G24" s="927"/>
      <c r="H24" s="132">
        <f>H23-H23*(0.1+0.02)</f>
        <v>21.44472</v>
      </c>
      <c r="I24" s="134"/>
    </row>
    <row r="25" spans="1:9" ht="30" customHeight="1">
      <c r="A25" s="915"/>
      <c r="B25" s="919"/>
      <c r="C25" s="902"/>
      <c r="D25" s="920"/>
      <c r="E25" s="923"/>
      <c r="F25" s="928" t="s">
        <v>296</v>
      </c>
      <c r="G25" s="929"/>
      <c r="H25" s="133"/>
      <c r="I25" s="7"/>
    </row>
    <row r="26" spans="1:9">
      <c r="A26" s="913" t="s">
        <v>40</v>
      </c>
      <c r="B26" s="930" t="s">
        <v>156</v>
      </c>
      <c r="C26" s="930"/>
      <c r="D26" s="930"/>
      <c r="E26" s="921" t="s">
        <v>6</v>
      </c>
      <c r="F26" s="936" t="s">
        <v>170</v>
      </c>
      <c r="G26" s="937"/>
      <c r="H26" s="138" t="s">
        <v>171</v>
      </c>
      <c r="I26" s="135">
        <f>H29</f>
        <v>376.2</v>
      </c>
    </row>
    <row r="27" spans="1:9" ht="15" customHeight="1">
      <c r="A27" s="914"/>
      <c r="B27" s="931"/>
      <c r="C27" s="931"/>
      <c r="D27" s="931"/>
      <c r="E27" s="922"/>
      <c r="F27" s="887" t="s">
        <v>918</v>
      </c>
      <c r="G27" s="888"/>
      <c r="H27" s="132">
        <f>385+45*2</f>
        <v>475</v>
      </c>
      <c r="I27" s="6"/>
    </row>
    <row r="28" spans="1:9">
      <c r="A28" s="914"/>
      <c r="B28" s="931"/>
      <c r="C28" s="931"/>
      <c r="D28" s="931"/>
      <c r="E28" s="922"/>
      <c r="F28" s="926" t="s">
        <v>294</v>
      </c>
      <c r="G28" s="927"/>
      <c r="H28" s="132">
        <f>H27*1</f>
        <v>475</v>
      </c>
      <c r="I28" s="6"/>
    </row>
    <row r="29" spans="1:9" ht="30" customHeight="1">
      <c r="A29" s="914"/>
      <c r="B29" s="931"/>
      <c r="C29" s="931"/>
      <c r="D29" s="931"/>
      <c r="E29" s="922"/>
      <c r="F29" s="928" t="s">
        <v>166</v>
      </c>
      <c r="G29" s="929"/>
      <c r="H29" s="132">
        <f>H28-H28*(0.2+0.008)</f>
        <v>376.2</v>
      </c>
      <c r="I29" s="7"/>
    </row>
    <row r="30" spans="1:9">
      <c r="A30" s="913" t="s">
        <v>64</v>
      </c>
      <c r="B30" s="930" t="s">
        <v>155</v>
      </c>
      <c r="C30" s="930"/>
      <c r="D30" s="930"/>
      <c r="E30" s="921" t="s">
        <v>6</v>
      </c>
      <c r="F30" s="936" t="s">
        <v>172</v>
      </c>
      <c r="G30" s="937"/>
      <c r="H30" s="138" t="s">
        <v>174</v>
      </c>
      <c r="I30" s="135">
        <f>H33</f>
        <v>48.707099999999997</v>
      </c>
    </row>
    <row r="31" spans="1:9">
      <c r="A31" s="914"/>
      <c r="B31" s="931"/>
      <c r="C31" s="931"/>
      <c r="D31" s="931"/>
      <c r="E31" s="922"/>
      <c r="F31" s="887" t="s">
        <v>918</v>
      </c>
      <c r="G31" s="888"/>
      <c r="H31" s="132">
        <f>89.76+0.41*211.5</f>
        <v>176.47499999999999</v>
      </c>
      <c r="I31" s="6"/>
    </row>
    <row r="32" spans="1:9" ht="30.75" customHeight="1">
      <c r="A32" s="914"/>
      <c r="B32" s="931"/>
      <c r="C32" s="931"/>
      <c r="D32" s="931"/>
      <c r="E32" s="922"/>
      <c r="F32" s="926" t="s">
        <v>297</v>
      </c>
      <c r="G32" s="927"/>
      <c r="H32" s="132">
        <f>H31*0.3</f>
        <v>52.942499999999995</v>
      </c>
      <c r="I32" s="134"/>
    </row>
    <row r="33" spans="1:9" ht="30.75" customHeight="1">
      <c r="A33" s="915"/>
      <c r="B33" s="932"/>
      <c r="C33" s="932"/>
      <c r="D33" s="932"/>
      <c r="E33" s="923"/>
      <c r="F33" s="928" t="s">
        <v>173</v>
      </c>
      <c r="G33" s="929"/>
      <c r="H33" s="133">
        <f>H32-H32*(0.05+0.03)</f>
        <v>48.707099999999997</v>
      </c>
      <c r="I33" s="7"/>
    </row>
    <row r="34" spans="1:9" ht="15" customHeight="1">
      <c r="A34" s="913" t="s">
        <v>76</v>
      </c>
      <c r="B34" s="916" t="s">
        <v>175</v>
      </c>
      <c r="C34" s="917"/>
      <c r="D34" s="899"/>
      <c r="E34" s="921" t="s">
        <v>167</v>
      </c>
      <c r="F34" s="924" t="s">
        <v>176</v>
      </c>
      <c r="G34" s="925"/>
      <c r="H34" s="136">
        <v>443</v>
      </c>
      <c r="I34" s="135">
        <f>H38</f>
        <v>119.992752</v>
      </c>
    </row>
    <row r="35" spans="1:9" ht="15" customHeight="1">
      <c r="A35" s="914"/>
      <c r="B35" s="918"/>
      <c r="C35" s="901"/>
      <c r="D35" s="900"/>
      <c r="E35" s="922"/>
      <c r="F35" s="887" t="s">
        <v>165</v>
      </c>
      <c r="G35" s="888"/>
      <c r="H35" s="132"/>
      <c r="I35" s="135"/>
    </row>
    <row r="36" spans="1:9" ht="15" customHeight="1">
      <c r="A36" s="914"/>
      <c r="B36" s="918"/>
      <c r="C36" s="901"/>
      <c r="D36" s="900"/>
      <c r="E36" s="922"/>
      <c r="F36" s="887" t="s">
        <v>918</v>
      </c>
      <c r="G36" s="888"/>
      <c r="H36" s="132">
        <f>H34*1.14</f>
        <v>505.02</v>
      </c>
      <c r="I36" s="6"/>
    </row>
    <row r="37" spans="1:9" ht="30" customHeight="1">
      <c r="A37" s="914"/>
      <c r="B37" s="918"/>
      <c r="C37" s="901"/>
      <c r="D37" s="900"/>
      <c r="E37" s="922"/>
      <c r="F37" s="926" t="s">
        <v>294</v>
      </c>
      <c r="G37" s="927"/>
      <c r="H37" s="132">
        <f>H36*0.3</f>
        <v>151.506</v>
      </c>
      <c r="I37" s="134"/>
    </row>
    <row r="38" spans="1:9" ht="30" customHeight="1">
      <c r="A38" s="915"/>
      <c r="B38" s="919"/>
      <c r="C38" s="902"/>
      <c r="D38" s="920"/>
      <c r="E38" s="923"/>
      <c r="F38" s="928" t="s">
        <v>166</v>
      </c>
      <c r="G38" s="929"/>
      <c r="H38" s="133">
        <f>H37-H37*(0.2+0.008)</f>
        <v>119.992752</v>
      </c>
      <c r="I38" s="7"/>
    </row>
    <row r="39" spans="1:9">
      <c r="A39" s="913" t="s">
        <v>80</v>
      </c>
      <c r="B39" s="916" t="s">
        <v>157</v>
      </c>
      <c r="C39" s="917"/>
      <c r="D39" s="899"/>
      <c r="E39" s="921" t="s">
        <v>167</v>
      </c>
      <c r="F39" s="924" t="s">
        <v>177</v>
      </c>
      <c r="G39" s="925"/>
      <c r="H39" s="136">
        <v>127.07</v>
      </c>
      <c r="I39" s="135">
        <f>H41*2</f>
        <v>70.905059999999992</v>
      </c>
    </row>
    <row r="40" spans="1:9" ht="15" customHeight="1">
      <c r="A40" s="914"/>
      <c r="B40" s="918"/>
      <c r="C40" s="901"/>
      <c r="D40" s="900"/>
      <c r="E40" s="922"/>
      <c r="F40" s="887" t="s">
        <v>918</v>
      </c>
      <c r="G40" s="888"/>
      <c r="H40" s="132">
        <f>H39*0.3</f>
        <v>38.120999999999995</v>
      </c>
      <c r="I40" s="6"/>
    </row>
    <row r="41" spans="1:9" ht="29.25" customHeight="1">
      <c r="A41" s="914"/>
      <c r="B41" s="918"/>
      <c r="C41" s="901"/>
      <c r="D41" s="900"/>
      <c r="E41" s="922"/>
      <c r="F41" s="926" t="s">
        <v>298</v>
      </c>
      <c r="G41" s="927"/>
      <c r="H41" s="132">
        <f>H40-H40*(0.05+0.02)</f>
        <v>35.452529999999996</v>
      </c>
      <c r="I41" s="134"/>
    </row>
    <row r="42" spans="1:9" ht="30" customHeight="1">
      <c r="A42" s="915"/>
      <c r="B42" s="919"/>
      <c r="C42" s="902"/>
      <c r="D42" s="920"/>
      <c r="E42" s="923"/>
      <c r="F42" s="928" t="s">
        <v>296</v>
      </c>
      <c r="G42" s="929"/>
      <c r="H42" s="133"/>
      <c r="I42" s="7"/>
    </row>
    <row r="43" spans="1:9">
      <c r="A43" s="913" t="s">
        <v>123</v>
      </c>
      <c r="B43" s="916" t="s">
        <v>178</v>
      </c>
      <c r="C43" s="917"/>
      <c r="D43" s="899"/>
      <c r="E43" s="921" t="s">
        <v>6</v>
      </c>
      <c r="F43" s="924" t="s">
        <v>179</v>
      </c>
      <c r="G43" s="925"/>
      <c r="H43" s="136" t="s">
        <v>180</v>
      </c>
      <c r="I43" s="135">
        <f>H46</f>
        <v>2.0914440000000001</v>
      </c>
    </row>
    <row r="44" spans="1:9" ht="15" customHeight="1">
      <c r="A44" s="914"/>
      <c r="B44" s="918"/>
      <c r="C44" s="901"/>
      <c r="D44" s="900"/>
      <c r="E44" s="922"/>
      <c r="F44" s="887" t="s">
        <v>918</v>
      </c>
      <c r="G44" s="888"/>
      <c r="H44" s="132">
        <f>7+0.122*93</f>
        <v>18.346</v>
      </c>
      <c r="I44" s="6"/>
    </row>
    <row r="45" spans="1:9" ht="32.25" customHeight="1">
      <c r="A45" s="914"/>
      <c r="B45" s="918"/>
      <c r="C45" s="901"/>
      <c r="D45" s="900"/>
      <c r="E45" s="922"/>
      <c r="F45" s="926" t="s">
        <v>299</v>
      </c>
      <c r="G45" s="927"/>
      <c r="H45" s="132">
        <f>H44*0.3</f>
        <v>5.5038</v>
      </c>
      <c r="I45" s="134"/>
    </row>
    <row r="46" spans="1:9">
      <c r="A46" s="915"/>
      <c r="B46" s="919"/>
      <c r="C46" s="902"/>
      <c r="D46" s="920"/>
      <c r="E46" s="923"/>
      <c r="F46" s="928"/>
      <c r="G46" s="929"/>
      <c r="H46" s="133">
        <f>H45-H45*(0.62)</f>
        <v>2.0914440000000001</v>
      </c>
      <c r="I46" s="7"/>
    </row>
    <row r="47" spans="1:9" ht="15" thickBot="1"/>
    <row r="48" spans="1:9" ht="19" thickBot="1">
      <c r="B48" s="934" t="s">
        <v>145</v>
      </c>
      <c r="C48" s="935"/>
      <c r="D48" s="935"/>
      <c r="E48" s="8"/>
      <c r="F48" s="8"/>
      <c r="G48" s="8"/>
      <c r="H48" s="8"/>
      <c r="I48" s="137">
        <f>SUM(I11:I46)*1000</f>
        <v>1553754.4168799997</v>
      </c>
    </row>
    <row r="49" spans="2:9" ht="15" customHeight="1">
      <c r="B49" s="938"/>
      <c r="C49" s="939"/>
      <c r="D49" s="939"/>
      <c r="E49" s="940"/>
      <c r="F49" s="947"/>
      <c r="G49" s="948"/>
      <c r="H49" s="953"/>
      <c r="I49" s="956"/>
    </row>
    <row r="50" spans="2:9">
      <c r="B50" s="941"/>
      <c r="C50" s="942"/>
      <c r="D50" s="942"/>
      <c r="E50" s="943"/>
      <c r="F50" s="949"/>
      <c r="G50" s="950"/>
      <c r="H50" s="954"/>
      <c r="I50" s="957"/>
    </row>
    <row r="51" spans="2:9">
      <c r="B51" s="944"/>
      <c r="C51" s="945"/>
      <c r="D51" s="945"/>
      <c r="E51" s="946"/>
      <c r="F51" s="951"/>
      <c r="G51" s="952"/>
      <c r="H51" s="955"/>
      <c r="I51" s="958"/>
    </row>
  </sheetData>
  <mergeCells count="69">
    <mergeCell ref="A4:F4"/>
    <mergeCell ref="B49:E51"/>
    <mergeCell ref="F49:G51"/>
    <mergeCell ref="H49:H51"/>
    <mergeCell ref="I49:I51"/>
    <mergeCell ref="F15:G15"/>
    <mergeCell ref="A11:A16"/>
    <mergeCell ref="A17:A21"/>
    <mergeCell ref="B17:D21"/>
    <mergeCell ref="E17:E21"/>
    <mergeCell ref="F17:G17"/>
    <mergeCell ref="F18:G18"/>
    <mergeCell ref="F19:G19"/>
    <mergeCell ref="F20:G20"/>
    <mergeCell ref="F21:G21"/>
    <mergeCell ref="A22:A25"/>
    <mergeCell ref="D2:H2"/>
    <mergeCell ref="B48:D48"/>
    <mergeCell ref="F27:G27"/>
    <mergeCell ref="F26:G26"/>
    <mergeCell ref="F29:G29"/>
    <mergeCell ref="F30:G30"/>
    <mergeCell ref="F13:G13"/>
    <mergeCell ref="F14:G14"/>
    <mergeCell ref="E11:E16"/>
    <mergeCell ref="B11:D16"/>
    <mergeCell ref="B10:D10"/>
    <mergeCell ref="F10:G10"/>
    <mergeCell ref="F11:G12"/>
    <mergeCell ref="F16:G16"/>
    <mergeCell ref="F28:G28"/>
    <mergeCell ref="A5:G5"/>
    <mergeCell ref="B22:D25"/>
    <mergeCell ref="E22:E25"/>
    <mergeCell ref="F22:G22"/>
    <mergeCell ref="F23:G23"/>
    <mergeCell ref="F24:G24"/>
    <mergeCell ref="F25:G25"/>
    <mergeCell ref="A26:A29"/>
    <mergeCell ref="B26:D29"/>
    <mergeCell ref="E26:E29"/>
    <mergeCell ref="A30:A33"/>
    <mergeCell ref="B30:D33"/>
    <mergeCell ref="E30:E33"/>
    <mergeCell ref="F31:G31"/>
    <mergeCell ref="F32:G32"/>
    <mergeCell ref="F33:G33"/>
    <mergeCell ref="A34:A38"/>
    <mergeCell ref="B34:D38"/>
    <mergeCell ref="E34:E38"/>
    <mergeCell ref="F34:G34"/>
    <mergeCell ref="F36:G36"/>
    <mergeCell ref="F37:G37"/>
    <mergeCell ref="F38:G38"/>
    <mergeCell ref="F35:G35"/>
    <mergeCell ref="A39:A42"/>
    <mergeCell ref="B39:D42"/>
    <mergeCell ref="E39:E42"/>
    <mergeCell ref="F39:G39"/>
    <mergeCell ref="F40:G40"/>
    <mergeCell ref="F41:G41"/>
    <mergeCell ref="F42:G42"/>
    <mergeCell ref="A43:A46"/>
    <mergeCell ref="B43:D46"/>
    <mergeCell ref="E43:E46"/>
    <mergeCell ref="F43:G43"/>
    <mergeCell ref="F44:G44"/>
    <mergeCell ref="F45:G45"/>
    <mergeCell ref="F46:G46"/>
  </mergeCells>
  <pageMargins left="0.7" right="0.7" top="0.75" bottom="0.75" header="0.3" footer="0.3"/>
  <pageSetup paperSize="9" scale="6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49"/>
  <sheetViews>
    <sheetView view="pageBreakPreview" topLeftCell="A43" zoomScaleSheetLayoutView="100" workbookViewId="0">
      <selection activeCell="A129" sqref="A129"/>
    </sheetView>
  </sheetViews>
  <sheetFormatPr baseColWidth="10" defaultColWidth="9.1640625" defaultRowHeight="14"/>
  <cols>
    <col min="1" max="1" width="4.5" style="1" customWidth="1"/>
    <col min="2" max="2" width="38.1640625" style="1" customWidth="1"/>
    <col min="3" max="3" width="17.1640625" style="1" customWidth="1"/>
    <col min="4" max="4" width="10.83203125" style="1" customWidth="1"/>
    <col min="5" max="5" width="19.83203125" style="1" customWidth="1"/>
    <col min="6" max="6" width="13.33203125" style="1" customWidth="1"/>
    <col min="7" max="16384" width="9.1640625" style="1"/>
  </cols>
  <sheetData>
    <row r="1" spans="1:6">
      <c r="A1" s="9"/>
      <c r="B1" s="10"/>
      <c r="C1" s="11" t="s">
        <v>908</v>
      </c>
      <c r="D1" s="12"/>
      <c r="E1" s="13"/>
      <c r="F1" s="14"/>
    </row>
    <row r="2" spans="1:6">
      <c r="A2" s="9"/>
      <c r="B2" s="10"/>
      <c r="C2" s="15" t="s">
        <v>20</v>
      </c>
      <c r="D2" s="15"/>
      <c r="E2" s="13"/>
      <c r="F2" s="14"/>
    </row>
    <row r="3" spans="1:6" ht="27" customHeight="1">
      <c r="A3" s="791" t="s">
        <v>916</v>
      </c>
      <c r="B3" s="791"/>
      <c r="C3" s="791"/>
      <c r="D3" s="791"/>
      <c r="E3" s="791"/>
      <c r="F3" s="791"/>
    </row>
    <row r="4" spans="1:6" ht="26.25" customHeight="1">
      <c r="A4" s="796" t="s">
        <v>150</v>
      </c>
      <c r="B4" s="796"/>
      <c r="C4" s="796"/>
      <c r="D4" s="796"/>
      <c r="E4" s="796"/>
      <c r="F4" s="796"/>
    </row>
    <row r="5" spans="1:6">
      <c r="A5" s="16" t="s">
        <v>291</v>
      </c>
      <c r="B5" s="17"/>
      <c r="C5" s="17"/>
      <c r="D5" s="17"/>
      <c r="E5" s="17"/>
      <c r="F5" s="17"/>
    </row>
    <row r="6" spans="1:6">
      <c r="A6" s="16" t="s">
        <v>149</v>
      </c>
      <c r="B6" s="16"/>
      <c r="C6" s="18"/>
      <c r="D6" s="18"/>
      <c r="E6" s="18"/>
      <c r="F6" s="4"/>
    </row>
    <row r="7" spans="1:6">
      <c r="A7" s="16" t="s">
        <v>924</v>
      </c>
      <c r="B7" s="16"/>
      <c r="C7" s="19"/>
      <c r="D7" s="16"/>
      <c r="E7" s="16"/>
      <c r="F7" s="4"/>
    </row>
    <row r="8" spans="1:6">
      <c r="A8" s="15"/>
      <c r="B8" s="20"/>
      <c r="C8" s="13"/>
      <c r="D8" s="13"/>
      <c r="E8" s="13"/>
      <c r="F8" s="2"/>
    </row>
    <row r="9" spans="1:6" ht="26.25" customHeight="1" thickBot="1">
      <c r="A9" s="693" t="s">
        <v>21</v>
      </c>
      <c r="B9" s="694" t="s">
        <v>22</v>
      </c>
      <c r="C9" s="984" t="s">
        <v>146</v>
      </c>
      <c r="D9" s="985"/>
      <c r="E9" s="694" t="s">
        <v>23</v>
      </c>
      <c r="F9" s="694"/>
    </row>
    <row r="10" spans="1:6" ht="15.75" customHeight="1" thickBot="1">
      <c r="A10" s="695" t="s">
        <v>24</v>
      </c>
      <c r="B10" s="959" t="s">
        <v>182</v>
      </c>
      <c r="C10" s="960"/>
      <c r="D10" s="960"/>
      <c r="E10" s="960"/>
      <c r="F10" s="696"/>
    </row>
    <row r="11" spans="1:6" ht="56">
      <c r="A11" s="141" t="s">
        <v>18</v>
      </c>
      <c r="B11" s="142" t="s">
        <v>183</v>
      </c>
      <c r="C11" s="967" t="s">
        <v>184</v>
      </c>
      <c r="D11" s="968"/>
      <c r="E11" s="142" t="s">
        <v>889</v>
      </c>
      <c r="F11" s="61">
        <f>E13</f>
        <v>13.480319999999999</v>
      </c>
    </row>
    <row r="12" spans="1:6">
      <c r="A12" s="21"/>
      <c r="B12" s="22">
        <v>256</v>
      </c>
      <c r="C12" s="25"/>
      <c r="D12" s="26"/>
      <c r="E12" s="24">
        <f>12.98+0.059*B12</f>
        <v>28.084</v>
      </c>
      <c r="F12" s="23"/>
    </row>
    <row r="13" spans="1:6" ht="15" thickBot="1">
      <c r="A13" s="88"/>
      <c r="B13" s="89"/>
      <c r="C13" s="57" t="s">
        <v>292</v>
      </c>
      <c r="D13" s="58">
        <v>0.48</v>
      </c>
      <c r="E13" s="59">
        <f>E12*D13</f>
        <v>13.480319999999999</v>
      </c>
      <c r="F13" s="90"/>
    </row>
    <row r="14" spans="1:6" ht="15.75" customHeight="1" thickBot="1">
      <c r="A14" s="697" t="s">
        <v>29</v>
      </c>
      <c r="B14" s="959" t="s">
        <v>191</v>
      </c>
      <c r="C14" s="960"/>
      <c r="D14" s="960"/>
      <c r="E14" s="960"/>
      <c r="F14" s="698"/>
    </row>
    <row r="15" spans="1:6" ht="15" customHeight="1">
      <c r="A15" s="140" t="s">
        <v>19</v>
      </c>
      <c r="B15" s="50" t="s">
        <v>187</v>
      </c>
      <c r="C15" s="969" t="s">
        <v>188</v>
      </c>
      <c r="D15" s="970"/>
      <c r="E15" s="50" t="s">
        <v>890</v>
      </c>
      <c r="F15" s="51">
        <f>SUM(E17:E17)</f>
        <v>12.844000000000001</v>
      </c>
    </row>
    <row r="16" spans="1:6">
      <c r="A16" s="21"/>
      <c r="B16" s="35">
        <v>10</v>
      </c>
      <c r="C16" s="971"/>
      <c r="D16" s="972"/>
      <c r="E16" s="145">
        <f>4.9+2.89*B16</f>
        <v>33.800000000000004</v>
      </c>
      <c r="F16" s="23"/>
    </row>
    <row r="17" spans="1:6" ht="15" thickBot="1">
      <c r="A17" s="88"/>
      <c r="B17" s="144"/>
      <c r="C17" s="57" t="s">
        <v>292</v>
      </c>
      <c r="D17" s="58">
        <v>0.38</v>
      </c>
      <c r="E17" s="59">
        <f>E16*D17</f>
        <v>12.844000000000001</v>
      </c>
      <c r="F17" s="90"/>
    </row>
    <row r="18" spans="1:6" ht="42">
      <c r="A18" s="21" t="s">
        <v>12</v>
      </c>
      <c r="B18" s="38" t="s">
        <v>28</v>
      </c>
      <c r="C18" s="965" t="s">
        <v>192</v>
      </c>
      <c r="D18" s="966"/>
      <c r="E18" s="34" t="s">
        <v>891</v>
      </c>
      <c r="F18" s="23">
        <f>SUM(E20:E20)</f>
        <v>226.07999999999998</v>
      </c>
    </row>
    <row r="19" spans="1:6">
      <c r="A19" s="21"/>
      <c r="B19" s="39">
        <v>10000</v>
      </c>
      <c r="C19" s="25"/>
      <c r="D19" s="26"/>
      <c r="E19" s="36">
        <f>8+0.062*B19</f>
        <v>628</v>
      </c>
      <c r="F19" s="23"/>
    </row>
    <row r="20" spans="1:6" ht="15" thickBot="1">
      <c r="A20" s="40"/>
      <c r="B20" s="41"/>
      <c r="C20" s="27" t="s">
        <v>292</v>
      </c>
      <c r="D20" s="43">
        <v>0.36</v>
      </c>
      <c r="E20" s="44">
        <f>E19*D20</f>
        <v>226.07999999999998</v>
      </c>
      <c r="F20" s="90"/>
    </row>
    <row r="21" spans="1:6" ht="15" thickBot="1">
      <c r="A21" s="697" t="s">
        <v>32</v>
      </c>
      <c r="B21" s="959" t="s">
        <v>189</v>
      </c>
      <c r="C21" s="960"/>
      <c r="D21" s="960"/>
      <c r="E21" s="960"/>
      <c r="F21" s="698"/>
    </row>
    <row r="22" spans="1:6" ht="15" customHeight="1">
      <c r="A22" s="141" t="s">
        <v>14</v>
      </c>
      <c r="B22" s="142" t="s">
        <v>185</v>
      </c>
      <c r="C22" s="986" t="s">
        <v>186</v>
      </c>
      <c r="D22" s="968"/>
      <c r="E22" s="142">
        <v>2.4</v>
      </c>
      <c r="F22" s="61">
        <f>E23</f>
        <v>1.2</v>
      </c>
    </row>
    <row r="23" spans="1:6" ht="15" thickBot="1">
      <c r="A23" s="88"/>
      <c r="B23" s="89"/>
      <c r="C23" s="57" t="s">
        <v>292</v>
      </c>
      <c r="D23" s="58">
        <v>0.5</v>
      </c>
      <c r="E23" s="59">
        <f>E22*D23</f>
        <v>1.2</v>
      </c>
      <c r="F23" s="90"/>
    </row>
    <row r="24" spans="1:6" ht="28">
      <c r="A24" s="141" t="s">
        <v>15</v>
      </c>
      <c r="B24" s="142" t="s">
        <v>59</v>
      </c>
      <c r="C24" s="961" t="s">
        <v>68</v>
      </c>
      <c r="D24" s="962"/>
      <c r="E24" s="142" t="s">
        <v>190</v>
      </c>
      <c r="F24" s="61">
        <f>E26</f>
        <v>3.8010000000000002</v>
      </c>
    </row>
    <row r="25" spans="1:6">
      <c r="A25" s="21"/>
      <c r="B25" s="22" t="s">
        <v>197</v>
      </c>
      <c r="C25" s="25"/>
      <c r="D25" s="26"/>
      <c r="E25" s="29">
        <f>2.45+3.68*(0.4*2+0.6*1)</f>
        <v>7.6020000000000003</v>
      </c>
      <c r="F25" s="23"/>
    </row>
    <row r="26" spans="1:6" ht="15" thickBot="1">
      <c r="A26" s="55"/>
      <c r="B26" s="56"/>
      <c r="C26" s="57" t="s">
        <v>292</v>
      </c>
      <c r="D26" s="58">
        <v>0.5</v>
      </c>
      <c r="E26" s="59">
        <f>E25*D26</f>
        <v>3.8010000000000002</v>
      </c>
      <c r="F26" s="90"/>
    </row>
    <row r="27" spans="1:6" ht="15" thickBot="1">
      <c r="A27" s="697" t="s">
        <v>40</v>
      </c>
      <c r="B27" s="959" t="s">
        <v>193</v>
      </c>
      <c r="C27" s="960"/>
      <c r="D27" s="960"/>
      <c r="E27" s="960"/>
      <c r="F27" s="698"/>
    </row>
    <row r="28" spans="1:6" ht="42">
      <c r="A28" s="141" t="s">
        <v>42</v>
      </c>
      <c r="B28" s="147" t="s">
        <v>194</v>
      </c>
      <c r="C28" s="967" t="s">
        <v>195</v>
      </c>
      <c r="D28" s="968"/>
      <c r="E28" s="142" t="s">
        <v>196</v>
      </c>
      <c r="F28" s="61">
        <f>E30</f>
        <v>75.712000000000003</v>
      </c>
    </row>
    <row r="29" spans="1:6">
      <c r="A29" s="21"/>
      <c r="B29" s="22">
        <v>2</v>
      </c>
      <c r="C29" s="25"/>
      <c r="D29" s="26"/>
      <c r="E29" s="24">
        <f>94.64*2</f>
        <v>189.28</v>
      </c>
      <c r="F29" s="23"/>
    </row>
    <row r="30" spans="1:6" ht="15" thickBot="1">
      <c r="A30" s="88"/>
      <c r="B30" s="89"/>
      <c r="C30" s="57" t="s">
        <v>292</v>
      </c>
      <c r="D30" s="58">
        <v>0.4</v>
      </c>
      <c r="E30" s="59">
        <f>E29*D30</f>
        <v>75.712000000000003</v>
      </c>
      <c r="F30" s="90"/>
    </row>
    <row r="31" spans="1:6" ht="15" thickBot="1">
      <c r="A31" s="697" t="s">
        <v>40</v>
      </c>
      <c r="B31" s="959" t="s">
        <v>198</v>
      </c>
      <c r="C31" s="960"/>
      <c r="D31" s="960"/>
      <c r="E31" s="960"/>
      <c r="F31" s="698"/>
    </row>
    <row r="32" spans="1:6" s="125" customFormat="1" ht="28">
      <c r="A32" s="162" t="s">
        <v>42</v>
      </c>
      <c r="B32" s="163" t="s">
        <v>199</v>
      </c>
      <c r="C32" s="164" t="s">
        <v>200</v>
      </c>
      <c r="D32" s="165"/>
      <c r="E32" s="63">
        <v>109.85</v>
      </c>
      <c r="F32" s="170">
        <f>E33</f>
        <v>60.417500000000004</v>
      </c>
    </row>
    <row r="33" spans="1:6" s="125" customFormat="1" ht="15" thickBot="1">
      <c r="A33" s="162"/>
      <c r="B33" s="169" t="s">
        <v>201</v>
      </c>
      <c r="C33" s="167" t="s">
        <v>292</v>
      </c>
      <c r="D33" s="168">
        <v>0.55000000000000004</v>
      </c>
      <c r="E33" s="166">
        <f>109.85*D33</f>
        <v>60.417500000000004</v>
      </c>
      <c r="F33" s="171"/>
    </row>
    <row r="34" spans="1:6" ht="15" thickBot="1">
      <c r="A34" s="697" t="s">
        <v>64</v>
      </c>
      <c r="B34" s="959" t="s">
        <v>202</v>
      </c>
      <c r="C34" s="960"/>
      <c r="D34" s="960"/>
      <c r="E34" s="960"/>
      <c r="F34" s="698"/>
    </row>
    <row r="35" spans="1:6" ht="28">
      <c r="A35" s="141" t="s">
        <v>65</v>
      </c>
      <c r="B35" s="142" t="s">
        <v>59</v>
      </c>
      <c r="C35" s="961" t="s">
        <v>204</v>
      </c>
      <c r="D35" s="962"/>
      <c r="E35" s="142" t="s">
        <v>205</v>
      </c>
      <c r="F35" s="61">
        <f>E37</f>
        <v>44.2</v>
      </c>
    </row>
    <row r="36" spans="1:6">
      <c r="A36" s="21"/>
      <c r="B36" s="22" t="s">
        <v>203</v>
      </c>
      <c r="C36" s="25"/>
      <c r="D36" s="26"/>
      <c r="E36" s="29">
        <f>49.2+0.49*80</f>
        <v>88.4</v>
      </c>
      <c r="F36" s="23"/>
    </row>
    <row r="37" spans="1:6" ht="15" thickBot="1">
      <c r="A37" s="55"/>
      <c r="B37" s="56"/>
      <c r="C37" s="57" t="s">
        <v>292</v>
      </c>
      <c r="D37" s="58">
        <v>0.5</v>
      </c>
      <c r="E37" s="59">
        <f>E36*D37</f>
        <v>44.2</v>
      </c>
      <c r="F37" s="90"/>
    </row>
    <row r="38" spans="1:6" ht="15" thickBot="1">
      <c r="A38" s="697" t="s">
        <v>76</v>
      </c>
      <c r="B38" s="959" t="s">
        <v>143</v>
      </c>
      <c r="C38" s="960"/>
      <c r="D38" s="960"/>
      <c r="E38" s="960"/>
      <c r="F38" s="698"/>
    </row>
    <row r="39" spans="1:6" ht="25.5" customHeight="1">
      <c r="A39" s="62" t="s">
        <v>77</v>
      </c>
      <c r="B39" s="34" t="s">
        <v>34</v>
      </c>
      <c r="C39" s="965" t="s">
        <v>35</v>
      </c>
      <c r="D39" s="966"/>
      <c r="E39" s="34" t="s">
        <v>892</v>
      </c>
      <c r="F39" s="23">
        <f>E41</f>
        <v>0.22980999999999999</v>
      </c>
    </row>
    <row r="40" spans="1:6">
      <c r="A40" s="62"/>
      <c r="B40" s="63">
        <v>30</v>
      </c>
      <c r="C40" s="25"/>
      <c r="D40" s="26"/>
      <c r="E40" s="53">
        <f>0.364+0.0035*B40</f>
        <v>0.46899999999999997</v>
      </c>
      <c r="F40" s="23"/>
    </row>
    <row r="41" spans="1:6" ht="15" thickBot="1">
      <c r="A41" s="40"/>
      <c r="B41" s="176"/>
      <c r="C41" s="42" t="s">
        <v>292</v>
      </c>
      <c r="D41" s="43">
        <v>0.49</v>
      </c>
      <c r="E41" s="44">
        <f>E40*D41</f>
        <v>0.22980999999999999</v>
      </c>
      <c r="F41" s="45"/>
    </row>
    <row r="42" spans="1:6" ht="42">
      <c r="A42" s="141" t="s">
        <v>103</v>
      </c>
      <c r="B42" s="179" t="s">
        <v>31</v>
      </c>
      <c r="C42" s="967" t="s">
        <v>37</v>
      </c>
      <c r="D42" s="968"/>
      <c r="E42" s="180" t="s">
        <v>893</v>
      </c>
      <c r="F42" s="61">
        <f>E44</f>
        <v>0.98</v>
      </c>
    </row>
    <row r="43" spans="1:6">
      <c r="A43" s="21"/>
      <c r="B43" s="52">
        <v>30</v>
      </c>
      <c r="C43" s="25"/>
      <c r="D43" s="26"/>
      <c r="E43" s="36">
        <f>0.98+0.034*B43</f>
        <v>2</v>
      </c>
      <c r="F43" s="23"/>
    </row>
    <row r="44" spans="1:6" ht="15" thickBot="1">
      <c r="A44" s="88"/>
      <c r="B44" s="181"/>
      <c r="C44" s="57" t="s">
        <v>292</v>
      </c>
      <c r="D44" s="58">
        <v>0.49</v>
      </c>
      <c r="E44" s="182">
        <f>E43*D44</f>
        <v>0.98</v>
      </c>
      <c r="F44" s="90"/>
    </row>
    <row r="45" spans="1:6" ht="25.5" customHeight="1">
      <c r="A45" s="140" t="s">
        <v>104</v>
      </c>
      <c r="B45" s="177" t="s">
        <v>26</v>
      </c>
      <c r="C45" s="982" t="s">
        <v>39</v>
      </c>
      <c r="D45" s="983"/>
      <c r="E45" s="178" t="s">
        <v>894</v>
      </c>
      <c r="F45" s="51">
        <f>E47</f>
        <v>0.39887999999999996</v>
      </c>
    </row>
    <row r="46" spans="1:6">
      <c r="A46" s="21"/>
      <c r="B46" s="35">
        <v>30</v>
      </c>
      <c r="C46" s="25"/>
      <c r="D46" s="26"/>
      <c r="E46" s="65">
        <f>0.381+0.015*B46</f>
        <v>0.83099999999999996</v>
      </c>
      <c r="F46" s="23"/>
    </row>
    <row r="47" spans="1:6" ht="15" thickBot="1">
      <c r="A47" s="67"/>
      <c r="B47" s="68"/>
      <c r="C47" s="57" t="s">
        <v>292</v>
      </c>
      <c r="D47" s="58">
        <v>0.48</v>
      </c>
      <c r="E47" s="59">
        <f>E46*D47</f>
        <v>0.39887999999999996</v>
      </c>
      <c r="F47" s="69"/>
    </row>
    <row r="48" spans="1:6" ht="15" thickBot="1">
      <c r="A48" s="697" t="s">
        <v>80</v>
      </c>
      <c r="B48" s="959" t="s">
        <v>207</v>
      </c>
      <c r="C48" s="960"/>
      <c r="D48" s="960"/>
      <c r="E48" s="960"/>
      <c r="F48" s="698"/>
    </row>
    <row r="49" spans="1:6" ht="28">
      <c r="A49" s="141" t="s">
        <v>82</v>
      </c>
      <c r="B49" s="142" t="s">
        <v>59</v>
      </c>
      <c r="C49" s="961" t="s">
        <v>68</v>
      </c>
      <c r="D49" s="962"/>
      <c r="E49" s="142" t="s">
        <v>88</v>
      </c>
      <c r="F49" s="61">
        <f>E51</f>
        <v>15.945</v>
      </c>
    </row>
    <row r="50" spans="1:6">
      <c r="A50" s="21"/>
      <c r="B50" s="22" t="s">
        <v>208</v>
      </c>
      <c r="C50" s="25"/>
      <c r="D50" s="26"/>
      <c r="E50" s="29">
        <f>2.45+3.68*8</f>
        <v>31.89</v>
      </c>
      <c r="F50" s="23"/>
    </row>
    <row r="51" spans="1:6" ht="15" thickBot="1">
      <c r="A51" s="55"/>
      <c r="B51" s="56" t="s">
        <v>209</v>
      </c>
      <c r="C51" s="57" t="s">
        <v>292</v>
      </c>
      <c r="D51" s="58">
        <v>0.5</v>
      </c>
      <c r="E51" s="59">
        <f>E50*D51</f>
        <v>15.945</v>
      </c>
      <c r="F51" s="90"/>
    </row>
    <row r="52" spans="1:6" ht="15" thickBot="1">
      <c r="A52" s="697" t="s">
        <v>123</v>
      </c>
      <c r="B52" s="959" t="s">
        <v>41</v>
      </c>
      <c r="C52" s="960"/>
      <c r="D52" s="960"/>
      <c r="E52" s="960"/>
      <c r="F52" s="698"/>
    </row>
    <row r="53" spans="1:6" ht="54" customHeight="1">
      <c r="A53" s="21" t="s">
        <v>125</v>
      </c>
      <c r="B53" s="92" t="s">
        <v>213</v>
      </c>
      <c r="C53" s="973" t="s">
        <v>211</v>
      </c>
      <c r="D53" s="974"/>
      <c r="E53" s="187">
        <v>2.0739999999999998</v>
      </c>
      <c r="F53" s="51">
        <f>E59</f>
        <v>11.992904999999999</v>
      </c>
    </row>
    <row r="54" spans="1:6">
      <c r="A54" s="21"/>
      <c r="B54" s="22" t="s">
        <v>210</v>
      </c>
      <c r="C54" s="70"/>
      <c r="D54" s="71"/>
      <c r="E54" s="24" t="s">
        <v>212</v>
      </c>
      <c r="F54" s="23"/>
    </row>
    <row r="55" spans="1:6">
      <c r="A55" s="72"/>
      <c r="B55" s="24"/>
      <c r="C55" s="73" t="s">
        <v>43</v>
      </c>
      <c r="D55" s="74">
        <v>1.2</v>
      </c>
      <c r="E55" s="75">
        <f>2.074*(1.2+0.2+0.1)</f>
        <v>3.1109999999999998</v>
      </c>
      <c r="F55" s="76"/>
    </row>
    <row r="56" spans="1:6">
      <c r="A56" s="72"/>
      <c r="B56" s="25"/>
      <c r="C56" s="73" t="s">
        <v>44</v>
      </c>
      <c r="D56" s="74">
        <v>1.2</v>
      </c>
      <c r="E56" s="75"/>
      <c r="F56" s="76"/>
    </row>
    <row r="57" spans="1:6">
      <c r="A57" s="72"/>
      <c r="B57" s="22"/>
      <c r="C57" s="73" t="s">
        <v>45</v>
      </c>
      <c r="D57" s="74">
        <v>1.1000000000000001</v>
      </c>
      <c r="E57" s="75"/>
      <c r="F57" s="77"/>
    </row>
    <row r="58" spans="1:6">
      <c r="A58" s="72"/>
      <c r="B58" s="78"/>
      <c r="C58" s="27" t="s">
        <v>144</v>
      </c>
      <c r="D58" s="79">
        <v>7.71</v>
      </c>
      <c r="E58" s="75">
        <f>E55*D58</f>
        <v>23.985809999999997</v>
      </c>
      <c r="F58" s="76"/>
    </row>
    <row r="59" spans="1:6" ht="15" thickBot="1">
      <c r="A59" s="183"/>
      <c r="B59" s="184"/>
      <c r="C59" s="42" t="s">
        <v>292</v>
      </c>
      <c r="D59" s="43">
        <v>0.5</v>
      </c>
      <c r="E59" s="185">
        <f>E58*D59</f>
        <v>11.992904999999999</v>
      </c>
      <c r="F59" s="186"/>
    </row>
    <row r="60" spans="1:6" ht="30" customHeight="1">
      <c r="A60" s="141" t="s">
        <v>158</v>
      </c>
      <c r="B60" s="142" t="s">
        <v>47</v>
      </c>
      <c r="C60" s="961" t="s">
        <v>48</v>
      </c>
      <c r="D60" s="962"/>
      <c r="E60" s="188" t="s">
        <v>927</v>
      </c>
      <c r="F60" s="61">
        <f>E62</f>
        <v>589.55499999999995</v>
      </c>
    </row>
    <row r="61" spans="1:6">
      <c r="A61" s="72"/>
      <c r="B61" s="22">
        <v>250</v>
      </c>
      <c r="C61" s="80" t="s">
        <v>49</v>
      </c>
      <c r="D61" s="74"/>
      <c r="E61" s="75">
        <f>36.61+4.57*B61</f>
        <v>1179.1099999999999</v>
      </c>
      <c r="F61" s="76"/>
    </row>
    <row r="62" spans="1:6" ht="15" thickBot="1">
      <c r="A62" s="172"/>
      <c r="B62" s="189"/>
      <c r="C62" s="57" t="s">
        <v>292</v>
      </c>
      <c r="D62" s="58">
        <v>0.5</v>
      </c>
      <c r="E62" s="124">
        <f>E61*D62</f>
        <v>589.55499999999995</v>
      </c>
      <c r="F62" s="175"/>
    </row>
    <row r="63" spans="1:6" ht="30" customHeight="1">
      <c r="A63" s="141" t="s">
        <v>218</v>
      </c>
      <c r="B63" s="142" t="s">
        <v>51</v>
      </c>
      <c r="C63" s="961" t="s">
        <v>48</v>
      </c>
      <c r="D63" s="962"/>
      <c r="E63" s="188" t="s">
        <v>927</v>
      </c>
      <c r="F63" s="61">
        <f>E66</f>
        <v>648.51049999999998</v>
      </c>
    </row>
    <row r="64" spans="1:6">
      <c r="A64" s="72"/>
      <c r="B64" s="22">
        <v>250</v>
      </c>
      <c r="C64" s="80"/>
      <c r="D64" s="74"/>
      <c r="E64" s="75">
        <f>36.61+4.57*B64</f>
        <v>1179.1099999999999</v>
      </c>
      <c r="F64" s="76"/>
    </row>
    <row r="65" spans="1:6">
      <c r="A65" s="72"/>
      <c r="B65" s="25"/>
      <c r="C65" s="70" t="s">
        <v>52</v>
      </c>
      <c r="D65" s="71">
        <v>1.1000000000000001</v>
      </c>
      <c r="E65" s="81">
        <f>E64*D65</f>
        <v>1297.021</v>
      </c>
      <c r="F65" s="76"/>
    </row>
    <row r="66" spans="1:6" ht="15" thickBot="1">
      <c r="A66" s="172"/>
      <c r="B66" s="189"/>
      <c r="C66" s="57" t="s">
        <v>292</v>
      </c>
      <c r="D66" s="58">
        <v>0.5</v>
      </c>
      <c r="E66" s="124">
        <f>E65*D66</f>
        <v>648.51049999999998</v>
      </c>
      <c r="F66" s="175"/>
    </row>
    <row r="67" spans="1:6" ht="27" customHeight="1">
      <c r="A67" s="190" t="s">
        <v>219</v>
      </c>
      <c r="B67" s="142" t="s">
        <v>214</v>
      </c>
      <c r="C67" s="961" t="s">
        <v>54</v>
      </c>
      <c r="D67" s="962"/>
      <c r="E67" s="188">
        <v>85.45</v>
      </c>
      <c r="F67" s="61">
        <f>E68</f>
        <v>42.725000000000001</v>
      </c>
    </row>
    <row r="68" spans="1:6" ht="15" thickBot="1">
      <c r="A68" s="172"/>
      <c r="B68" s="191"/>
      <c r="C68" s="57" t="s">
        <v>292</v>
      </c>
      <c r="D68" s="58">
        <v>0.5</v>
      </c>
      <c r="E68" s="124">
        <f>E67*D68</f>
        <v>42.725000000000001</v>
      </c>
      <c r="F68" s="175"/>
    </row>
    <row r="69" spans="1:6" ht="28">
      <c r="A69" s="140" t="s">
        <v>220</v>
      </c>
      <c r="B69" s="92" t="s">
        <v>56</v>
      </c>
      <c r="C69" s="973" t="s">
        <v>57</v>
      </c>
      <c r="D69" s="974"/>
      <c r="E69" s="187" t="s">
        <v>895</v>
      </c>
      <c r="F69" s="51">
        <f>E71</f>
        <v>18</v>
      </c>
    </row>
    <row r="70" spans="1:6">
      <c r="A70" s="21"/>
      <c r="B70" s="22" t="s">
        <v>58</v>
      </c>
      <c r="C70" s="25"/>
      <c r="D70" s="26"/>
      <c r="E70" s="24">
        <f>2.4*B71</f>
        <v>36</v>
      </c>
      <c r="F70" s="23"/>
    </row>
    <row r="71" spans="1:6" ht="15" thickBot="1">
      <c r="A71" s="183"/>
      <c r="B71" s="41">
        <v>15</v>
      </c>
      <c r="C71" s="42" t="s">
        <v>292</v>
      </c>
      <c r="D71" s="43">
        <v>0.5</v>
      </c>
      <c r="E71" s="185">
        <f>E70*D71</f>
        <v>18</v>
      </c>
      <c r="F71" s="186"/>
    </row>
    <row r="72" spans="1:6" ht="28">
      <c r="A72" s="141" t="s">
        <v>221</v>
      </c>
      <c r="B72" s="142" t="s">
        <v>59</v>
      </c>
      <c r="C72" s="961" t="s">
        <v>217</v>
      </c>
      <c r="D72" s="962"/>
      <c r="E72" s="142" t="s">
        <v>896</v>
      </c>
      <c r="F72" s="61">
        <f>E74</f>
        <v>73.099999999999994</v>
      </c>
    </row>
    <row r="73" spans="1:6">
      <c r="A73" s="21"/>
      <c r="B73" s="22" t="s">
        <v>216</v>
      </c>
      <c r="C73" s="25"/>
      <c r="D73" s="26"/>
      <c r="E73" s="29">
        <f>74.2+0.24*B74</f>
        <v>146.19999999999999</v>
      </c>
      <c r="F73" s="23"/>
    </row>
    <row r="74" spans="1:6" ht="15" thickBot="1">
      <c r="A74" s="55"/>
      <c r="B74" s="192">
        <v>300</v>
      </c>
      <c r="C74" s="57" t="s">
        <v>292</v>
      </c>
      <c r="D74" s="58">
        <v>0.5</v>
      </c>
      <c r="E74" s="59">
        <f>E73*D74</f>
        <v>73.099999999999994</v>
      </c>
      <c r="F74" s="90"/>
    </row>
    <row r="75" spans="1:6">
      <c r="A75" s="141" t="s">
        <v>222</v>
      </c>
      <c r="B75" s="142" t="s">
        <v>62</v>
      </c>
      <c r="C75" s="961" t="s">
        <v>60</v>
      </c>
      <c r="D75" s="962"/>
      <c r="E75" s="142" t="s">
        <v>896</v>
      </c>
      <c r="F75" s="61">
        <f>E78</f>
        <v>51.169999999999995</v>
      </c>
    </row>
    <row r="76" spans="1:6">
      <c r="A76" s="21"/>
      <c r="B76" s="22" t="s">
        <v>216</v>
      </c>
      <c r="C76" s="25"/>
      <c r="D76" s="26"/>
      <c r="E76" s="29">
        <f>74.2+0.24*300</f>
        <v>146.19999999999999</v>
      </c>
      <c r="F76" s="23"/>
    </row>
    <row r="77" spans="1:6">
      <c r="A77" s="72"/>
      <c r="B77" s="25">
        <v>300</v>
      </c>
      <c r="C77" s="70" t="s">
        <v>63</v>
      </c>
      <c r="D77" s="71">
        <v>0.7</v>
      </c>
      <c r="E77" s="81">
        <f>E76*D77</f>
        <v>102.33999999999999</v>
      </c>
      <c r="F77" s="76"/>
    </row>
    <row r="78" spans="1:6" ht="15" thickBot="1">
      <c r="A78" s="55"/>
      <c r="B78" s="56"/>
      <c r="C78" s="57" t="s">
        <v>292</v>
      </c>
      <c r="D78" s="58">
        <v>0.5</v>
      </c>
      <c r="E78" s="59">
        <f>E77*D78</f>
        <v>51.169999999999995</v>
      </c>
      <c r="F78" s="90"/>
    </row>
    <row r="79" spans="1:6">
      <c r="A79" s="141" t="s">
        <v>226</v>
      </c>
      <c r="B79" s="975" t="s">
        <v>71</v>
      </c>
      <c r="C79" s="975"/>
      <c r="D79" s="975"/>
      <c r="E79" s="975"/>
      <c r="F79" s="122"/>
    </row>
    <row r="80" spans="1:6" ht="25.5" customHeight="1">
      <c r="A80" s="83"/>
      <c r="B80" s="34" t="s">
        <v>72</v>
      </c>
      <c r="C80" s="976" t="s">
        <v>73</v>
      </c>
      <c r="D80" s="977"/>
      <c r="E80" s="85">
        <v>3.556</v>
      </c>
      <c r="F80" s="86">
        <f>E87</f>
        <v>15.079218000000001</v>
      </c>
    </row>
    <row r="81" spans="1:6">
      <c r="A81" s="83"/>
      <c r="B81" s="34" t="s">
        <v>223</v>
      </c>
      <c r="C81" s="978"/>
      <c r="D81" s="979"/>
      <c r="E81" s="84"/>
      <c r="F81" s="32"/>
    </row>
    <row r="82" spans="1:6">
      <c r="A82" s="83"/>
      <c r="B82" s="34"/>
      <c r="C82" s="973"/>
      <c r="D82" s="974"/>
      <c r="E82" s="84" t="s">
        <v>224</v>
      </c>
      <c r="F82" s="32"/>
    </row>
    <row r="83" spans="1:6">
      <c r="A83" s="83"/>
      <c r="B83" s="34"/>
      <c r="C83" s="73" t="s">
        <v>43</v>
      </c>
      <c r="D83" s="74">
        <v>1.2</v>
      </c>
      <c r="E83" s="84">
        <f>3.556*(1.2+0.5+0.5)</f>
        <v>7.8232000000000008</v>
      </c>
      <c r="F83" s="76"/>
    </row>
    <row r="84" spans="1:6">
      <c r="A84" s="83"/>
      <c r="B84" s="34"/>
      <c r="C84" s="73" t="s">
        <v>74</v>
      </c>
      <c r="D84" s="74">
        <v>1.5</v>
      </c>
      <c r="E84" s="84"/>
      <c r="F84" s="32"/>
    </row>
    <row r="85" spans="1:6">
      <c r="A85" s="83"/>
      <c r="B85" s="34"/>
      <c r="C85" s="73" t="s">
        <v>75</v>
      </c>
      <c r="D85" s="74">
        <v>1.5</v>
      </c>
      <c r="E85" s="84"/>
      <c r="F85" s="32"/>
    </row>
    <row r="86" spans="1:6">
      <c r="A86" s="83"/>
      <c r="B86" s="78"/>
      <c r="C86" s="27" t="s">
        <v>144</v>
      </c>
      <c r="D86" s="79">
        <v>7.71</v>
      </c>
      <c r="E86" s="87">
        <f>E83*D86</f>
        <v>60.316872000000004</v>
      </c>
      <c r="F86" s="32"/>
    </row>
    <row r="87" spans="1:6" ht="15" thickBot="1">
      <c r="A87" s="33"/>
      <c r="B87" s="34"/>
      <c r="C87" s="27" t="s">
        <v>292</v>
      </c>
      <c r="D87" s="26">
        <v>0.25</v>
      </c>
      <c r="E87" s="87">
        <f>E86*D87</f>
        <v>15.079218000000001</v>
      </c>
      <c r="F87" s="32"/>
    </row>
    <row r="88" spans="1:6" ht="31.5" customHeight="1" thickBot="1">
      <c r="A88" s="697" t="s">
        <v>127</v>
      </c>
      <c r="B88" s="959" t="s">
        <v>225</v>
      </c>
      <c r="C88" s="960"/>
      <c r="D88" s="960"/>
      <c r="E88" s="960"/>
      <c r="F88" s="784"/>
    </row>
    <row r="89" spans="1:6" s="619" customFormat="1" ht="31.5" customHeight="1">
      <c r="A89" s="148" t="s">
        <v>128</v>
      </c>
      <c r="B89" s="149" t="s">
        <v>78</v>
      </c>
      <c r="C89" s="156" t="s">
        <v>274</v>
      </c>
      <c r="D89" s="150"/>
      <c r="E89" s="783" t="s">
        <v>897</v>
      </c>
      <c r="F89" s="768">
        <f>E91</f>
        <v>66</v>
      </c>
    </row>
    <row r="90" spans="1:6" s="619" customFormat="1" ht="54.75" customHeight="1">
      <c r="A90" s="148"/>
      <c r="B90" s="773">
        <v>55</v>
      </c>
      <c r="C90" s="129"/>
      <c r="D90" s="151"/>
      <c r="E90" s="152">
        <f>2.4*B90</f>
        <v>132</v>
      </c>
      <c r="F90" s="770"/>
    </row>
    <row r="91" spans="1:6" s="619" customFormat="1" ht="31.5" customHeight="1" thickBot="1">
      <c r="A91" s="765"/>
      <c r="B91" s="774" t="s">
        <v>945</v>
      </c>
      <c r="C91" s="737" t="s">
        <v>934</v>
      </c>
      <c r="D91" s="738">
        <v>0.5</v>
      </c>
      <c r="E91" s="739">
        <f>E90*D91</f>
        <v>66</v>
      </c>
      <c r="F91" s="771"/>
    </row>
    <row r="92" spans="1:6" s="619" customFormat="1" ht="42">
      <c r="A92" s="126" t="s">
        <v>159</v>
      </c>
      <c r="B92" s="732" t="s">
        <v>931</v>
      </c>
      <c r="C92" s="128" t="s">
        <v>932</v>
      </c>
      <c r="D92" s="130"/>
      <c r="E92" s="753" t="s">
        <v>933</v>
      </c>
      <c r="F92" s="734">
        <f>E95</f>
        <v>250.73399999999995</v>
      </c>
    </row>
    <row r="93" spans="1:6" s="619" customFormat="1" ht="31.5" customHeight="1">
      <c r="A93" s="148"/>
      <c r="B93" s="154">
        <v>5</v>
      </c>
      <c r="C93" s="156"/>
      <c r="D93" s="150"/>
      <c r="E93" s="154">
        <f>86.46*B93</f>
        <v>432.29999999999995</v>
      </c>
      <c r="F93" s="735"/>
    </row>
    <row r="94" spans="1:6" s="619" customFormat="1" ht="31.5" customHeight="1">
      <c r="A94" s="765"/>
      <c r="B94" s="154"/>
      <c r="C94" s="129"/>
      <c r="D94" s="151"/>
      <c r="E94" s="152"/>
      <c r="F94" s="736"/>
    </row>
    <row r="95" spans="1:6" s="619" customFormat="1" ht="31.5" customHeight="1" thickBot="1">
      <c r="A95" s="229"/>
      <c r="B95" s="161" t="s">
        <v>946</v>
      </c>
      <c r="C95" s="737" t="s">
        <v>934</v>
      </c>
      <c r="D95" s="738">
        <v>0.57999999999999996</v>
      </c>
      <c r="E95" s="739">
        <f>E93*D95</f>
        <v>250.73399999999995</v>
      </c>
      <c r="F95" s="740"/>
    </row>
    <row r="96" spans="1:6" s="619" customFormat="1" ht="42">
      <c r="A96" s="126" t="s">
        <v>958</v>
      </c>
      <c r="B96" s="127" t="s">
        <v>942</v>
      </c>
      <c r="C96" s="128" t="s">
        <v>239</v>
      </c>
      <c r="D96" s="130"/>
      <c r="E96" s="772" t="s">
        <v>955</v>
      </c>
      <c r="F96" s="734">
        <f>E99</f>
        <v>1645.1760000000004</v>
      </c>
    </row>
    <row r="97" spans="1:6" s="619" customFormat="1" ht="31.5" customHeight="1">
      <c r="A97" s="155"/>
      <c r="B97" s="227">
        <v>59</v>
      </c>
      <c r="C97" s="129"/>
      <c r="D97" s="223"/>
      <c r="E97" s="767">
        <f>77.93+68.39*B97</f>
        <v>4112.9400000000005</v>
      </c>
      <c r="F97" s="735"/>
    </row>
    <row r="98" spans="1:6">
      <c r="A98" s="155"/>
      <c r="B98" s="769"/>
      <c r="C98" s="129"/>
      <c r="D98" s="151"/>
      <c r="E98" s="152"/>
      <c r="F98" s="736"/>
    </row>
    <row r="99" spans="1:6" ht="29" thickBot="1">
      <c r="A99" s="765"/>
      <c r="B99" s="161" t="s">
        <v>954</v>
      </c>
      <c r="C99" s="737" t="s">
        <v>934</v>
      </c>
      <c r="D99" s="738">
        <v>0.4</v>
      </c>
      <c r="E99" s="739">
        <f>E97*D99</f>
        <v>1645.1760000000004</v>
      </c>
      <c r="F99" s="740"/>
    </row>
    <row r="100" spans="1:6" ht="28">
      <c r="A100" s="126" t="s">
        <v>959</v>
      </c>
      <c r="B100" s="222" t="s">
        <v>91</v>
      </c>
      <c r="C100" s="128" t="s">
        <v>956</v>
      </c>
      <c r="D100" s="130"/>
      <c r="E100" s="766" t="s">
        <v>957</v>
      </c>
      <c r="F100" s="754">
        <f>E103</f>
        <v>39.299999999999997</v>
      </c>
    </row>
    <row r="101" spans="1:6">
      <c r="A101" s="155"/>
      <c r="B101" s="149" t="s">
        <v>203</v>
      </c>
      <c r="C101" s="129"/>
      <c r="D101" s="223"/>
      <c r="E101" s="767">
        <f>49.2+0.49*B102</f>
        <v>78.599999999999994</v>
      </c>
      <c r="F101" s="768"/>
    </row>
    <row r="102" spans="1:6">
      <c r="A102" s="155"/>
      <c r="B102" s="775">
        <f>B90+B93</f>
        <v>60</v>
      </c>
      <c r="C102" s="129"/>
      <c r="D102" s="151"/>
      <c r="E102" s="152"/>
      <c r="F102" s="770"/>
    </row>
    <row r="103" spans="1:6" ht="15" thickBot="1">
      <c r="A103" s="158"/>
      <c r="B103" s="760" t="s">
        <v>947</v>
      </c>
      <c r="C103" s="737" t="s">
        <v>934</v>
      </c>
      <c r="D103" s="738">
        <v>0.5</v>
      </c>
      <c r="E103" s="739">
        <f>E101*D103</f>
        <v>39.299999999999997</v>
      </c>
      <c r="F103" s="771"/>
    </row>
    <row r="104" spans="1:6" ht="28">
      <c r="A104" s="148" t="s">
        <v>960</v>
      </c>
      <c r="B104" s="127" t="s">
        <v>59</v>
      </c>
      <c r="C104" s="128" t="s">
        <v>948</v>
      </c>
      <c r="D104" s="130"/>
      <c r="E104" s="766" t="s">
        <v>957</v>
      </c>
      <c r="F104" s="754">
        <f>E107</f>
        <v>39.299999999999997</v>
      </c>
    </row>
    <row r="105" spans="1:6">
      <c r="A105" s="148"/>
      <c r="B105" s="149" t="s">
        <v>203</v>
      </c>
      <c r="C105" s="776" t="s">
        <v>49</v>
      </c>
      <c r="D105" s="223"/>
      <c r="E105" s="767">
        <f>49.2+0.49*B106</f>
        <v>78.599999999999994</v>
      </c>
      <c r="F105" s="768"/>
    </row>
    <row r="106" spans="1:6">
      <c r="A106" s="148"/>
      <c r="B106" s="775">
        <v>60</v>
      </c>
      <c r="C106" s="129"/>
      <c r="D106" s="151"/>
      <c r="E106" s="152"/>
      <c r="F106" s="770"/>
    </row>
    <row r="107" spans="1:6" ht="15" customHeight="1" thickBot="1">
      <c r="A107" s="153"/>
      <c r="B107" s="161"/>
      <c r="C107" s="737" t="s">
        <v>934</v>
      </c>
      <c r="D107" s="738">
        <v>0.5</v>
      </c>
      <c r="E107" s="739">
        <f>E105*D107</f>
        <v>39.299999999999997</v>
      </c>
      <c r="F107" s="771"/>
    </row>
    <row r="108" spans="1:6" ht="28">
      <c r="A108" s="148" t="s">
        <v>961</v>
      </c>
      <c r="B108" s="149" t="s">
        <v>129</v>
      </c>
      <c r="C108" s="156" t="s">
        <v>130</v>
      </c>
      <c r="D108" s="130"/>
      <c r="E108" s="753" t="s">
        <v>949</v>
      </c>
      <c r="F108" s="754">
        <f>E110</f>
        <v>16.985999999999997</v>
      </c>
    </row>
    <row r="109" spans="1:6">
      <c r="A109" s="148"/>
      <c r="B109" s="773">
        <v>5</v>
      </c>
      <c r="C109" s="129"/>
      <c r="D109" s="151"/>
      <c r="E109" s="152">
        <f>8.94*B109</f>
        <v>44.699999999999996</v>
      </c>
      <c r="F109" s="770"/>
    </row>
    <row r="110" spans="1:6" ht="15" thickBot="1">
      <c r="A110" s="153"/>
      <c r="B110" s="161" t="s">
        <v>950</v>
      </c>
      <c r="C110" s="737" t="s">
        <v>934</v>
      </c>
      <c r="D110" s="738">
        <v>0.38</v>
      </c>
      <c r="E110" s="739">
        <f>E109*D110</f>
        <v>16.985999999999997</v>
      </c>
      <c r="F110" s="771"/>
    </row>
    <row r="111" spans="1:6" ht="56">
      <c r="A111" s="148" t="s">
        <v>962</v>
      </c>
      <c r="B111" s="127" t="s">
        <v>951</v>
      </c>
      <c r="C111" s="128" t="s">
        <v>244</v>
      </c>
      <c r="D111" s="130"/>
      <c r="E111" s="753" t="s">
        <v>952</v>
      </c>
      <c r="F111" s="754">
        <f>E114</f>
        <v>288.95999999999998</v>
      </c>
    </row>
    <row r="112" spans="1:6">
      <c r="A112" s="148"/>
      <c r="B112" s="227">
        <f>B90+1</f>
        <v>56</v>
      </c>
      <c r="C112" s="129"/>
      <c r="D112" s="223"/>
      <c r="E112" s="767">
        <f>12.9*B112</f>
        <v>722.4</v>
      </c>
      <c r="F112" s="768"/>
    </row>
    <row r="113" spans="1:6">
      <c r="A113" s="148"/>
      <c r="B113" s="769"/>
      <c r="C113" s="129"/>
      <c r="D113" s="151"/>
      <c r="E113" s="152"/>
      <c r="F113" s="770"/>
    </row>
    <row r="114" spans="1:6" ht="15" thickBot="1">
      <c r="A114" s="148"/>
      <c r="B114" s="161" t="s">
        <v>953</v>
      </c>
      <c r="C114" s="737" t="s">
        <v>934</v>
      </c>
      <c r="D114" s="738">
        <v>0.4</v>
      </c>
      <c r="E114" s="739">
        <f>E112*D114</f>
        <v>288.95999999999998</v>
      </c>
      <c r="F114" s="771"/>
    </row>
    <row r="115" spans="1:6" ht="15" thickBot="1">
      <c r="A115" s="777"/>
      <c r="B115" s="778"/>
      <c r="C115" s="779"/>
      <c r="D115" s="780"/>
      <c r="E115" s="781"/>
      <c r="F115" s="782"/>
    </row>
    <row r="116" spans="1:6">
      <c r="A116" s="140" t="s">
        <v>963</v>
      </c>
      <c r="B116" s="92" t="s">
        <v>62</v>
      </c>
      <c r="C116" s="973" t="s">
        <v>60</v>
      </c>
      <c r="D116" s="974"/>
      <c r="E116" s="142" t="s">
        <v>898</v>
      </c>
      <c r="F116" s="51">
        <f>E119</f>
        <v>34.369999999999997</v>
      </c>
    </row>
    <row r="117" spans="1:6">
      <c r="A117" s="21"/>
      <c r="B117" s="22" t="s">
        <v>216</v>
      </c>
      <c r="C117" s="25"/>
      <c r="D117" s="26"/>
      <c r="E117" s="29">
        <f>74.2+0.24*B118</f>
        <v>98.2</v>
      </c>
      <c r="F117" s="23"/>
    </row>
    <row r="118" spans="1:6">
      <c r="A118" s="33"/>
      <c r="B118" s="82">
        <v>100</v>
      </c>
      <c r="C118" s="70" t="s">
        <v>63</v>
      </c>
      <c r="D118" s="71">
        <v>0.7</v>
      </c>
      <c r="E118" s="24" t="s">
        <v>290</v>
      </c>
      <c r="F118" s="76"/>
    </row>
    <row r="119" spans="1:6" ht="15" thickBot="1">
      <c r="A119" s="172"/>
      <c r="B119" s="173"/>
      <c r="C119" s="57" t="s">
        <v>292</v>
      </c>
      <c r="D119" s="58">
        <v>0.5</v>
      </c>
      <c r="E119" s="174">
        <f>E117*D118*D119</f>
        <v>34.369999999999997</v>
      </c>
      <c r="F119" s="175"/>
    </row>
    <row r="120" spans="1:6" ht="15" thickBot="1">
      <c r="A120" s="697" t="s">
        <v>138</v>
      </c>
      <c r="B120" s="959" t="s">
        <v>81</v>
      </c>
      <c r="C120" s="960"/>
      <c r="D120" s="960"/>
      <c r="E120" s="960"/>
      <c r="F120" s="698"/>
    </row>
    <row r="121" spans="1:6">
      <c r="A121" s="21" t="s">
        <v>160</v>
      </c>
      <c r="B121" s="22" t="s">
        <v>83</v>
      </c>
      <c r="C121" s="980" t="s">
        <v>79</v>
      </c>
      <c r="D121" s="981"/>
      <c r="E121" s="24" t="s">
        <v>289</v>
      </c>
      <c r="F121" s="23">
        <f>E124</f>
        <v>33.6</v>
      </c>
    </row>
    <row r="122" spans="1:6">
      <c r="A122" s="21"/>
      <c r="B122" s="22" t="s">
        <v>84</v>
      </c>
      <c r="C122" s="973"/>
      <c r="D122" s="974"/>
      <c r="E122" s="24">
        <f>2.4*B123</f>
        <v>67.2</v>
      </c>
      <c r="F122" s="54"/>
    </row>
    <row r="123" spans="1:6">
      <c r="A123" s="21"/>
      <c r="B123" s="22">
        <v>28</v>
      </c>
      <c r="C123" s="25"/>
      <c r="D123" s="26"/>
      <c r="E123" s="24"/>
      <c r="F123" s="23"/>
    </row>
    <row r="124" spans="1:6" ht="29" thickBot="1">
      <c r="A124" s="88"/>
      <c r="B124" s="89" t="s">
        <v>85</v>
      </c>
      <c r="C124" s="57" t="s">
        <v>292</v>
      </c>
      <c r="D124" s="58">
        <v>0.5</v>
      </c>
      <c r="E124" s="59">
        <f>E122*D124</f>
        <v>33.6</v>
      </c>
      <c r="F124" s="90"/>
    </row>
    <row r="125" spans="1:6" ht="15" thickBot="1">
      <c r="A125" s="697" t="s">
        <v>138</v>
      </c>
      <c r="B125" s="959" t="s">
        <v>227</v>
      </c>
      <c r="C125" s="960"/>
      <c r="D125" s="960"/>
      <c r="E125" s="960"/>
      <c r="F125" s="698"/>
    </row>
    <row r="126" spans="1:6" ht="28">
      <c r="A126" s="140" t="s">
        <v>160</v>
      </c>
      <c r="B126" s="142" t="s">
        <v>59</v>
      </c>
      <c r="C126" s="973" t="s">
        <v>60</v>
      </c>
      <c r="D126" s="974"/>
      <c r="E126" s="92" t="s">
        <v>206</v>
      </c>
      <c r="F126" s="51">
        <f>E128</f>
        <v>36.36</v>
      </c>
    </row>
    <row r="127" spans="1:6">
      <c r="A127" s="21"/>
      <c r="B127" s="22" t="s">
        <v>61</v>
      </c>
      <c r="C127" s="25" t="s">
        <v>154</v>
      </c>
      <c r="D127" s="26"/>
      <c r="E127" s="29">
        <f>49.2+0.49*B128</f>
        <v>72.72</v>
      </c>
      <c r="F127" s="23"/>
    </row>
    <row r="128" spans="1:6" ht="15" thickBot="1">
      <c r="A128" s="172"/>
      <c r="B128" s="192">
        <v>48</v>
      </c>
      <c r="C128" s="57" t="s">
        <v>292</v>
      </c>
      <c r="D128" s="58">
        <v>0.5</v>
      </c>
      <c r="E128" s="174">
        <f>E127*D128</f>
        <v>36.36</v>
      </c>
      <c r="F128" s="175"/>
    </row>
    <row r="129" spans="1:6" ht="15" thickBot="1">
      <c r="A129" s="697" t="s">
        <v>139</v>
      </c>
      <c r="B129" s="959" t="s">
        <v>228</v>
      </c>
      <c r="C129" s="960"/>
      <c r="D129" s="960"/>
      <c r="E129" s="960"/>
      <c r="F129" s="698"/>
    </row>
    <row r="130" spans="1:6" ht="28">
      <c r="A130" s="141" t="s">
        <v>161</v>
      </c>
      <c r="B130" s="142" t="s">
        <v>59</v>
      </c>
      <c r="C130" s="961" t="s">
        <v>68</v>
      </c>
      <c r="D130" s="962"/>
      <c r="E130" s="142" t="s">
        <v>230</v>
      </c>
      <c r="F130" s="61">
        <f>E132</f>
        <v>8.5850000000000009</v>
      </c>
    </row>
    <row r="131" spans="1:6">
      <c r="A131" s="21"/>
      <c r="B131" s="22" t="s">
        <v>229</v>
      </c>
      <c r="C131" s="25"/>
      <c r="D131" s="26"/>
      <c r="E131" s="29">
        <f>2.45+3.68*4</f>
        <v>17.170000000000002</v>
      </c>
      <c r="F131" s="23"/>
    </row>
    <row r="132" spans="1:6" ht="15" thickBot="1">
      <c r="A132" s="55"/>
      <c r="B132" s="56"/>
      <c r="C132" s="57" t="s">
        <v>292</v>
      </c>
      <c r="D132" s="58">
        <v>0.5</v>
      </c>
      <c r="E132" s="59">
        <f>E131*D132</f>
        <v>8.5850000000000009</v>
      </c>
      <c r="F132" s="90"/>
    </row>
    <row r="133" spans="1:6" ht="15" thickBot="1">
      <c r="A133" s="697" t="s">
        <v>140</v>
      </c>
      <c r="B133" s="959" t="s">
        <v>231</v>
      </c>
      <c r="C133" s="960"/>
      <c r="D133" s="960"/>
      <c r="E133" s="960"/>
      <c r="F133" s="698"/>
    </row>
    <row r="134" spans="1:6" ht="28">
      <c r="A134" s="141" t="s">
        <v>162</v>
      </c>
      <c r="B134" s="142" t="s">
        <v>59</v>
      </c>
      <c r="C134" s="961" t="s">
        <v>68</v>
      </c>
      <c r="D134" s="962"/>
      <c r="E134" s="142" t="s">
        <v>70</v>
      </c>
      <c r="F134" s="61">
        <f>E136</f>
        <v>19.625000000000004</v>
      </c>
    </row>
    <row r="135" spans="1:6">
      <c r="A135" s="21"/>
      <c r="B135" s="22" t="s">
        <v>232</v>
      </c>
      <c r="C135" s="25"/>
      <c r="D135" s="26"/>
      <c r="E135" s="29">
        <f>2.45+3.68*10</f>
        <v>39.250000000000007</v>
      </c>
      <c r="F135" s="23"/>
    </row>
    <row r="136" spans="1:6" ht="15" thickBot="1">
      <c r="A136" s="55"/>
      <c r="B136" s="56"/>
      <c r="C136" s="57" t="s">
        <v>292</v>
      </c>
      <c r="D136" s="58">
        <v>0.5</v>
      </c>
      <c r="E136" s="59">
        <f>E135*D136</f>
        <v>19.625000000000004</v>
      </c>
      <c r="F136" s="90"/>
    </row>
    <row r="137" spans="1:6" ht="15" thickBot="1">
      <c r="A137" s="697" t="s">
        <v>141</v>
      </c>
      <c r="B137" s="959" t="s">
        <v>233</v>
      </c>
      <c r="C137" s="960"/>
      <c r="D137" s="960"/>
      <c r="E137" s="960"/>
      <c r="F137" s="698"/>
    </row>
    <row r="138" spans="1:6" ht="56">
      <c r="A138" s="91" t="s">
        <v>163</v>
      </c>
      <c r="B138" s="92" t="s">
        <v>234</v>
      </c>
      <c r="C138" s="963" t="s">
        <v>235</v>
      </c>
      <c r="D138" s="964"/>
      <c r="E138" s="93" t="s">
        <v>236</v>
      </c>
      <c r="F138" s="199">
        <f>E140</f>
        <v>40.284000000000006</v>
      </c>
    </row>
    <row r="139" spans="1:6">
      <c r="A139" s="195"/>
      <c r="B139" s="146"/>
      <c r="C139" s="196"/>
      <c r="D139" s="197"/>
      <c r="E139" s="143">
        <f>77.93+22.78*1</f>
        <v>100.71000000000001</v>
      </c>
      <c r="F139" s="198"/>
    </row>
    <row r="140" spans="1:6" ht="15" thickBot="1">
      <c r="A140" s="55"/>
      <c r="B140" s="56"/>
      <c r="C140" s="57" t="s">
        <v>292</v>
      </c>
      <c r="D140" s="58">
        <v>0.4</v>
      </c>
      <c r="E140" s="59">
        <f>E139*D140</f>
        <v>40.284000000000006</v>
      </c>
      <c r="F140" s="90"/>
    </row>
    <row r="141" spans="1:6" ht="15" thickBot="1">
      <c r="A141" s="697" t="s">
        <v>142</v>
      </c>
      <c r="B141" s="959" t="s">
        <v>237</v>
      </c>
      <c r="C141" s="960"/>
      <c r="D141" s="960"/>
      <c r="E141" s="960"/>
      <c r="F141" s="698"/>
    </row>
    <row r="142" spans="1:6" ht="56">
      <c r="A142" s="91" t="s">
        <v>242</v>
      </c>
      <c r="B142" s="92" t="s">
        <v>238</v>
      </c>
      <c r="C142" s="963" t="s">
        <v>239</v>
      </c>
      <c r="D142" s="964"/>
      <c r="E142" s="93" t="s">
        <v>240</v>
      </c>
      <c r="F142" s="199">
        <f>E144</f>
        <v>58.527999999999999</v>
      </c>
    </row>
    <row r="143" spans="1:6">
      <c r="A143" s="195"/>
      <c r="B143" s="146"/>
      <c r="C143" s="196"/>
      <c r="D143" s="197"/>
      <c r="E143" s="143">
        <f>77.93+68.39*1</f>
        <v>146.32</v>
      </c>
      <c r="F143" s="198"/>
    </row>
    <row r="144" spans="1:6" ht="15" thickBot="1">
      <c r="A144" s="55"/>
      <c r="B144" s="56"/>
      <c r="C144" s="57" t="s">
        <v>292</v>
      </c>
      <c r="D144" s="58">
        <v>0.4</v>
      </c>
      <c r="E144" s="59">
        <f>E143*D144</f>
        <v>58.527999999999999</v>
      </c>
      <c r="F144" s="90"/>
    </row>
    <row r="145" spans="1:6" ht="15" thickBot="1">
      <c r="A145" s="697" t="s">
        <v>181</v>
      </c>
      <c r="B145" s="959" t="s">
        <v>241</v>
      </c>
      <c r="C145" s="960"/>
      <c r="D145" s="960"/>
      <c r="E145" s="960"/>
      <c r="F145" s="698"/>
    </row>
    <row r="146" spans="1:6" ht="56">
      <c r="A146" s="91" t="s">
        <v>243</v>
      </c>
      <c r="B146" s="92" t="s">
        <v>899</v>
      </c>
      <c r="C146" s="963" t="s">
        <v>244</v>
      </c>
      <c r="D146" s="964"/>
      <c r="E146" s="93" t="s">
        <v>926</v>
      </c>
      <c r="F146" s="199">
        <f>E148</f>
        <v>1290</v>
      </c>
    </row>
    <row r="147" spans="1:6">
      <c r="A147" s="195"/>
      <c r="B147" s="146">
        <v>250</v>
      </c>
      <c r="C147" s="196"/>
      <c r="D147" s="197"/>
      <c r="E147" s="143">
        <f>12.9*250</f>
        <v>3225</v>
      </c>
      <c r="F147" s="198"/>
    </row>
    <row r="148" spans="1:6" ht="15" thickBot="1">
      <c r="A148" s="55"/>
      <c r="B148" s="56"/>
      <c r="C148" s="57" t="s">
        <v>292</v>
      </c>
      <c r="D148" s="58">
        <v>0.4</v>
      </c>
      <c r="E148" s="59">
        <f>E147*D148</f>
        <v>1290</v>
      </c>
      <c r="F148" s="90"/>
    </row>
    <row r="149" spans="1:6" ht="28">
      <c r="A149" s="94"/>
      <c r="B149" s="95" t="s">
        <v>148</v>
      </c>
      <c r="C149" s="25"/>
      <c r="D149" s="26"/>
      <c r="E149" s="22"/>
      <c r="F149" s="96">
        <f>SUM(F11:F148)*1000</f>
        <v>5773229.1330000004</v>
      </c>
    </row>
  </sheetData>
  <mergeCells count="48">
    <mergeCell ref="C45:D45"/>
    <mergeCell ref="A3:F3"/>
    <mergeCell ref="A4:F4"/>
    <mergeCell ref="C9:D9"/>
    <mergeCell ref="C28:D28"/>
    <mergeCell ref="C39:D39"/>
    <mergeCell ref="B34:E34"/>
    <mergeCell ref="B38:E38"/>
    <mergeCell ref="C35:D35"/>
    <mergeCell ref="C42:D42"/>
    <mergeCell ref="B10:E10"/>
    <mergeCell ref="B14:E14"/>
    <mergeCell ref="B21:E21"/>
    <mergeCell ref="B27:E27"/>
    <mergeCell ref="B31:E31"/>
    <mergeCell ref="C22:D22"/>
    <mergeCell ref="C72:D72"/>
    <mergeCell ref="C75:D75"/>
    <mergeCell ref="B79:E79"/>
    <mergeCell ref="C80:D82"/>
    <mergeCell ref="C121:D122"/>
    <mergeCell ref="C116:D116"/>
    <mergeCell ref="C24:D24"/>
    <mergeCell ref="C18:D18"/>
    <mergeCell ref="C11:D11"/>
    <mergeCell ref="C15:D16"/>
    <mergeCell ref="C126:D126"/>
    <mergeCell ref="B48:E48"/>
    <mergeCell ref="B88:E88"/>
    <mergeCell ref="B120:E120"/>
    <mergeCell ref="C60:D60"/>
    <mergeCell ref="C63:D63"/>
    <mergeCell ref="C67:D67"/>
    <mergeCell ref="C69:D69"/>
    <mergeCell ref="C49:D49"/>
    <mergeCell ref="B52:E52"/>
    <mergeCell ref="C53:D53"/>
    <mergeCell ref="B125:E125"/>
    <mergeCell ref="B129:E129"/>
    <mergeCell ref="C130:D130"/>
    <mergeCell ref="B133:E133"/>
    <mergeCell ref="C134:D134"/>
    <mergeCell ref="C146:D146"/>
    <mergeCell ref="B137:E137"/>
    <mergeCell ref="C138:D138"/>
    <mergeCell ref="B141:E141"/>
    <mergeCell ref="C142:D142"/>
    <mergeCell ref="B145:E145"/>
  </mergeCells>
  <pageMargins left="0.7" right="0.7" top="0.75" bottom="0.75" header="0.3" footer="0.3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14</vt:i4>
      </vt:variant>
    </vt:vector>
  </HeadingPairs>
  <TitlesOfParts>
    <vt:vector size="26" baseType="lpstr">
      <vt:lpstr>Сводная смета</vt:lpstr>
      <vt:lpstr>геология</vt:lpstr>
      <vt:lpstr>геодезия СБЦ</vt:lpstr>
      <vt:lpstr>экология</vt:lpstr>
      <vt:lpstr>ИГМИ</vt:lpstr>
      <vt:lpstr>геофизика</vt:lpstr>
      <vt:lpstr>Проект планировки территории</vt:lpstr>
      <vt:lpstr>ПД</vt:lpstr>
      <vt:lpstr>ПС ФСБ</vt:lpstr>
      <vt:lpstr>ФТС</vt:lpstr>
      <vt:lpstr>РСН</vt:lpstr>
      <vt:lpstr>РПН</vt:lpstr>
      <vt:lpstr>'геодезия СБЦ'!Заголовки_для_печати</vt:lpstr>
      <vt:lpstr>геология!Заголовки_для_печати</vt:lpstr>
      <vt:lpstr>геофизика!Заголовки_для_печати</vt:lpstr>
      <vt:lpstr>экология!Заголовки_для_печати</vt:lpstr>
      <vt:lpstr>'геодезия СБЦ'!Область_печати</vt:lpstr>
      <vt:lpstr>геофизика!Область_печати</vt:lpstr>
      <vt:lpstr>ПД!Область_печати</vt:lpstr>
      <vt:lpstr>'Проект планировки территории'!Область_печати</vt:lpstr>
      <vt:lpstr>'ПС ФСБ'!Область_печати</vt:lpstr>
      <vt:lpstr>РПН!Область_печати</vt:lpstr>
      <vt:lpstr>РСН!Область_печати</vt:lpstr>
      <vt:lpstr>'Сводная смета'!Область_печати</vt:lpstr>
      <vt:lpstr>ФТС!Область_печати</vt:lpstr>
      <vt:lpstr>экология!Область_печати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2022-06-14T12:00:39Z</dcterms:modified>
</cp:coreProperties>
</file>