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uexternadoedu-my.sharepoint.com/personal/janny_corredor32_est_uexternado_edu_co/Documents/"/>
    </mc:Choice>
  </mc:AlternateContent>
  <xr:revisionPtr revIDLastSave="175" documentId="11_FC0F9505B335A3E082C1AC6199D1C3F1A17514B9" xr6:coauthVersionLast="47" xr6:coauthVersionMax="47" xr10:uidLastSave="{9FEEDD1F-1414-4031-B89C-32B1416DF5B9}"/>
  <bookViews>
    <workbookView xWindow="-96" yWindow="0" windowWidth="11712" windowHeight="12336" activeTab="4" xr2:uid="{00000000-000D-0000-FFFF-FFFF00000000}"/>
  </bookViews>
  <sheets>
    <sheet name="Estado de Resultados" sheetId="2" r:id="rId1"/>
    <sheet name="Estado de Situación Financiera" sheetId="3" r:id="rId2"/>
    <sheet name="Indicadores" sheetId="4" r:id="rId3"/>
    <sheet name="FCF" sheetId="5" r:id="rId4"/>
    <sheet name="Supuestos" sheetId="7" r:id="rId5"/>
  </sheets>
  <externalReferences>
    <externalReference r:id="rId6"/>
  </externalReferences>
  <definedNames>
    <definedName name="HTML_CodePage" hidden="1">1252</definedName>
    <definedName name="HTML_Control" localSheetId="1" hidden="1">{"'Sheet1'!$A$1:$O$40"}</definedName>
    <definedName name="HTML_Control" localSheetId="4" hidden="1">{"'Sheet1'!$A$1:$O$40"}</definedName>
    <definedName name="HTML_Control" hidden="1">{"'Sheet1'!$A$1:$O$40"}</definedName>
    <definedName name="HTML_Description" hidden="1">""</definedName>
    <definedName name="HTML_Email" hidden="1">""</definedName>
    <definedName name="HTML_Header" hidden="1">"Sheet1"</definedName>
    <definedName name="HTML_LastUpdate" hidden="1">"2/5/99"</definedName>
    <definedName name="HTML_LineAfter" hidden="1">TRUE</definedName>
    <definedName name="HTML_LineBefore" hidden="1">TRUE</definedName>
    <definedName name="HTML_Name" hidden="1">"Aswath Damodaran"</definedName>
    <definedName name="HTML_OBDlg2" hidden="1">TRUE</definedName>
    <definedName name="HTML_OBDlg4" hidden="1">TRUE</definedName>
    <definedName name="HTML_OS" hidden="1">1</definedName>
    <definedName name="HTML_PathFileMac" hidden="1">"Macintosh HD:HomePageStuff:pc:datasets:implprem.html"</definedName>
    <definedName name="HTML_Title" hidden="1">"S&amp;P Implied Equity Premiums"</definedName>
    <definedName name="HTML1_1" hidden="1">"[RiskPremiumUS]Sheet1!$A$1:$M$38"</definedName>
    <definedName name="HTML1_10" hidden="1">""</definedName>
    <definedName name="HTML1_11" hidden="1">1</definedName>
    <definedName name="HTML1_12" hidden="1">"Zip 100:New_Home_Page:datafile:implpr.html"</definedName>
    <definedName name="HTML1_2" hidden="1">1</definedName>
    <definedName name="HTML1_3" hidden="1">"RiskPremiumUS"</definedName>
    <definedName name="HTML1_4" hidden="1">"Implied Risk Premiums for US"</definedName>
    <definedName name="HTML1_5" hidden="1">""</definedName>
    <definedName name="HTML1_6" hidden="1">-4146</definedName>
    <definedName name="HTML1_7" hidden="1">-4146</definedName>
    <definedName name="HTML1_8" hidden="1">"3/19/97"</definedName>
    <definedName name="HTML1_9" hidden="1">"Aswath Damodaran"</definedName>
    <definedName name="HTMLCount" hidden="1">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7" l="1"/>
  <c r="J9" i="7"/>
  <c r="I9" i="7"/>
  <c r="H9" i="7"/>
  <c r="G9" i="7"/>
  <c r="F9" i="7"/>
  <c r="E9" i="7"/>
  <c r="D9" i="7"/>
  <c r="J8" i="7"/>
  <c r="I8" i="7"/>
  <c r="H8" i="7"/>
  <c r="G8" i="7"/>
  <c r="F8" i="7"/>
  <c r="E8" i="7"/>
  <c r="D8" i="7"/>
  <c r="J7" i="7"/>
  <c r="B7" i="7"/>
  <c r="J6" i="7"/>
  <c r="I6" i="7"/>
  <c r="I7" i="7" s="1"/>
  <c r="H6" i="7"/>
  <c r="H7" i="7" s="1"/>
  <c r="G6" i="7"/>
  <c r="G7" i="7" s="1"/>
  <c r="F6" i="7"/>
  <c r="F7" i="7" s="1"/>
  <c r="E6" i="7"/>
  <c r="E7" i="7" s="1"/>
  <c r="D6" i="7"/>
  <c r="D7" i="7" s="1"/>
  <c r="C6" i="7"/>
  <c r="C7" i="7" s="1"/>
  <c r="B6" i="7"/>
  <c r="B23" i="4" l="1"/>
  <c r="J21" i="4"/>
  <c r="I21" i="4"/>
  <c r="H21" i="4"/>
  <c r="G21" i="4"/>
  <c r="F21" i="4"/>
  <c r="E21" i="4"/>
  <c r="D21" i="4"/>
  <c r="C21" i="4"/>
  <c r="C20" i="4"/>
  <c r="D20" i="4"/>
  <c r="E20" i="4"/>
  <c r="F20" i="4"/>
  <c r="G20" i="4"/>
  <c r="H20" i="4"/>
  <c r="I20" i="4"/>
  <c r="J20" i="4"/>
  <c r="E9" i="5"/>
  <c r="B7" i="5"/>
  <c r="I7" i="5"/>
  <c r="H7" i="5"/>
  <c r="G7" i="5"/>
  <c r="F7" i="5"/>
  <c r="E7" i="5"/>
  <c r="D7" i="5"/>
  <c r="C7" i="5"/>
  <c r="B8" i="5"/>
  <c r="B6" i="5"/>
  <c r="I4" i="5"/>
  <c r="H4" i="5"/>
  <c r="G4" i="5"/>
  <c r="F4" i="5"/>
  <c r="E4" i="5"/>
  <c r="D4" i="5"/>
  <c r="C4" i="5"/>
  <c r="B4" i="5"/>
  <c r="B3" i="4"/>
  <c r="J3" i="4"/>
  <c r="I3" i="4"/>
  <c r="H3" i="4"/>
  <c r="G3" i="4"/>
  <c r="F3" i="4"/>
  <c r="E3" i="4"/>
  <c r="D3" i="4"/>
  <c r="C3" i="4"/>
  <c r="B5" i="5" l="1"/>
  <c r="I9" i="5" l="1"/>
  <c r="H9" i="5"/>
  <c r="G9" i="5"/>
  <c r="F9" i="5"/>
  <c r="D9" i="5"/>
  <c r="C9" i="5"/>
  <c r="B9" i="5"/>
  <c r="I8" i="5"/>
  <c r="H8" i="5"/>
  <c r="G8" i="5"/>
  <c r="F8" i="5"/>
  <c r="E8" i="5"/>
  <c r="D8" i="5"/>
  <c r="C8" i="5"/>
  <c r="C5" i="5" s="1"/>
  <c r="I6" i="5"/>
  <c r="H6" i="5"/>
  <c r="G6" i="5"/>
  <c r="F6" i="5"/>
  <c r="E6" i="5"/>
  <c r="D6" i="5"/>
  <c r="C6" i="5"/>
  <c r="F5" i="5"/>
  <c r="I2" i="5"/>
  <c r="H2" i="5"/>
  <c r="G2" i="5"/>
  <c r="F2" i="5"/>
  <c r="E2" i="5"/>
  <c r="D2" i="5"/>
  <c r="D3" i="5" s="1"/>
  <c r="C2" i="5"/>
  <c r="B2" i="5"/>
  <c r="C1" i="5"/>
  <c r="D1" i="5" s="1"/>
  <c r="E1" i="5" s="1"/>
  <c r="F1" i="5" s="1"/>
  <c r="G1" i="5" s="1"/>
  <c r="H1" i="5" s="1"/>
  <c r="I1" i="5" s="1"/>
  <c r="J18" i="4"/>
  <c r="I18" i="4"/>
  <c r="H18" i="4"/>
  <c r="G18" i="4"/>
  <c r="F18" i="4"/>
  <c r="E18" i="4"/>
  <c r="D18" i="4"/>
  <c r="C18" i="4"/>
  <c r="B18" i="4"/>
  <c r="J17" i="4"/>
  <c r="I17" i="4"/>
  <c r="H17" i="4"/>
  <c r="G17" i="4"/>
  <c r="F17" i="4"/>
  <c r="E17" i="4"/>
  <c r="D17" i="4"/>
  <c r="C17" i="4"/>
  <c r="B17" i="4"/>
  <c r="J16" i="4"/>
  <c r="I16" i="4"/>
  <c r="H16" i="4"/>
  <c r="G16" i="4"/>
  <c r="F16" i="4"/>
  <c r="E16" i="4"/>
  <c r="D16" i="4"/>
  <c r="C16" i="4"/>
  <c r="B16" i="4"/>
  <c r="J15" i="4"/>
  <c r="I15" i="4"/>
  <c r="H15" i="4"/>
  <c r="G15" i="4"/>
  <c r="F15" i="4"/>
  <c r="E15" i="4"/>
  <c r="D15" i="4"/>
  <c r="C15" i="4"/>
  <c r="B15" i="4"/>
  <c r="C12" i="4"/>
  <c r="D12" i="4"/>
  <c r="E12" i="4"/>
  <c r="F12" i="4"/>
  <c r="G12" i="4"/>
  <c r="H12" i="4"/>
  <c r="I12" i="4"/>
  <c r="J12" i="4"/>
  <c r="B12" i="4"/>
  <c r="C13" i="4"/>
  <c r="D13" i="4"/>
  <c r="E13" i="4"/>
  <c r="F13" i="4"/>
  <c r="G13" i="4"/>
  <c r="H13" i="4"/>
  <c r="I13" i="4"/>
  <c r="J13" i="4"/>
  <c r="B13" i="4"/>
  <c r="C11" i="4"/>
  <c r="D11" i="4"/>
  <c r="E11" i="4"/>
  <c r="F11" i="4"/>
  <c r="G11" i="4"/>
  <c r="H11" i="4"/>
  <c r="I11" i="4"/>
  <c r="J11" i="4"/>
  <c r="B11" i="4"/>
  <c r="E5" i="5" l="1"/>
  <c r="C19" i="4"/>
  <c r="I5" i="5"/>
  <c r="D5" i="5"/>
  <c r="G5" i="5"/>
  <c r="H5" i="5"/>
  <c r="D19" i="4"/>
  <c r="J19" i="4"/>
  <c r="I19" i="4"/>
  <c r="E19" i="4"/>
  <c r="H19" i="4"/>
  <c r="F19" i="4"/>
  <c r="G19" i="4"/>
  <c r="G14" i="4"/>
  <c r="E14" i="4"/>
  <c r="D10" i="5"/>
  <c r="B3" i="5"/>
  <c r="B10" i="5" s="1"/>
  <c r="C3" i="5"/>
  <c r="C10" i="5" s="1"/>
  <c r="E3" i="5"/>
  <c r="E10" i="5" s="1"/>
  <c r="F3" i="5"/>
  <c r="F10" i="5" s="1"/>
  <c r="G3" i="5"/>
  <c r="G10" i="5" s="1"/>
  <c r="H3" i="5"/>
  <c r="H10" i="5" s="1"/>
  <c r="I3" i="5"/>
  <c r="I10" i="5" s="1"/>
  <c r="F14" i="4"/>
  <c r="C14" i="4"/>
  <c r="J14" i="4"/>
  <c r="H14" i="4"/>
  <c r="I14" i="4"/>
  <c r="D14" i="4"/>
  <c r="B14" i="4"/>
  <c r="J38" i="3"/>
  <c r="I38" i="3"/>
  <c r="H38" i="3"/>
  <c r="G38" i="3"/>
  <c r="F38" i="3"/>
  <c r="E38" i="3"/>
  <c r="D38" i="3"/>
  <c r="C38" i="3"/>
  <c r="B38" i="3"/>
  <c r="J29" i="3"/>
  <c r="I29" i="3"/>
  <c r="H29" i="3"/>
  <c r="G29" i="3"/>
  <c r="F29" i="3"/>
  <c r="E29" i="3"/>
  <c r="D29" i="3"/>
  <c r="C29" i="3"/>
  <c r="B29" i="3"/>
  <c r="J23" i="3"/>
  <c r="I23" i="3"/>
  <c r="H23" i="3"/>
  <c r="G23" i="3"/>
  <c r="F23" i="3"/>
  <c r="E23" i="3"/>
  <c r="D23" i="3"/>
  <c r="C23" i="3"/>
  <c r="B23" i="3"/>
  <c r="J15" i="3"/>
  <c r="H15" i="3"/>
  <c r="G15" i="3"/>
  <c r="F15" i="3"/>
  <c r="E15" i="3"/>
  <c r="D15" i="3"/>
  <c r="C15" i="3"/>
  <c r="B15" i="3"/>
  <c r="I13" i="3"/>
  <c r="I15" i="3" s="1"/>
  <c r="J7" i="3"/>
  <c r="J8" i="4" s="1"/>
  <c r="I7" i="3"/>
  <c r="I8" i="4" s="1"/>
  <c r="H7" i="3"/>
  <c r="G7" i="3"/>
  <c r="F7" i="3"/>
  <c r="F8" i="4" s="1"/>
  <c r="E7" i="3"/>
  <c r="E8" i="4" s="1"/>
  <c r="D7" i="3"/>
  <c r="D8" i="4" s="1"/>
  <c r="C7" i="3"/>
  <c r="C8" i="4" s="1"/>
  <c r="B7" i="3"/>
  <c r="B8" i="4" s="1"/>
  <c r="J4" i="2"/>
  <c r="I4" i="2"/>
  <c r="H4" i="2"/>
  <c r="G4" i="2"/>
  <c r="F4" i="2"/>
  <c r="E4" i="2"/>
  <c r="D4" i="2"/>
  <c r="C4" i="2"/>
  <c r="B4" i="2"/>
  <c r="B10" i="2" l="1"/>
  <c r="B15" i="2" s="1"/>
  <c r="B18" i="2" s="1"/>
  <c r="B2" i="4"/>
  <c r="F10" i="2"/>
  <c r="F15" i="2" s="1"/>
  <c r="F18" i="2" s="1"/>
  <c r="F2" i="4"/>
  <c r="J10" i="2"/>
  <c r="J15" i="2" s="1"/>
  <c r="J18" i="2" s="1"/>
  <c r="J2" i="4"/>
  <c r="C10" i="2"/>
  <c r="C15" i="2" s="1"/>
  <c r="C18" i="2" s="1"/>
  <c r="C2" i="4"/>
  <c r="D10" i="2"/>
  <c r="D15" i="2" s="1"/>
  <c r="D18" i="2" s="1"/>
  <c r="D2" i="4"/>
  <c r="E10" i="2"/>
  <c r="E15" i="2" s="1"/>
  <c r="E18" i="2" s="1"/>
  <c r="E2" i="4"/>
  <c r="G10" i="2"/>
  <c r="G15" i="2" s="1"/>
  <c r="G18" i="2" s="1"/>
  <c r="G2" i="4"/>
  <c r="H10" i="2"/>
  <c r="H15" i="2" s="1"/>
  <c r="H18" i="2" s="1"/>
  <c r="H2" i="4"/>
  <c r="G8" i="4"/>
  <c r="I10" i="2"/>
  <c r="I15" i="2" s="1"/>
  <c r="I18" i="2" s="1"/>
  <c r="I2" i="4"/>
  <c r="H8" i="4"/>
  <c r="C30" i="3"/>
  <c r="C16" i="3"/>
  <c r="G16" i="3"/>
  <c r="G30" i="3"/>
  <c r="D30" i="3"/>
  <c r="H30" i="3"/>
  <c r="E16" i="3"/>
  <c r="B16" i="3"/>
  <c r="F16" i="3"/>
  <c r="J16" i="3"/>
  <c r="D16" i="3"/>
  <c r="H16" i="3"/>
  <c r="B30" i="3"/>
  <c r="F30" i="3"/>
  <c r="J30" i="3"/>
  <c r="E30" i="3"/>
  <c r="I30" i="3"/>
  <c r="I16" i="3"/>
  <c r="I10" i="4" l="1"/>
  <c r="I9" i="4"/>
  <c r="C10" i="4"/>
  <c r="C9" i="4"/>
  <c r="G20" i="2"/>
  <c r="G6" i="4"/>
  <c r="G7" i="4"/>
  <c r="G5" i="4"/>
  <c r="J20" i="2"/>
  <c r="J6" i="4"/>
  <c r="J7" i="4"/>
  <c r="J5" i="4"/>
  <c r="C20" i="2"/>
  <c r="C5" i="4"/>
  <c r="C6" i="4"/>
  <c r="C7" i="4"/>
  <c r="E9" i="4"/>
  <c r="E10" i="4"/>
  <c r="H20" i="2"/>
  <c r="H5" i="4"/>
  <c r="H7" i="4"/>
  <c r="H6" i="4"/>
  <c r="J9" i="4"/>
  <c r="J10" i="4"/>
  <c r="E20" i="2"/>
  <c r="E6" i="4"/>
  <c r="E7" i="4"/>
  <c r="E5" i="4"/>
  <c r="F20" i="2"/>
  <c r="F6" i="4"/>
  <c r="F7" i="4"/>
  <c r="F5" i="4"/>
  <c r="F10" i="4"/>
  <c r="F9" i="4"/>
  <c r="H9" i="4"/>
  <c r="H10" i="4"/>
  <c r="I20" i="2"/>
  <c r="I7" i="4"/>
  <c r="I5" i="4"/>
  <c r="I6" i="4"/>
  <c r="G10" i="4"/>
  <c r="G9" i="4"/>
  <c r="B10" i="4"/>
  <c r="B9" i="4"/>
  <c r="D10" i="4"/>
  <c r="D9" i="4"/>
  <c r="D20" i="2"/>
  <c r="D7" i="4"/>
  <c r="D5" i="4"/>
  <c r="D6" i="4"/>
  <c r="B20" i="2"/>
  <c r="B6" i="4"/>
  <c r="B7" i="4"/>
  <c r="B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A3" authorId="0" shapeId="0" xr:uid="{C8B21AA0-88B7-473D-9DB7-1A7107AAC45C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Flujo de caja de inversión</t>
        </r>
      </text>
    </comment>
    <comment ref="A5" authorId="0" shapeId="0" xr:uid="{B7D1EAC0-0B8C-4184-9836-3F35DBC998E8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Importante para el gradiente de crecimiento</t>
        </r>
      </text>
    </comment>
    <comment ref="D5" authorId="0" shapeId="0" xr:uid="{0930858C-D2F8-45C9-919D-71A31A10A5FB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Esto se explica con la utilidad del año anterior</t>
        </r>
      </text>
    </comment>
    <comment ref="A9" authorId="0" shapeId="0" xr:uid="{D0B889CB-77E6-4596-8D19-1C1440B18143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Aquí se toma los propietarios</t>
        </r>
      </text>
    </comment>
  </commentList>
</comments>
</file>

<file path=xl/sharedStrings.xml><?xml version="1.0" encoding="utf-8"?>
<sst xmlns="http://schemas.openxmlformats.org/spreadsheetml/2006/main" count="125" uniqueCount="103">
  <si>
    <t>Cuenta Contable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</si>
  <si>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</si>
  <si>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</si>
  <si>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</si>
  <si>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</si>
  <si>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</si>
  <si>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</si>
  <si>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</si>
  <si>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</si>
  <si>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</si>
  <si>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Ingresos netos por ventas</t>
  </si>
  <si>
    <t>Costo de mercancías vendidas</t>
  </si>
  <si>
    <t>Utilidad Bruta</t>
  </si>
  <si>
    <t>Gastos administrativos</t>
  </si>
  <si>
    <t>Otros ingresos operativos</t>
  </si>
  <si>
    <t>Otros gastos operativos</t>
  </si>
  <si>
    <t>Participación en ganancia (pérdida) de asociados</t>
  </si>
  <si>
    <t>Gastos de venta y distribución</t>
  </si>
  <si>
    <t>Utilidad Operacional</t>
  </si>
  <si>
    <t>Ingresos financieros</t>
  </si>
  <si>
    <t>Gastos financieros</t>
  </si>
  <si>
    <t>Otros ingresos</t>
  </si>
  <si>
    <t>Otros gastos</t>
  </si>
  <si>
    <t>Utilidad Antes de Impuestos</t>
  </si>
  <si>
    <t>Impuesto a la renta</t>
  </si>
  <si>
    <t>Ganancia de operaciones discontinuadas</t>
  </si>
  <si>
    <t>Utilidad Neta</t>
  </si>
  <si>
    <t>Ganancia (pérdida) atribuible a los propietarios</t>
  </si>
  <si>
    <t>Ganancia Interés Minoritario</t>
  </si>
  <si>
    <t>Efectivo o Equivalentes</t>
  </si>
  <si>
    <t>Comerciales y otras cuentas a cobrar</t>
  </si>
  <si>
    <t>Inventarios</t>
  </si>
  <si>
    <t>Activos biológicos corrientes</t>
  </si>
  <si>
    <t>Otros Activos Corrientes</t>
  </si>
  <si>
    <t>Total Activos Corrientes</t>
  </si>
  <si>
    <t>Comerciales y otras cuentas a cobrar no corrientes</t>
  </si>
  <si>
    <t>Activos biológicos no corrientes</t>
  </si>
  <si>
    <t>Activos diferidos</t>
  </si>
  <si>
    <t>Activos financieros a largo plazo</t>
  </si>
  <si>
    <t>Propiedad, planta y equipo</t>
  </si>
  <si>
    <t>Activos intangibles y valor llave</t>
  </si>
  <si>
    <t>Otros activos no corrientes</t>
  </si>
  <si>
    <t>Total Activos No Corrientes</t>
  </si>
  <si>
    <t>Total Activos</t>
  </si>
  <si>
    <t>Créditos y préstamos corrientes</t>
  </si>
  <si>
    <t>Cuentas Comerciales por pagar</t>
  </si>
  <si>
    <t>Cuentas por pagar a partes relacionadas</t>
  </si>
  <si>
    <t>Pasivos corrientes por impuesto a la renta</t>
  </si>
  <si>
    <t>Provisiones para otros pasivos y gastos</t>
  </si>
  <si>
    <t>Otros pasivos corrientes</t>
  </si>
  <si>
    <t>Total Pasivo Corriente</t>
  </si>
  <si>
    <t>Créditos y préstamos no corrientes</t>
  </si>
  <si>
    <t>Otras cuentas por pagar no corrientes</t>
  </si>
  <si>
    <t>Ingresos diferidos, gastos devengados y otros pasivos no circulantes diferidos</t>
  </si>
  <si>
    <t>Otros pasivos no corrientes</t>
  </si>
  <si>
    <t>Total Pasivos No Corrientes</t>
  </si>
  <si>
    <t>Total Pasivos</t>
  </si>
  <si>
    <t>Capital Suscrito</t>
  </si>
  <si>
    <t>Prima de emisión</t>
  </si>
  <si>
    <t>Reserva de revalorización</t>
  </si>
  <si>
    <t>Otras reservas</t>
  </si>
  <si>
    <t>Interés minoritario</t>
  </si>
  <si>
    <t>Resultados acumulados</t>
  </si>
  <si>
    <t>Ganancia o Pérdida del Periodo</t>
  </si>
  <si>
    <t>Total Patrimonio</t>
  </si>
  <si>
    <t>Indicador</t>
  </si>
  <si>
    <t>ROS</t>
  </si>
  <si>
    <t>ROE</t>
  </si>
  <si>
    <t>Razon corriente</t>
  </si>
  <si>
    <t>Endeudamiento total</t>
  </si>
  <si>
    <t>Apalancamiento total</t>
  </si>
  <si>
    <t>Margen bruto</t>
  </si>
  <si>
    <t>ROA</t>
  </si>
  <si>
    <t>Rotación CXC</t>
  </si>
  <si>
    <t>Rotación CXP</t>
  </si>
  <si>
    <t>Rotación Inv</t>
  </si>
  <si>
    <t>Ciclo Conversión  de Efectivo</t>
  </si>
  <si>
    <t>Nivel de endeudamiento total</t>
  </si>
  <si>
    <t>D/E</t>
  </si>
  <si>
    <t>Costo promedio de la deuda</t>
  </si>
  <si>
    <t>N/A</t>
  </si>
  <si>
    <t>TDF</t>
  </si>
  <si>
    <t>Concentración del endeudamiento</t>
  </si>
  <si>
    <t>EBIT</t>
  </si>
  <si>
    <t>NOPAT</t>
  </si>
  <si>
    <t>D&amp;A</t>
  </si>
  <si>
    <t>CTO</t>
  </si>
  <si>
    <t>CXC</t>
  </si>
  <si>
    <t>CXP</t>
  </si>
  <si>
    <t>INV</t>
  </si>
  <si>
    <t>CAPEX</t>
  </si>
  <si>
    <t>FCF</t>
  </si>
  <si>
    <t>M. OPERACIONAL</t>
  </si>
  <si>
    <t>Tax Rate</t>
  </si>
  <si>
    <t>Crecimiento ventas</t>
  </si>
  <si>
    <t>CAGR Ventas</t>
  </si>
  <si>
    <t>Compras CAPEX</t>
  </si>
  <si>
    <t>EBITDA</t>
  </si>
  <si>
    <t>Dividendos pagados</t>
  </si>
  <si>
    <t>D&amp;A / Ventas</t>
  </si>
  <si>
    <t>Compras CAPEX/ Ventas</t>
  </si>
  <si>
    <t>PAYOUT RATIO</t>
  </si>
  <si>
    <t>Gradiente de perpetuidad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</si>
</sst>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\ #,##0;[Red]\-&quot;$&quot;\ #,##0"/>
    <numFmt numFmtId="42" formatCode="_-&quot;$&quot;\ * #,##0_-;\-&quot;$&quot;\ * #,##0_-;_-&quot;$&quot;\ * &quot;-&quot;_-;_-@_-"/>
    <numFmt numFmtId="43" formatCode="_-* #,##0.00_-;\-* #,##0.00_-;_-* &quot;-&quot;??_-;_-@_-"/>
    <numFmt numFmtId="164" formatCode="_-* #,##0_-;\-* #,##0_-;_-* &quot;-&quot;??_-;_-@_-"/>
    <numFmt numFmtId="165" formatCode="0.00000%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 Narrow"/>
      <family val="2"/>
    </font>
    <font>
      <sz val="12"/>
      <name val="Arial Narrow"/>
      <family val="2"/>
    </font>
    <font>
      <sz val="11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left"/>
    </xf>
    <xf numFmtId="164" fontId="2" fillId="0" borderId="0" xfId="1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164" fontId="3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/>
    <xf numFmtId="0" fontId="2" fillId="0" borderId="0" xfId="0" applyFont="1" applyAlignment="1">
      <alignment horizontal="center"/>
    </xf>
    <xf numFmtId="6" fontId="3" fillId="0" borderId="0" xfId="0" applyNumberFormat="1" applyFont="1" applyAlignment="1">
      <alignment horizontal="center"/>
    </xf>
    <xf numFmtId="6" fontId="2" fillId="0" borderId="0" xfId="0" applyNumberFormat="1" applyFont="1" applyAlignment="1">
      <alignment horizontal="center"/>
    </xf>
    <xf numFmtId="6" fontId="3" fillId="0" borderId="0" xfId="0" applyNumberFormat="1" applyFont="1"/>
    <xf numFmtId="9" fontId="3" fillId="0" borderId="0" xfId="2" applyFont="1" applyFill="1" applyBorder="1" applyAlignment="1">
      <alignment vertical="center"/>
    </xf>
    <xf numFmtId="9" fontId="3" fillId="0" borderId="0" xfId="2" applyFont="1" applyFill="1" applyBorder="1" applyAlignment="1">
      <alignment horizontal="right"/>
    </xf>
    <xf numFmtId="2" fontId="4" fillId="0" borderId="0" xfId="0" applyNumberFormat="1" applyFont="1" applyAlignment="1">
      <alignment vertical="center"/>
    </xf>
    <xf numFmtId="1" fontId="4" fillId="0" borderId="0" xfId="0" applyNumberFormat="1" applyFont="1" applyAlignment="1">
      <alignment vertical="center"/>
    </xf>
    <xf numFmtId="9" fontId="0" fillId="0" borderId="0" xfId="2" applyFont="1" applyAlignment="1">
      <alignment vertical="center"/>
    </xf>
    <xf numFmtId="9" fontId="0" fillId="0" borderId="0" xfId="2" applyFont="1"/>
    <xf numFmtId="6" fontId="0" fillId="0" borderId="0" xfId="0" applyNumberFormat="1"/>
    <xf numFmtId="10" fontId="0" fillId="0" borderId="0" xfId="2" applyNumberFormat="1" applyFont="1"/>
    <xf numFmtId="165" fontId="0" fillId="0" borderId="0" xfId="2" applyNumberFormat="1" applyFont="1"/>
    <xf numFmtId="0" fontId="5" fillId="0" borderId="0" xfId="0" applyFont="1"/>
    <xf numFmtId="0" fontId="6" fillId="0" borderId="0" xfId="0" applyFont="1"/>
    <xf numFmtId="42" fontId="0" fillId="0" borderId="0" xfId="3" applyFont="1"/>
    <xf numFmtId="42" fontId="6" fillId="0" borderId="0" xfId="0" applyNumberFormat="1" applyFont="1"/>
    <xf numFmtId="166" fontId="6" fillId="0" borderId="0" xfId="2" applyNumberFormat="1" applyFont="1"/>
    <xf numFmtId="165" fontId="6" fillId="0" borderId="0" xfId="2" applyNumberFormat="1" applyFont="1"/>
  </cellXfs>
  <cellStyles count="4">
    <cellStyle name="Millares" xfId="1" builtinId="3"/>
    <cellStyle name="Moneda [0]" xfId="3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nny\AppData\Local\Microsoft\Windows\INetCache\IE\TH0M0JSI\FC_Trabajo_Final%5b1%5d.xlsx" TargetMode="External"/><Relationship Id="rId1" Type="http://schemas.openxmlformats.org/officeDocument/2006/relationships/externalLinkPath" Target="file:///C:\Users\hanny\AppData\Local\Microsoft\Windows\INetCache\IE\TH0M0JSI\FC_Trabajo_Final%5b1%5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stado de Resultados"/>
      <sheetName val="Estado de Situación Financiera"/>
      <sheetName val="Indicadores"/>
      <sheetName val="FCF"/>
      <sheetName val="Supuestos"/>
    </sheetNames>
    <sheetDataSet>
      <sheetData sheetId="0">
        <row r="2">
          <cell r="B2">
            <v>6481813</v>
          </cell>
          <cell r="C2">
            <v>7945417.2800000003</v>
          </cell>
          <cell r="D2">
            <v>8676639.8900000006</v>
          </cell>
          <cell r="E2">
            <v>8695603.5399999991</v>
          </cell>
          <cell r="F2">
            <v>9016066.4900000002</v>
          </cell>
          <cell r="G2">
            <v>9958851.2200000007</v>
          </cell>
          <cell r="H2">
            <v>11127541.5</v>
          </cell>
          <cell r="I2">
            <v>12866605.6338</v>
          </cell>
          <cell r="J2">
            <v>17037823</v>
          </cell>
        </row>
        <row r="10">
          <cell r="B10">
            <v>679325</v>
          </cell>
          <cell r="C10">
            <v>787613.5400000005</v>
          </cell>
          <cell r="D10">
            <v>821073.97000000055</v>
          </cell>
          <cell r="E10">
            <v>780519.39999999921</v>
          </cell>
          <cell r="F10">
            <v>848896.30000000063</v>
          </cell>
          <cell r="G10">
            <v>957352.79000000027</v>
          </cell>
          <cell r="H10">
            <v>1015115.5899999996</v>
          </cell>
          <cell r="I10">
            <v>1261462.1127000004</v>
          </cell>
          <cell r="J10">
            <v>1506500</v>
          </cell>
        </row>
        <row r="18">
          <cell r="C18">
            <v>430819.26000000042</v>
          </cell>
          <cell r="D18">
            <v>399691.46000000054</v>
          </cell>
          <cell r="E18">
            <v>424340.4499999992</v>
          </cell>
          <cell r="F18">
            <v>508755.56000000052</v>
          </cell>
          <cell r="G18">
            <v>513441.2600000003</v>
          </cell>
          <cell r="H18">
            <v>583843.98999999953</v>
          </cell>
          <cell r="I18">
            <v>849419.11270000041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A1:J21"/>
  <sheetViews>
    <sheetView showGridLines="0" zoomScale="145" zoomScaleNormal="145" workbookViewId="0">
      <selection activeCell="A23" sqref="A23"/>
    </sheetView>
  </sheetViews>
  <sheetFormatPr baseColWidth="10" defaultColWidth="11.44140625" defaultRowHeight="15.6" x14ac:dyDescent="0.3"/>
  <cols>
    <col min="1" max="1" width="49.33203125" style="1" bestFit="1" customWidth="1"/>
    <col min="2" max="7" width="13" style="1" bestFit="1" customWidth="1"/>
    <col min="8" max="9" width="13.5546875" style="1" bestFit="1" customWidth="1"/>
    <col min="10" max="10" width="14.109375" style="1" bestFit="1" customWidth="1"/>
    <col min="11" max="16384" width="11.44140625" style="1"/>
  </cols>
  <sheetData>
    <row r="1" spans="1:10" x14ac:dyDescent="0.3">
      <c r="A1" s="2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</row>
    <row r="2" spans="1:10" x14ac:dyDescent="0.3">
      <c r="A2" s="4" t="s">
        <v>10</v>
      </c>
      <c r="B2" s="8">
        <v>6481813</v>
      </c>
      <c r="C2" s="8">
        <v>7945417.2800000003</v>
      </c>
      <c r="D2" s="8">
        <v>8676639.8900000006</v>
      </c>
      <c r="E2" s="8">
        <v>8695603.5399999991</v>
      </c>
      <c r="F2" s="8">
        <v>9016066.4900000002</v>
      </c>
      <c r="G2" s="8">
        <v>9958851.2200000007</v>
      </c>
      <c r="H2" s="8">
        <v>11127541.5</v>
      </c>
      <c r="I2" s="8">
        <v>12866605.6338</v>
      </c>
      <c r="J2" s="8">
        <v>17037823</v>
      </c>
    </row>
    <row r="3" spans="1:10" x14ac:dyDescent="0.3">
      <c r="A3" s="4" t="s">
        <v>11</v>
      </c>
      <c r="B3" s="8">
        <v>-3618717</v>
      </c>
      <c r="C3" s="8">
        <v>-4507166.29</v>
      </c>
      <c r="D3" s="8">
        <v>-4966030.58</v>
      </c>
      <c r="E3" s="8">
        <v>-4855633.84</v>
      </c>
      <c r="F3" s="8">
        <v>-4969218.01</v>
      </c>
      <c r="G3" s="8">
        <v>-5565300.0700000003</v>
      </c>
      <c r="H3" s="8">
        <v>-6465128.4400000004</v>
      </c>
      <c r="I3" s="8">
        <v>-7583053.5210999995</v>
      </c>
      <c r="J3" s="8">
        <v>-10799595</v>
      </c>
    </row>
    <row r="4" spans="1:10" x14ac:dyDescent="0.3">
      <c r="A4" s="2" t="s">
        <v>12</v>
      </c>
      <c r="B4" s="9">
        <f>+B2+B3</f>
        <v>2863096</v>
      </c>
      <c r="C4" s="9">
        <f t="shared" ref="C4:J4" si="0">+C2+C3</f>
        <v>3438250.99</v>
      </c>
      <c r="D4" s="9">
        <f t="shared" si="0"/>
        <v>3710609.3100000005</v>
      </c>
      <c r="E4" s="9">
        <f t="shared" si="0"/>
        <v>3839969.6999999993</v>
      </c>
      <c r="F4" s="9">
        <f t="shared" si="0"/>
        <v>4046848.4800000004</v>
      </c>
      <c r="G4" s="9">
        <f t="shared" si="0"/>
        <v>4393551.1500000004</v>
      </c>
      <c r="H4" s="9">
        <f t="shared" si="0"/>
        <v>4662413.0599999996</v>
      </c>
      <c r="I4" s="9">
        <f t="shared" si="0"/>
        <v>5283552.1127000004</v>
      </c>
      <c r="J4" s="9">
        <f t="shared" si="0"/>
        <v>6238228</v>
      </c>
    </row>
    <row r="5" spans="1:10" x14ac:dyDescent="0.3">
      <c r="A5" s="4" t="s">
        <v>13</v>
      </c>
      <c r="B5" s="8">
        <v>-328368</v>
      </c>
      <c r="C5" s="8">
        <v>-2653757.3199999998</v>
      </c>
      <c r="D5" s="8">
        <v>-2933660.48</v>
      </c>
      <c r="E5" s="8">
        <v>-3090808.77</v>
      </c>
      <c r="F5" s="8">
        <v>-3204094.8</v>
      </c>
      <c r="G5" s="8">
        <v>-3460095.62</v>
      </c>
      <c r="H5" s="8">
        <v>-3655267.02</v>
      </c>
      <c r="I5" s="8">
        <v>-4059228</v>
      </c>
      <c r="J5" s="8">
        <v>-4806136</v>
      </c>
    </row>
    <row r="6" spans="1:10" x14ac:dyDescent="0.3">
      <c r="A6" s="4" t="s">
        <v>14</v>
      </c>
      <c r="B6" s="8">
        <v>0</v>
      </c>
      <c r="C6" s="8">
        <v>2618.8000000000002</v>
      </c>
      <c r="D6" s="8">
        <v>38022.42</v>
      </c>
      <c r="E6" s="8">
        <v>25364.01</v>
      </c>
      <c r="F6" s="8">
        <v>6542.2</v>
      </c>
      <c r="G6" s="8">
        <v>26165.599999999999</v>
      </c>
      <c r="H6" s="8">
        <v>12441.55</v>
      </c>
      <c r="I6" s="8">
        <v>28100</v>
      </c>
      <c r="J6" s="8">
        <v>53995</v>
      </c>
    </row>
    <row r="7" spans="1:10" x14ac:dyDescent="0.3">
      <c r="A7" s="4" t="s">
        <v>15</v>
      </c>
      <c r="B7" s="8">
        <v>-149310</v>
      </c>
      <c r="C7" s="8">
        <v>-4426.99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</row>
    <row r="8" spans="1:10" x14ac:dyDescent="0.3">
      <c r="A8" s="4" t="s">
        <v>16</v>
      </c>
      <c r="B8" s="8">
        <v>3222</v>
      </c>
      <c r="C8" s="8">
        <v>4928.0600000000004</v>
      </c>
      <c r="D8" s="8">
        <v>6102.72</v>
      </c>
      <c r="E8" s="8">
        <v>5994.46</v>
      </c>
      <c r="F8" s="8">
        <v>-399.58</v>
      </c>
      <c r="G8" s="8">
        <v>-2268.34</v>
      </c>
      <c r="H8" s="8">
        <v>-4472</v>
      </c>
      <c r="I8" s="8">
        <v>9038</v>
      </c>
      <c r="J8" s="8">
        <v>20413</v>
      </c>
    </row>
    <row r="9" spans="1:10" x14ac:dyDescent="0.3">
      <c r="A9" s="4" t="s">
        <v>17</v>
      </c>
      <c r="B9" s="8">
        <v>-1709315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0" x14ac:dyDescent="0.3">
      <c r="A10" s="2" t="s">
        <v>18</v>
      </c>
      <c r="B10" s="9">
        <f>+SUM(B4:B9)</f>
        <v>679325</v>
      </c>
      <c r="C10" s="9">
        <f t="shared" ref="C10:J10" si="1">+SUM(C4:C9)</f>
        <v>787613.5400000005</v>
      </c>
      <c r="D10" s="9">
        <f t="shared" si="1"/>
        <v>821073.97000000055</v>
      </c>
      <c r="E10" s="9">
        <f t="shared" si="1"/>
        <v>780519.39999999921</v>
      </c>
      <c r="F10" s="9">
        <f t="shared" si="1"/>
        <v>848896.30000000063</v>
      </c>
      <c r="G10" s="9">
        <f t="shared" si="1"/>
        <v>957352.79000000027</v>
      </c>
      <c r="H10" s="9">
        <f t="shared" si="1"/>
        <v>1015115.5899999996</v>
      </c>
      <c r="I10" s="9">
        <f t="shared" si="1"/>
        <v>1261462.1127000004</v>
      </c>
      <c r="J10" s="9">
        <f t="shared" si="1"/>
        <v>1506500</v>
      </c>
    </row>
    <row r="11" spans="1:10" x14ac:dyDescent="0.3">
      <c r="A11" s="4" t="s">
        <v>19</v>
      </c>
      <c r="B11" s="8">
        <v>11872</v>
      </c>
      <c r="C11" s="8">
        <v>9827.77</v>
      </c>
      <c r="D11" s="8">
        <v>10982.28</v>
      </c>
      <c r="E11" s="8">
        <v>13941.19</v>
      </c>
      <c r="F11" s="8">
        <v>15457.12</v>
      </c>
      <c r="G11" s="8">
        <v>22293.62</v>
      </c>
      <c r="H11" s="8">
        <v>24022.19</v>
      </c>
      <c r="I11" s="8">
        <v>33464</v>
      </c>
      <c r="J11" s="8">
        <v>59891</v>
      </c>
    </row>
    <row r="12" spans="1:10" x14ac:dyDescent="0.3">
      <c r="A12" s="4" t="s">
        <v>20</v>
      </c>
      <c r="B12" s="8">
        <v>-170648</v>
      </c>
      <c r="C12" s="8">
        <v>-234896.32</v>
      </c>
      <c r="D12" s="8">
        <v>-324637.23</v>
      </c>
      <c r="E12" s="8">
        <v>-307547.8</v>
      </c>
      <c r="F12" s="8">
        <v>-247304.42</v>
      </c>
      <c r="G12" s="8">
        <v>-302303.28999999998</v>
      </c>
      <c r="H12" s="8">
        <v>-282877.87</v>
      </c>
      <c r="I12" s="8">
        <v>-241076</v>
      </c>
      <c r="J12" s="8">
        <v>-443218</v>
      </c>
    </row>
    <row r="13" spans="1:10" x14ac:dyDescent="0.3">
      <c r="A13" s="4" t="s">
        <v>21</v>
      </c>
      <c r="B13" s="8">
        <v>68899</v>
      </c>
      <c r="C13" s="8">
        <v>41748.57</v>
      </c>
      <c r="D13" s="8">
        <v>37449.32</v>
      </c>
      <c r="E13" s="8">
        <v>36274.720000000001</v>
      </c>
      <c r="F13" s="8">
        <v>87165.31</v>
      </c>
      <c r="G13" s="8">
        <v>57770.48</v>
      </c>
      <c r="H13" s="8">
        <v>59073.11</v>
      </c>
      <c r="I13" s="8">
        <v>89832</v>
      </c>
      <c r="J13" s="8">
        <v>137929</v>
      </c>
    </row>
    <row r="14" spans="1:10" x14ac:dyDescent="0.3">
      <c r="A14" s="4" t="s">
        <v>22</v>
      </c>
      <c r="B14" s="8">
        <v>-12771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1:10" x14ac:dyDescent="0.3">
      <c r="A15" s="2" t="s">
        <v>23</v>
      </c>
      <c r="B15" s="9">
        <f>+SUM(B10:B14)</f>
        <v>576677</v>
      </c>
      <c r="C15" s="9">
        <f t="shared" ref="C15:J15" si="2">+SUM(C10:C14)</f>
        <v>604293.56000000041</v>
      </c>
      <c r="D15" s="9">
        <f t="shared" si="2"/>
        <v>544868.34000000055</v>
      </c>
      <c r="E15" s="9">
        <f t="shared" si="2"/>
        <v>523187.50999999919</v>
      </c>
      <c r="F15" s="9">
        <f t="shared" si="2"/>
        <v>704214.31000000052</v>
      </c>
      <c r="G15" s="9">
        <f t="shared" si="2"/>
        <v>735113.60000000033</v>
      </c>
      <c r="H15" s="9">
        <f t="shared" si="2"/>
        <v>815333.01999999955</v>
      </c>
      <c r="I15" s="9">
        <f t="shared" si="2"/>
        <v>1143682.1127000004</v>
      </c>
      <c r="J15" s="9">
        <f t="shared" si="2"/>
        <v>1261102</v>
      </c>
    </row>
    <row r="16" spans="1:10" x14ac:dyDescent="0.3">
      <c r="A16" s="4" t="s">
        <v>24</v>
      </c>
      <c r="B16" s="8">
        <v>-163686</v>
      </c>
      <c r="C16" s="8">
        <v>-167139.71</v>
      </c>
      <c r="D16" s="8">
        <v>-143333.26999999999</v>
      </c>
      <c r="E16" s="8">
        <v>-97776.86</v>
      </c>
      <c r="F16" s="8">
        <v>-189323.72</v>
      </c>
      <c r="G16" s="8">
        <v>-205221.13</v>
      </c>
      <c r="H16" s="8">
        <v>-230935.66</v>
      </c>
      <c r="I16" s="8">
        <v>-263056</v>
      </c>
      <c r="J16" s="8">
        <v>-357301</v>
      </c>
    </row>
    <row r="17" spans="1:10" x14ac:dyDescent="0.3">
      <c r="A17" s="4" t="s">
        <v>25</v>
      </c>
      <c r="B17" s="8">
        <v>-2411</v>
      </c>
      <c r="C17" s="8">
        <v>-6334.59</v>
      </c>
      <c r="D17" s="8">
        <v>-1843.61</v>
      </c>
      <c r="E17" s="8">
        <v>-1070.2</v>
      </c>
      <c r="F17" s="8">
        <v>-6135.03</v>
      </c>
      <c r="G17" s="8">
        <v>-16451.21</v>
      </c>
      <c r="H17" s="8">
        <v>-553.37</v>
      </c>
      <c r="I17" s="8">
        <v>-31207</v>
      </c>
      <c r="J17" s="8">
        <v>-34</v>
      </c>
    </row>
    <row r="18" spans="1:10" x14ac:dyDescent="0.3">
      <c r="A18" s="2" t="s">
        <v>26</v>
      </c>
      <c r="B18" s="9">
        <f>+SUM(B15:B17)</f>
        <v>410580</v>
      </c>
      <c r="C18" s="9">
        <f t="shared" ref="C18:J18" si="3">+SUM(C15:C17)</f>
        <v>430819.26000000042</v>
      </c>
      <c r="D18" s="9">
        <f t="shared" si="3"/>
        <v>399691.46000000054</v>
      </c>
      <c r="E18" s="9">
        <f t="shared" si="3"/>
        <v>424340.4499999992</v>
      </c>
      <c r="F18" s="9">
        <f t="shared" si="3"/>
        <v>508755.56000000052</v>
      </c>
      <c r="G18" s="9">
        <f t="shared" si="3"/>
        <v>513441.2600000003</v>
      </c>
      <c r="H18" s="9">
        <f t="shared" si="3"/>
        <v>583843.98999999953</v>
      </c>
      <c r="I18" s="9">
        <f t="shared" si="3"/>
        <v>849419.11270000041</v>
      </c>
      <c r="J18" s="9">
        <f t="shared" si="3"/>
        <v>903767</v>
      </c>
    </row>
    <row r="19" spans="1:10" x14ac:dyDescent="0.3">
      <c r="A19" s="4" t="s">
        <v>27</v>
      </c>
      <c r="B19" s="8">
        <v>377453.29</v>
      </c>
      <c r="C19" s="8">
        <v>428151.81</v>
      </c>
      <c r="D19" s="8">
        <v>395734.45</v>
      </c>
      <c r="E19" s="8">
        <v>420206.98</v>
      </c>
      <c r="F19" s="8">
        <v>505307.56</v>
      </c>
      <c r="G19" s="8">
        <v>506388.26</v>
      </c>
      <c r="H19" s="8">
        <v>575441.28</v>
      </c>
      <c r="I19" s="8">
        <v>676879</v>
      </c>
      <c r="J19" s="8">
        <v>882976</v>
      </c>
    </row>
    <row r="20" spans="1:10" x14ac:dyDescent="0.3">
      <c r="A20" s="1" t="s">
        <v>28</v>
      </c>
      <c r="B20" s="10">
        <f t="shared" ref="B20:J20" si="4">+B18-B19</f>
        <v>33126.710000000021</v>
      </c>
      <c r="C20" s="10">
        <f t="shared" si="4"/>
        <v>2667.4500000004191</v>
      </c>
      <c r="D20" s="10">
        <f t="shared" si="4"/>
        <v>3957.0100000005332</v>
      </c>
      <c r="E20" s="10">
        <f t="shared" si="4"/>
        <v>4133.4699999992154</v>
      </c>
      <c r="F20" s="10">
        <f t="shared" si="4"/>
        <v>3448.0000000005239</v>
      </c>
      <c r="G20" s="10">
        <f t="shared" si="4"/>
        <v>7053.000000000291</v>
      </c>
      <c r="H20" s="10">
        <f t="shared" si="4"/>
        <v>8402.7099999994971</v>
      </c>
      <c r="I20" s="10">
        <f t="shared" si="4"/>
        <v>172540.11270000041</v>
      </c>
      <c r="J20" s="10">
        <f t="shared" si="4"/>
        <v>20791</v>
      </c>
    </row>
    <row r="21" spans="1:10" ht="15.75" customHeight="1" x14ac:dyDescent="0.3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J47"/>
  <sheetViews>
    <sheetView showGridLines="0" topLeftCell="A11" zoomScale="145" zoomScaleNormal="145" workbookViewId="0">
      <selection sqref="A1:XFD1"/>
    </sheetView>
  </sheetViews>
  <sheetFormatPr baseColWidth="10" defaultColWidth="11.44140625" defaultRowHeight="15.6" x14ac:dyDescent="0.3"/>
  <cols>
    <col min="1" max="1" width="67.109375" style="1" customWidth="1"/>
    <col min="2" max="10" width="14.44140625" style="6" bestFit="1" customWidth="1"/>
    <col min="11" max="16384" width="11.44140625" style="1"/>
  </cols>
  <sheetData>
    <row r="1" spans="1:10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3">
      <c r="A2" s="4" t="s">
        <v>29</v>
      </c>
      <c r="B2" s="5">
        <v>391863</v>
      </c>
      <c r="C2" s="5">
        <v>286063.59000000003</v>
      </c>
      <c r="D2" s="5">
        <v>219321.83</v>
      </c>
      <c r="E2" s="5">
        <v>435642.61</v>
      </c>
      <c r="F2" s="5">
        <v>347519.68</v>
      </c>
      <c r="G2" s="5">
        <v>497946.81</v>
      </c>
      <c r="H2" s="5">
        <v>933563.63</v>
      </c>
      <c r="I2" s="5">
        <v>862705</v>
      </c>
      <c r="J2" s="5">
        <v>1060247</v>
      </c>
    </row>
    <row r="3" spans="1:10" x14ac:dyDescent="0.3">
      <c r="A3" s="4" t="s">
        <v>30</v>
      </c>
      <c r="B3" s="5">
        <v>739808</v>
      </c>
      <c r="C3" s="5">
        <v>878279.78</v>
      </c>
      <c r="D3" s="5">
        <v>889197.04</v>
      </c>
      <c r="E3" s="5">
        <v>957568.27</v>
      </c>
      <c r="F3" s="5">
        <v>1020579.28</v>
      </c>
      <c r="G3" s="5">
        <v>1166248.3700000001</v>
      </c>
      <c r="H3" s="5">
        <v>1191710.8899999999</v>
      </c>
      <c r="I3" s="5">
        <v>1382671</v>
      </c>
      <c r="J3" s="5">
        <v>1856746</v>
      </c>
    </row>
    <row r="4" spans="1:10" x14ac:dyDescent="0.3">
      <c r="A4" s="4" t="s">
        <v>31</v>
      </c>
      <c r="B4" s="5">
        <v>841852</v>
      </c>
      <c r="C4" s="5">
        <v>1032969.55</v>
      </c>
      <c r="D4" s="5">
        <v>1028417.22</v>
      </c>
      <c r="E4" s="5">
        <v>982816.07</v>
      </c>
      <c r="F4" s="5">
        <v>1109877.77</v>
      </c>
      <c r="G4" s="5">
        <v>1248127.67</v>
      </c>
      <c r="H4" s="5">
        <v>1379983.93</v>
      </c>
      <c r="I4" s="5">
        <v>1742562</v>
      </c>
      <c r="J4" s="5">
        <v>3004244</v>
      </c>
    </row>
    <row r="5" spans="1:10" x14ac:dyDescent="0.3">
      <c r="A5" s="4" t="s">
        <v>32</v>
      </c>
      <c r="B5" s="5">
        <v>47770</v>
      </c>
      <c r="C5" s="5">
        <v>53118.720000000001</v>
      </c>
      <c r="D5" s="5">
        <v>75677.34</v>
      </c>
      <c r="E5" s="5">
        <v>81517.75</v>
      </c>
      <c r="F5" s="5">
        <v>94569.17</v>
      </c>
      <c r="G5" s="5">
        <v>96631.54</v>
      </c>
      <c r="H5" s="5">
        <v>127614.17</v>
      </c>
      <c r="I5" s="5">
        <v>191894</v>
      </c>
      <c r="J5" s="5">
        <v>259373</v>
      </c>
    </row>
    <row r="6" spans="1:10" x14ac:dyDescent="0.3">
      <c r="A6" s="4" t="s">
        <v>33</v>
      </c>
      <c r="B6" s="5">
        <v>139352</v>
      </c>
      <c r="C6" s="5">
        <v>292441.18</v>
      </c>
      <c r="D6" s="5">
        <v>347161.4</v>
      </c>
      <c r="E6" s="5">
        <v>228032.86</v>
      </c>
      <c r="F6" s="5">
        <v>248502.66</v>
      </c>
      <c r="G6" s="5">
        <v>254007.47</v>
      </c>
      <c r="H6" s="5">
        <v>228264.35</v>
      </c>
      <c r="I6" s="5">
        <v>414932</v>
      </c>
      <c r="J6" s="5">
        <v>619202</v>
      </c>
    </row>
    <row r="7" spans="1:10" x14ac:dyDescent="0.3">
      <c r="A7" s="2" t="s">
        <v>34</v>
      </c>
      <c r="B7" s="3">
        <f t="shared" ref="B7:J7" si="0">+SUM(B2:B6)</f>
        <v>2160645</v>
      </c>
      <c r="C7" s="3">
        <f t="shared" si="0"/>
        <v>2542872.8200000003</v>
      </c>
      <c r="D7" s="3">
        <f t="shared" si="0"/>
        <v>2559774.8299999996</v>
      </c>
      <c r="E7" s="3">
        <f t="shared" si="0"/>
        <v>2685577.5599999996</v>
      </c>
      <c r="F7" s="3">
        <f t="shared" si="0"/>
        <v>2821048.56</v>
      </c>
      <c r="G7" s="3">
        <f t="shared" si="0"/>
        <v>3262961.8600000003</v>
      </c>
      <c r="H7" s="3">
        <f t="shared" si="0"/>
        <v>3861136.97</v>
      </c>
      <c r="I7" s="3">
        <f t="shared" si="0"/>
        <v>4594764</v>
      </c>
      <c r="J7" s="3">
        <f t="shared" si="0"/>
        <v>6799812</v>
      </c>
    </row>
    <row r="8" spans="1:10" x14ac:dyDescent="0.3">
      <c r="A8" s="4" t="s">
        <v>35</v>
      </c>
      <c r="B8" s="5">
        <v>23124</v>
      </c>
      <c r="C8" s="5">
        <v>26729.439999999999</v>
      </c>
      <c r="D8" s="5">
        <v>23494.81</v>
      </c>
      <c r="E8" s="5">
        <v>26508.55</v>
      </c>
      <c r="F8" s="5">
        <v>28064.720000000001</v>
      </c>
      <c r="G8" s="5">
        <v>25408.59</v>
      </c>
      <c r="H8" s="5">
        <v>26548.05</v>
      </c>
      <c r="I8" s="5">
        <v>34794</v>
      </c>
      <c r="J8" s="5">
        <v>47527</v>
      </c>
    </row>
    <row r="9" spans="1:10" x14ac:dyDescent="0.3">
      <c r="A9" s="4" t="s">
        <v>36</v>
      </c>
      <c r="B9" s="5">
        <v>4185</v>
      </c>
      <c r="C9" s="5">
        <v>5698.99</v>
      </c>
      <c r="D9" s="5">
        <v>7432.99</v>
      </c>
      <c r="E9" s="5">
        <v>0</v>
      </c>
      <c r="F9" s="5">
        <v>0</v>
      </c>
      <c r="G9" s="5">
        <v>0.01</v>
      </c>
      <c r="H9" s="5">
        <v>0</v>
      </c>
      <c r="I9" s="5">
        <v>19484</v>
      </c>
      <c r="J9" s="5">
        <v>11379</v>
      </c>
    </row>
    <row r="10" spans="1:10" x14ac:dyDescent="0.3">
      <c r="A10" s="4" t="s">
        <v>37</v>
      </c>
      <c r="B10" s="5">
        <v>297783</v>
      </c>
      <c r="C10" s="5">
        <v>355460.6</v>
      </c>
      <c r="D10" s="5">
        <v>356993.9</v>
      </c>
      <c r="E10" s="5">
        <v>415072.19</v>
      </c>
      <c r="F10" s="5">
        <v>379752.76</v>
      </c>
      <c r="G10" s="5">
        <v>654496.24</v>
      </c>
      <c r="H10" s="5">
        <v>740891.4</v>
      </c>
      <c r="I10" s="5">
        <v>810476</v>
      </c>
      <c r="J10" s="5">
        <v>916772</v>
      </c>
    </row>
    <row r="11" spans="1:10" x14ac:dyDescent="0.3">
      <c r="A11" s="4" t="s">
        <v>38</v>
      </c>
      <c r="B11" s="5">
        <v>4196065</v>
      </c>
      <c r="C11" s="5">
        <v>3609563.56</v>
      </c>
      <c r="D11" s="5">
        <v>4121558.18</v>
      </c>
      <c r="E11" s="5">
        <v>4386719.1100000003</v>
      </c>
      <c r="F11" s="5">
        <v>3592551.89</v>
      </c>
      <c r="G11" s="5">
        <v>3784616.3</v>
      </c>
      <c r="H11" s="5">
        <v>2884545.02</v>
      </c>
      <c r="I11" s="5">
        <v>3246024</v>
      </c>
      <c r="J11" s="5">
        <v>2976236</v>
      </c>
    </row>
    <row r="12" spans="1:10" x14ac:dyDescent="0.3">
      <c r="A12" s="4" t="s">
        <v>39</v>
      </c>
      <c r="B12" s="5">
        <v>2963335</v>
      </c>
      <c r="C12" s="5">
        <v>3383721.95</v>
      </c>
      <c r="D12" s="5">
        <v>3383513.46</v>
      </c>
      <c r="E12" s="5">
        <v>3395671.02</v>
      </c>
      <c r="F12" s="5">
        <v>3376364.71</v>
      </c>
      <c r="G12" s="5">
        <v>3400057.48</v>
      </c>
      <c r="H12" s="5">
        <v>3434206.15</v>
      </c>
      <c r="I12" s="5">
        <v>3676931</v>
      </c>
      <c r="J12" s="5">
        <v>4036758</v>
      </c>
    </row>
    <row r="13" spans="1:10" x14ac:dyDescent="0.3">
      <c r="A13" s="4" t="s">
        <v>40</v>
      </c>
      <c r="B13" s="5">
        <v>2139901</v>
      </c>
      <c r="C13" s="5">
        <v>3213360.26</v>
      </c>
      <c r="D13" s="5">
        <v>3198124.42</v>
      </c>
      <c r="E13" s="5">
        <v>3299575.8</v>
      </c>
      <c r="F13" s="5">
        <v>3253443.44</v>
      </c>
      <c r="G13" s="5">
        <v>3558711.51</v>
      </c>
      <c r="H13" s="5">
        <v>3673544.55</v>
      </c>
      <c r="I13" s="5">
        <f>3775811+(12361718-12363442)</f>
        <v>3774087</v>
      </c>
      <c r="J13" s="5">
        <v>5060614</v>
      </c>
    </row>
    <row r="14" spans="1:10" x14ac:dyDescent="0.3">
      <c r="A14" s="4" t="s">
        <v>41</v>
      </c>
      <c r="B14" s="5">
        <v>32348</v>
      </c>
      <c r="C14" s="5">
        <v>40644.01</v>
      </c>
      <c r="D14" s="5">
        <v>48661.2</v>
      </c>
      <c r="E14" s="5">
        <v>100351.94</v>
      </c>
      <c r="F14" s="5">
        <v>72471.09</v>
      </c>
      <c r="G14" s="5">
        <v>958988.17</v>
      </c>
      <c r="H14" s="5">
        <v>917010.38</v>
      </c>
      <c r="I14" s="5">
        <v>799922</v>
      </c>
      <c r="J14" s="5">
        <v>908113</v>
      </c>
    </row>
    <row r="15" spans="1:10" x14ac:dyDescent="0.3">
      <c r="A15" s="2" t="s">
        <v>42</v>
      </c>
      <c r="B15" s="3">
        <f>+SUM(B8:B14)</f>
        <v>9656741</v>
      </c>
      <c r="C15" s="3">
        <f t="shared" ref="C15:J15" si="1">+SUM(C8:C14)</f>
        <v>10635178.810000001</v>
      </c>
      <c r="D15" s="3">
        <f t="shared" si="1"/>
        <v>11139778.959999999</v>
      </c>
      <c r="E15" s="3">
        <f t="shared" si="1"/>
        <v>11623898.610000001</v>
      </c>
      <c r="F15" s="3">
        <f t="shared" si="1"/>
        <v>10702648.609999999</v>
      </c>
      <c r="G15" s="3">
        <f t="shared" si="1"/>
        <v>12382278.299999999</v>
      </c>
      <c r="H15" s="3">
        <f t="shared" si="1"/>
        <v>11676745.550000001</v>
      </c>
      <c r="I15" s="3">
        <f t="shared" si="1"/>
        <v>12361718</v>
      </c>
      <c r="J15" s="3">
        <f t="shared" si="1"/>
        <v>13957399</v>
      </c>
    </row>
    <row r="16" spans="1:10" x14ac:dyDescent="0.3">
      <c r="A16" s="2" t="s">
        <v>43</v>
      </c>
      <c r="B16" s="3">
        <f>+B7+B15</f>
        <v>11817386</v>
      </c>
      <c r="C16" s="3">
        <f t="shared" ref="C16:J16" si="2">+C7+C15</f>
        <v>13178051.630000001</v>
      </c>
      <c r="D16" s="3">
        <f t="shared" si="2"/>
        <v>13699553.789999999</v>
      </c>
      <c r="E16" s="3">
        <f t="shared" si="2"/>
        <v>14309476.170000002</v>
      </c>
      <c r="F16" s="3">
        <f t="shared" si="2"/>
        <v>13523697.17</v>
      </c>
      <c r="G16" s="3">
        <f t="shared" si="2"/>
        <v>15645240.16</v>
      </c>
      <c r="H16" s="3">
        <f t="shared" si="2"/>
        <v>15537882.520000001</v>
      </c>
      <c r="I16" s="3">
        <f t="shared" si="2"/>
        <v>16956482</v>
      </c>
      <c r="J16" s="3">
        <f t="shared" si="2"/>
        <v>20757211</v>
      </c>
    </row>
    <row r="17" spans="1:10" x14ac:dyDescent="0.3">
      <c r="A17" s="4" t="s">
        <v>44</v>
      </c>
      <c r="B17" s="5">
        <v>455480</v>
      </c>
      <c r="C17" s="5">
        <v>1059660.1599999999</v>
      </c>
      <c r="D17" s="5">
        <v>847689.12</v>
      </c>
      <c r="E17" s="5">
        <v>557132.61</v>
      </c>
      <c r="F17" s="5">
        <v>522302.31</v>
      </c>
      <c r="G17" s="5">
        <v>527195.84</v>
      </c>
      <c r="H17" s="5">
        <v>486735.93</v>
      </c>
      <c r="I17" s="5">
        <v>178658</v>
      </c>
      <c r="J17" s="5">
        <v>588630</v>
      </c>
    </row>
    <row r="18" spans="1:10" x14ac:dyDescent="0.3">
      <c r="A18" s="4" t="s">
        <v>45</v>
      </c>
      <c r="B18" s="5">
        <v>656458</v>
      </c>
      <c r="C18" s="5">
        <v>825435.27</v>
      </c>
      <c r="D18" s="5">
        <v>888839.93</v>
      </c>
      <c r="E18" s="5">
        <v>993240.9</v>
      </c>
      <c r="F18" s="5">
        <v>1094959.71</v>
      </c>
      <c r="G18" s="5">
        <v>1235132.57</v>
      </c>
      <c r="H18" s="5">
        <v>1283493.5900000001</v>
      </c>
      <c r="I18" s="5">
        <v>1758083</v>
      </c>
      <c r="J18" s="5">
        <v>2237380</v>
      </c>
    </row>
    <row r="19" spans="1:10" x14ac:dyDescent="0.3">
      <c r="A19" s="4" t="s">
        <v>46</v>
      </c>
      <c r="B19" s="5">
        <v>13168.75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</row>
    <row r="20" spans="1:10" x14ac:dyDescent="0.3">
      <c r="A20" s="4" t="s">
        <v>47</v>
      </c>
      <c r="B20" s="5">
        <v>150217</v>
      </c>
      <c r="C20" s="5">
        <v>172322.76</v>
      </c>
      <c r="D20" s="5">
        <v>163361.5</v>
      </c>
      <c r="E20" s="5">
        <v>207776.14</v>
      </c>
      <c r="F20" s="5">
        <v>228841.21</v>
      </c>
      <c r="G20" s="5">
        <v>214541.95</v>
      </c>
      <c r="H20" s="5">
        <v>240011.44</v>
      </c>
      <c r="I20" s="5">
        <v>230484</v>
      </c>
      <c r="J20" s="5">
        <v>348993</v>
      </c>
    </row>
    <row r="21" spans="1:10" x14ac:dyDescent="0.3">
      <c r="A21" s="4" t="s">
        <v>48</v>
      </c>
      <c r="B21" s="5">
        <v>137300</v>
      </c>
      <c r="C21" s="5">
        <v>165042.91</v>
      </c>
      <c r="D21" s="5">
        <v>164325.70000000001</v>
      </c>
      <c r="E21" s="5">
        <v>182550.05</v>
      </c>
      <c r="F21" s="5">
        <v>169950.91</v>
      </c>
      <c r="G21" s="5">
        <v>193812.32</v>
      </c>
      <c r="H21" s="5">
        <v>220483.76</v>
      </c>
      <c r="I21" s="5">
        <v>247959</v>
      </c>
      <c r="J21" s="5">
        <v>305481</v>
      </c>
    </row>
    <row r="22" spans="1:10" x14ac:dyDescent="0.3">
      <c r="A22" s="4" t="s">
        <v>49</v>
      </c>
      <c r="B22" s="5">
        <v>3133</v>
      </c>
      <c r="C22" s="5">
        <v>26640.77</v>
      </c>
      <c r="D22" s="5">
        <v>49746.66</v>
      </c>
      <c r="E22" s="5">
        <v>14260.56</v>
      </c>
      <c r="F22" s="5">
        <v>26675.95</v>
      </c>
      <c r="G22" s="5">
        <v>177154.36</v>
      </c>
      <c r="H22" s="5">
        <v>209936.4</v>
      </c>
      <c r="I22" s="5">
        <v>212853</v>
      </c>
      <c r="J22" s="5">
        <v>328231</v>
      </c>
    </row>
    <row r="23" spans="1:10" x14ac:dyDescent="0.3">
      <c r="A23" s="2" t="s">
        <v>50</v>
      </c>
      <c r="B23" s="3">
        <f t="shared" ref="B23:J23" si="3">+SUM(B17:B22)</f>
        <v>1415756.75</v>
      </c>
      <c r="C23" s="3">
        <f t="shared" si="3"/>
        <v>2249101.87</v>
      </c>
      <c r="D23" s="3">
        <f t="shared" si="3"/>
        <v>2113962.91</v>
      </c>
      <c r="E23" s="3">
        <f t="shared" si="3"/>
        <v>1954960.26</v>
      </c>
      <c r="F23" s="3">
        <f t="shared" si="3"/>
        <v>2042730.0899999999</v>
      </c>
      <c r="G23" s="3">
        <f t="shared" si="3"/>
        <v>2347837.04</v>
      </c>
      <c r="H23" s="3">
        <f t="shared" si="3"/>
        <v>2440661.1199999996</v>
      </c>
      <c r="I23" s="3">
        <f t="shared" si="3"/>
        <v>2628037</v>
      </c>
      <c r="J23" s="3">
        <f t="shared" si="3"/>
        <v>3808715</v>
      </c>
    </row>
    <row r="24" spans="1:10" x14ac:dyDescent="0.3">
      <c r="A24" s="4" t="s">
        <v>51</v>
      </c>
      <c r="B24" s="5">
        <v>1688797</v>
      </c>
      <c r="C24" s="5">
        <v>2034603.78</v>
      </c>
      <c r="D24" s="5">
        <v>2277428.7799999998</v>
      </c>
      <c r="E24" s="5">
        <v>2474077.2400000002</v>
      </c>
      <c r="F24" s="5">
        <v>2265743.15</v>
      </c>
      <c r="G24" s="5">
        <v>2680013.63</v>
      </c>
      <c r="H24" s="5">
        <v>2865638.02</v>
      </c>
      <c r="I24" s="5">
        <v>3162832</v>
      </c>
      <c r="J24" s="5">
        <v>3782499</v>
      </c>
    </row>
    <row r="25" spans="1:10" x14ac:dyDescent="0.3">
      <c r="A25" s="4" t="s">
        <v>52</v>
      </c>
      <c r="B25" s="5">
        <v>157.78</v>
      </c>
      <c r="C25" s="5">
        <v>157.78</v>
      </c>
      <c r="D25" s="5">
        <v>157.78</v>
      </c>
      <c r="E25" s="5">
        <v>157.78</v>
      </c>
      <c r="F25" s="5">
        <v>157.78</v>
      </c>
      <c r="G25" s="5">
        <v>157.78</v>
      </c>
      <c r="H25" s="5">
        <v>0</v>
      </c>
      <c r="I25" s="5">
        <v>0</v>
      </c>
      <c r="J25" s="5">
        <v>0</v>
      </c>
    </row>
    <row r="26" spans="1:10" x14ac:dyDescent="0.3">
      <c r="A26" s="4" t="s">
        <v>53</v>
      </c>
      <c r="B26" s="5">
        <v>471713</v>
      </c>
      <c r="C26" s="5">
        <v>639810.02</v>
      </c>
      <c r="D26" s="5">
        <v>705700.14</v>
      </c>
      <c r="E26" s="5">
        <v>702967.19</v>
      </c>
      <c r="F26" s="5">
        <v>704763.41</v>
      </c>
      <c r="G26" s="5">
        <v>984034.93</v>
      </c>
      <c r="H26" s="5">
        <v>1020416.2</v>
      </c>
      <c r="I26" s="5">
        <v>1195928</v>
      </c>
      <c r="J26" s="5">
        <v>1250739</v>
      </c>
    </row>
    <row r="27" spans="1:10" x14ac:dyDescent="0.3">
      <c r="A27" s="4" t="s">
        <v>48</v>
      </c>
      <c r="B27" s="5">
        <v>209287</v>
      </c>
      <c r="C27" s="5">
        <v>211534.61</v>
      </c>
      <c r="D27" s="5">
        <v>216744.09</v>
      </c>
      <c r="E27" s="5">
        <v>226574.48</v>
      </c>
      <c r="F27" s="5">
        <v>175036.3</v>
      </c>
      <c r="G27" s="5">
        <v>202532.78</v>
      </c>
      <c r="H27" s="5">
        <v>202153.06</v>
      </c>
      <c r="I27" s="5">
        <v>199827</v>
      </c>
      <c r="J27" s="5">
        <v>305481</v>
      </c>
    </row>
    <row r="28" spans="1:10" x14ac:dyDescent="0.3">
      <c r="A28" s="4" t="s">
        <v>54</v>
      </c>
      <c r="B28" s="5">
        <v>0</v>
      </c>
      <c r="C28" s="5">
        <v>0</v>
      </c>
      <c r="D28" s="5">
        <v>600</v>
      </c>
      <c r="E28" s="5">
        <v>559.09</v>
      </c>
      <c r="F28" s="5">
        <v>536.51</v>
      </c>
      <c r="G28" s="5">
        <v>745800.53</v>
      </c>
      <c r="H28" s="5">
        <v>751872.38</v>
      </c>
      <c r="I28" s="5">
        <v>727746</v>
      </c>
      <c r="J28" s="5">
        <v>893396</v>
      </c>
    </row>
    <row r="29" spans="1:10" x14ac:dyDescent="0.3">
      <c r="A29" s="2" t="s">
        <v>55</v>
      </c>
      <c r="B29" s="3">
        <f>+SUM(B24:B28)</f>
        <v>2369954.7800000003</v>
      </c>
      <c r="C29" s="3">
        <f t="shared" ref="C29:J29" si="4">+SUM(C24:C28)</f>
        <v>2886106.19</v>
      </c>
      <c r="D29" s="3">
        <f t="shared" si="4"/>
        <v>3200630.7899999996</v>
      </c>
      <c r="E29" s="3">
        <f t="shared" si="4"/>
        <v>3404335.78</v>
      </c>
      <c r="F29" s="3">
        <f t="shared" si="4"/>
        <v>3146237.1499999994</v>
      </c>
      <c r="G29" s="3">
        <f t="shared" si="4"/>
        <v>4612539.6499999994</v>
      </c>
      <c r="H29" s="3">
        <f t="shared" si="4"/>
        <v>4840079.66</v>
      </c>
      <c r="I29" s="3">
        <f t="shared" si="4"/>
        <v>5286333</v>
      </c>
      <c r="J29" s="3">
        <f t="shared" si="4"/>
        <v>6232115</v>
      </c>
    </row>
    <row r="30" spans="1:10" x14ac:dyDescent="0.3">
      <c r="A30" s="2" t="s">
        <v>56</v>
      </c>
      <c r="B30" s="3">
        <f>+B23+B29</f>
        <v>3785711.5300000003</v>
      </c>
      <c r="C30" s="3">
        <f t="shared" ref="C30:J30" si="5">+C23+C29</f>
        <v>5135208.0600000005</v>
      </c>
      <c r="D30" s="3">
        <f t="shared" si="5"/>
        <v>5314593.6999999993</v>
      </c>
      <c r="E30" s="3">
        <f t="shared" si="5"/>
        <v>5359296.04</v>
      </c>
      <c r="F30" s="3">
        <f t="shared" si="5"/>
        <v>5188967.2399999993</v>
      </c>
      <c r="G30" s="3">
        <f t="shared" si="5"/>
        <v>6960376.6899999995</v>
      </c>
      <c r="H30" s="3">
        <f t="shared" si="5"/>
        <v>7280740.7799999993</v>
      </c>
      <c r="I30" s="3">
        <f t="shared" si="5"/>
        <v>7914370</v>
      </c>
      <c r="J30" s="3">
        <f t="shared" si="5"/>
        <v>10040830</v>
      </c>
    </row>
    <row r="31" spans="1:10" x14ac:dyDescent="0.3">
      <c r="A31" s="4" t="s">
        <v>57</v>
      </c>
      <c r="B31" s="5">
        <v>2300.62</v>
      </c>
      <c r="C31" s="5">
        <v>2300.62</v>
      </c>
      <c r="D31" s="5">
        <v>2300.62</v>
      </c>
      <c r="E31" s="5">
        <v>2300.62</v>
      </c>
      <c r="F31" s="5">
        <v>2300.62</v>
      </c>
      <c r="G31" s="5">
        <v>2300.62</v>
      </c>
      <c r="H31" s="5">
        <v>2300.62</v>
      </c>
      <c r="I31" s="5">
        <v>2300.62</v>
      </c>
      <c r="J31" s="5">
        <v>2301</v>
      </c>
    </row>
    <row r="32" spans="1:10" x14ac:dyDescent="0.3">
      <c r="A32" s="4" t="s">
        <v>58</v>
      </c>
      <c r="B32" s="5">
        <v>1710134.01</v>
      </c>
      <c r="C32" s="5">
        <v>546831.64</v>
      </c>
      <c r="D32" s="5">
        <v>546831.64</v>
      </c>
      <c r="E32" s="5">
        <v>546831.64</v>
      </c>
      <c r="F32" s="5">
        <v>546831.64</v>
      </c>
      <c r="G32" s="5">
        <v>546831.64</v>
      </c>
      <c r="H32" s="5">
        <v>546831.64</v>
      </c>
      <c r="I32" s="5">
        <v>546831.64</v>
      </c>
      <c r="J32" s="5">
        <v>546832</v>
      </c>
    </row>
    <row r="33" spans="1:10" x14ac:dyDescent="0.3">
      <c r="A33" s="4" t="s">
        <v>59</v>
      </c>
      <c r="B33" s="5">
        <v>650472.67000000004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</row>
    <row r="34" spans="1:10" x14ac:dyDescent="0.3">
      <c r="A34" s="4" t="s">
        <v>60</v>
      </c>
      <c r="B34" s="5">
        <v>1671478.61</v>
      </c>
      <c r="C34" s="5">
        <v>1947418.05</v>
      </c>
      <c r="D34" s="5">
        <v>3655280.24</v>
      </c>
      <c r="E34" s="5">
        <v>3396461.76</v>
      </c>
      <c r="F34" s="5">
        <v>3552827.2</v>
      </c>
      <c r="G34" s="5">
        <v>3802402.63</v>
      </c>
      <c r="H34" s="5">
        <v>4003255.41</v>
      </c>
      <c r="I34" s="5">
        <v>4111347</v>
      </c>
      <c r="J34" s="5">
        <v>4310253</v>
      </c>
    </row>
    <row r="35" spans="1:10" x14ac:dyDescent="0.3">
      <c r="A35" s="4" t="s">
        <v>61</v>
      </c>
      <c r="B35" s="5">
        <v>0</v>
      </c>
      <c r="C35" s="5">
        <v>34359.300000000003</v>
      </c>
      <c r="D35" s="5">
        <v>38240.81</v>
      </c>
      <c r="E35" s="5">
        <v>42525.11</v>
      </c>
      <c r="F35" s="5">
        <v>44288.06</v>
      </c>
      <c r="G35" s="5">
        <v>56913.64</v>
      </c>
      <c r="H35" s="5">
        <v>59293.82</v>
      </c>
      <c r="I35" s="5">
        <v>59293.82</v>
      </c>
      <c r="J35" s="5"/>
    </row>
    <row r="36" spans="1:10" x14ac:dyDescent="0.3">
      <c r="A36" s="4" t="s">
        <v>62</v>
      </c>
      <c r="B36" s="5">
        <v>3619835.15</v>
      </c>
      <c r="C36" s="5">
        <v>5083782.18</v>
      </c>
      <c r="D36" s="5">
        <v>3746572.33</v>
      </c>
      <c r="E36" s="5">
        <v>4541854.05</v>
      </c>
      <c r="F36" s="5">
        <v>3683174.89</v>
      </c>
      <c r="G36" s="5">
        <v>3770026.7</v>
      </c>
      <c r="H36" s="5">
        <v>3070018.99</v>
      </c>
      <c r="I36" s="5">
        <v>3645460.27</v>
      </c>
      <c r="J36" s="5">
        <v>4974019</v>
      </c>
    </row>
    <row r="37" spans="1:10" x14ac:dyDescent="0.3">
      <c r="A37" s="4" t="s">
        <v>63</v>
      </c>
      <c r="B37" s="5">
        <v>377453.29</v>
      </c>
      <c r="C37" s="5">
        <v>428151.81</v>
      </c>
      <c r="D37" s="5">
        <v>395734.45</v>
      </c>
      <c r="E37" s="5">
        <v>420206.98</v>
      </c>
      <c r="F37" s="5">
        <v>505307.56</v>
      </c>
      <c r="G37" s="5">
        <v>506388.26</v>
      </c>
      <c r="H37" s="5">
        <v>575441.28</v>
      </c>
      <c r="I37" s="5">
        <v>676879</v>
      </c>
      <c r="J37" s="5">
        <v>882976</v>
      </c>
    </row>
    <row r="38" spans="1:10" x14ac:dyDescent="0.3">
      <c r="A38" s="2" t="s">
        <v>64</v>
      </c>
      <c r="B38" s="3">
        <f t="shared" ref="B38:J38" si="6">+SUM(B31:B37)</f>
        <v>8031674.3500000006</v>
      </c>
      <c r="C38" s="3">
        <f t="shared" si="6"/>
        <v>8042843.5999999987</v>
      </c>
      <c r="D38" s="3">
        <f t="shared" si="6"/>
        <v>8384960.0899999999</v>
      </c>
      <c r="E38" s="3">
        <f t="shared" si="6"/>
        <v>8950180.1600000001</v>
      </c>
      <c r="F38" s="3">
        <f t="shared" si="6"/>
        <v>8334729.9699999997</v>
      </c>
      <c r="G38" s="3">
        <f t="shared" si="6"/>
        <v>8684863.4900000002</v>
      </c>
      <c r="H38" s="3">
        <f t="shared" si="6"/>
        <v>8257141.7600000007</v>
      </c>
      <c r="I38" s="3">
        <f t="shared" si="6"/>
        <v>9042112.3499999996</v>
      </c>
      <c r="J38" s="3">
        <f t="shared" si="6"/>
        <v>10716381</v>
      </c>
    </row>
    <row r="47" spans="1:10" x14ac:dyDescent="0.3">
      <c r="A47" s="2"/>
      <c r="B47" s="3"/>
      <c r="C47" s="3"/>
      <c r="D47" s="3"/>
      <c r="E47" s="3"/>
      <c r="F47" s="3"/>
      <c r="G47" s="3"/>
      <c r="H47" s="3"/>
      <c r="I47" s="3"/>
      <c r="J4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59999389629810485"/>
  </sheetPr>
  <dimension ref="A1:J23"/>
  <sheetViews>
    <sheetView topLeftCell="A9" zoomScale="122" zoomScaleNormal="140" workbookViewId="0">
      <selection activeCell="H15" sqref="H15"/>
    </sheetView>
  </sheetViews>
  <sheetFormatPr baseColWidth="10" defaultRowHeight="14.4" x14ac:dyDescent="0.3"/>
  <cols>
    <col min="1" max="1" width="28.88671875" bestFit="1" customWidth="1"/>
    <col min="2" max="2" width="10.5546875" bestFit="1" customWidth="1"/>
    <col min="3" max="10" width="13.33203125" bestFit="1" customWidth="1"/>
  </cols>
  <sheetData>
    <row r="1" spans="1:10" s="1" customFormat="1" ht="15.6" x14ac:dyDescent="0.3">
      <c r="A1" s="2" t="s">
        <v>65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s="1" customFormat="1" ht="15.6" x14ac:dyDescent="0.3">
      <c r="A2" s="4" t="s">
        <v>71</v>
      </c>
      <c r="B2" s="12">
        <f>'Estado de Resultados'!B4/'Estado de Resultados'!B2</f>
        <v>0.44171221847961367</v>
      </c>
      <c r="C2" s="12">
        <f>'Estado de Resultados'!C4/'Estado de Resultados'!C2</f>
        <v>0.43273384755444838</v>
      </c>
      <c r="D2" s="12">
        <f>'Estado de Resultados'!D4/'Estado de Resultados'!D2</f>
        <v>0.42765510117304179</v>
      </c>
      <c r="E2" s="12">
        <f>'Estado de Resultados'!E4/'Estado de Resultados'!E2</f>
        <v>0.44159898531896496</v>
      </c>
      <c r="F2" s="12">
        <f>'Estado de Resultados'!F4/'Estado de Resultados'!F2</f>
        <v>0.44884856211835683</v>
      </c>
      <c r="G2" s="12">
        <f>'Estado de Resultados'!G4/'Estado de Resultados'!G2</f>
        <v>0.44117047769290807</v>
      </c>
      <c r="H2" s="12">
        <f>'Estado de Resultados'!H4/'Estado de Resultados'!H2</f>
        <v>0.41899758900022971</v>
      </c>
      <c r="I2" s="12">
        <f>'Estado de Resultados'!I4/'Estado de Resultados'!I2</f>
        <v>0.41064071310465478</v>
      </c>
      <c r="J2" s="12">
        <f>'Estado de Resultados'!J4/'Estado de Resultados'!J2</f>
        <v>0.366139969877607</v>
      </c>
    </row>
    <row r="3" spans="1:10" s="1" customFormat="1" ht="15.6" x14ac:dyDescent="0.3">
      <c r="A3" s="4" t="s">
        <v>92</v>
      </c>
      <c r="B3" s="12">
        <f>+('Estado de Resultados'!B10)/'Estado de Resultados'!B2</f>
        <v>0.10480478224225229</v>
      </c>
      <c r="C3" s="12">
        <f>+'Estado de Resultados'!C10/'Estado de Resultados'!C2</f>
        <v>9.9128027168889049E-2</v>
      </c>
      <c r="D3" s="12">
        <f>+'Estado de Resultados'!D10/'Estado de Resultados'!D2</f>
        <v>9.4630407670405287E-2</v>
      </c>
      <c r="E3" s="12">
        <f>+'Estado de Resultados'!E10/'Estado de Resultados'!E2</f>
        <v>8.9760233020007171E-2</v>
      </c>
      <c r="F3" s="12">
        <f>+'Estado de Resultados'!F10/'Estado de Resultados'!F2</f>
        <v>9.4153731113400502E-2</v>
      </c>
      <c r="G3" s="12">
        <f>+'Estado de Resultados'!G10/'Estado de Resultados'!G2</f>
        <v>9.6130845702100995E-2</v>
      </c>
      <c r="H3" s="12">
        <f>+'Estado de Resultados'!H10/'Estado de Resultados'!H2</f>
        <v>9.1225504753228701E-2</v>
      </c>
      <c r="I3" s="12">
        <f>+'Estado de Resultados'!I10/'Estado de Resultados'!I2</f>
        <v>9.8041561900847854E-2</v>
      </c>
      <c r="J3" s="12">
        <f>+'Estado de Resultados'!J10/'Estado de Resultados'!J2</f>
        <v>8.8420920912255049E-2</v>
      </c>
    </row>
    <row r="4" spans="1:10" s="1" customFormat="1" ht="15.6" x14ac:dyDescent="0.3">
      <c r="A4" s="4" t="s">
        <v>85</v>
      </c>
      <c r="B4" s="12">
        <v>0.03</v>
      </c>
      <c r="C4" s="12">
        <v>0.02</v>
      </c>
      <c r="D4" s="12">
        <v>0.02</v>
      </c>
      <c r="E4" s="12">
        <v>0.03</v>
      </c>
      <c r="F4" s="12">
        <v>0.03</v>
      </c>
      <c r="G4" s="12">
        <v>0.04</v>
      </c>
      <c r="H4" s="12">
        <v>0.04</v>
      </c>
      <c r="I4" s="12">
        <v>0.02</v>
      </c>
      <c r="J4" s="12">
        <v>0.03</v>
      </c>
    </row>
    <row r="5" spans="1:10" s="1" customFormat="1" ht="15.6" x14ac:dyDescent="0.3">
      <c r="A5" s="4" t="s">
        <v>72</v>
      </c>
      <c r="B5" s="11">
        <f>'Estado de Resultados'!B18/'Estado de Situación Financiera'!B16</f>
        <v>3.4743724204320654E-2</v>
      </c>
      <c r="C5" s="11">
        <f>'Estado de Resultados'!C18/'Estado de Situación Financiera'!C16</f>
        <v>3.2692181825971521E-2</v>
      </c>
      <c r="D5" s="11">
        <f>'Estado de Resultados'!D18/'Estado de Situación Financiera'!D16</f>
        <v>2.9175509372557498E-2</v>
      </c>
      <c r="E5" s="11">
        <f>'Estado de Resultados'!E18/'Estado de Situación Financiera'!E16</f>
        <v>2.9654506213835721E-2</v>
      </c>
      <c r="F5" s="11">
        <f>'Estado de Resultados'!F18/'Estado de Situación Financiera'!F16</f>
        <v>3.7619561692684704E-2</v>
      </c>
      <c r="G5" s="11">
        <f>'Estado de Resultados'!G18/'Estado de Situación Financiera'!G16</f>
        <v>3.2817729529822717E-2</v>
      </c>
      <c r="H5" s="11">
        <f>'Estado de Resultados'!H18/'Estado de Situación Financiera'!H16</f>
        <v>3.7575518366063661E-2</v>
      </c>
      <c r="I5" s="11">
        <f>'Estado de Resultados'!I18/'Estado de Situación Financiera'!I16</f>
        <v>5.0094065071988422E-2</v>
      </c>
      <c r="J5" s="11">
        <f>'Estado de Resultados'!J18/'Estado de Situación Financiera'!J16</f>
        <v>4.3539905240641434E-2</v>
      </c>
    </row>
    <row r="6" spans="1:10" ht="15.6" x14ac:dyDescent="0.3">
      <c r="A6" s="4" t="s">
        <v>66</v>
      </c>
      <c r="B6" s="11">
        <f>'Estado de Resultados'!B18/'Estado de Resultados'!B2</f>
        <v>6.3343388647589802E-2</v>
      </c>
      <c r="C6" s="11">
        <f>'Estado de Resultados'!C18/'Estado de Resultados'!C2</f>
        <v>5.4222357972871678E-2</v>
      </c>
      <c r="D6" s="11">
        <f>'Estado de Resultados'!D18/'Estado de Resultados'!D2</f>
        <v>4.6065235513652339E-2</v>
      </c>
      <c r="E6" s="11">
        <f>'Estado de Resultados'!E18/'Estado de Resultados'!E2</f>
        <v>4.8799424680302204E-2</v>
      </c>
      <c r="F6" s="11">
        <f>'Estado de Resultados'!F18/'Estado de Resultados'!F2</f>
        <v>5.6427662835481208E-2</v>
      </c>
      <c r="G6" s="11">
        <f>'Estado de Resultados'!G18/'Estado de Resultados'!G2</f>
        <v>5.155627377672585E-2</v>
      </c>
      <c r="H6" s="11">
        <f>'Estado de Resultados'!H18/'Estado de Resultados'!H2</f>
        <v>5.2468372281514256E-2</v>
      </c>
      <c r="I6" s="11">
        <f>'Estado de Resultados'!I18/'Estado de Resultados'!I2</f>
        <v>6.6017342636865636E-2</v>
      </c>
      <c r="J6" s="11">
        <f>'Estado de Resultados'!J18/'Estado de Resultados'!J2</f>
        <v>5.3044746385732498E-2</v>
      </c>
    </row>
    <row r="7" spans="1:10" ht="15.6" x14ac:dyDescent="0.3">
      <c r="A7" s="4" t="s">
        <v>67</v>
      </c>
      <c r="B7" s="11">
        <f>'Estado de Resultados'!B18/'Estado de Situación Financiera'!B38</f>
        <v>5.1120100505568929E-2</v>
      </c>
      <c r="C7" s="11">
        <f>'Estado de Resultados'!C18/'Estado de Situación Financiera'!C38</f>
        <v>5.35655399291863E-2</v>
      </c>
      <c r="D7" s="11">
        <f>'Estado de Resultados'!D18/'Estado de Situación Financiera'!D38</f>
        <v>4.7667663973341649E-2</v>
      </c>
      <c r="E7" s="11">
        <f>'Estado de Resultados'!E18/'Estado de Situación Financiera'!E38</f>
        <v>4.7411386409455157E-2</v>
      </c>
      <c r="F7" s="11">
        <f>'Estado de Resultados'!F18/'Estado de Situación Financiera'!F38</f>
        <v>6.1040437042497314E-2</v>
      </c>
      <c r="G7" s="11">
        <f>'Estado de Resultados'!G18/'Estado de Situación Financiera'!G38</f>
        <v>5.9119093879966132E-2</v>
      </c>
      <c r="H7" s="11">
        <f>'Estado de Resultados'!H18/'Estado de Situación Financiera'!H38</f>
        <v>7.0707759049058572E-2</v>
      </c>
      <c r="I7" s="11">
        <f>'Estado de Resultados'!I18/'Estado de Situación Financiera'!I38</f>
        <v>9.3940340467014924E-2</v>
      </c>
      <c r="J7" s="11">
        <f>'Estado de Resultados'!J18/'Estado de Situación Financiera'!J38</f>
        <v>8.4335094095665322E-2</v>
      </c>
    </row>
    <row r="8" spans="1:10" ht="15.6" x14ac:dyDescent="0.3">
      <c r="A8" s="4" t="s">
        <v>68</v>
      </c>
      <c r="B8" s="13">
        <f>'Estado de Situación Financiera'!B7/'Estado de Situación Financiera'!B23</f>
        <v>1.5261414081197211</v>
      </c>
      <c r="C8" s="13">
        <f>'Estado de Situación Financiera'!C7/'Estado de Situación Financiera'!C23</f>
        <v>1.1306170049113873</v>
      </c>
      <c r="D8" s="13">
        <f>'Estado de Situación Financiera'!D7/'Estado de Situación Financiera'!D23</f>
        <v>1.2108891872658254</v>
      </c>
      <c r="E8" s="13">
        <f>'Estado de Situación Financiera'!E7/'Estado de Situación Financiera'!E23</f>
        <v>1.373724885844994</v>
      </c>
      <c r="F8" s="13">
        <f>'Estado de Situación Financiera'!F7/'Estado de Situación Financiera'!F23</f>
        <v>1.381018752213123</v>
      </c>
      <c r="G8" s="13">
        <f>'Estado de Situación Financiera'!G7/'Estado de Situación Financiera'!G23</f>
        <v>1.3897735679304217</v>
      </c>
      <c r="H8" s="13">
        <f>'Estado de Situación Financiera'!H7/'Estado de Situación Financiera'!H23</f>
        <v>1.5820045389996629</v>
      </c>
      <c r="I8" s="13">
        <f>'Estado de Situación Financiera'!I7/'Estado de Situación Financiera'!I23</f>
        <v>1.7483635123858605</v>
      </c>
      <c r="J8" s="13">
        <f>'Estado de Situación Financiera'!J7/'Estado de Situación Financiera'!J23</f>
        <v>1.7853296978114666</v>
      </c>
    </row>
    <row r="9" spans="1:10" ht="15.6" x14ac:dyDescent="0.3">
      <c r="A9" s="4" t="s">
        <v>69</v>
      </c>
      <c r="B9" s="11">
        <f>'Estado de Situación Financiera'!B30/'Estado de Situación Financiera'!B16</f>
        <v>0.32035100909795111</v>
      </c>
      <c r="C9" s="11">
        <f>'Estado de Situación Financiera'!C30/'Estado de Situación Financiera'!C16</f>
        <v>0.38967885421769288</v>
      </c>
      <c r="D9" s="11">
        <f>'Estado de Situación Financiera'!D30/'Estado de Situación Financiera'!D16</f>
        <v>0.38793918265275118</v>
      </c>
      <c r="E9" s="11">
        <f>'Estado de Situación Financiera'!E30/'Estado de Situación Financiera'!E16</f>
        <v>0.37452775883130035</v>
      </c>
      <c r="F9" s="11">
        <f>'Estado de Situación Financiera'!F30/'Estado de Situación Financiera'!F16</f>
        <v>0.38369442725402281</v>
      </c>
      <c r="G9" s="11">
        <f>'Estado de Situación Financiera'!G30/'Estado de Situación Financiera'!G16</f>
        <v>0.4448878137259607</v>
      </c>
      <c r="H9" s="11">
        <f>'Estado de Situación Financiera'!H30/'Estado de Situación Financiera'!H16</f>
        <v>0.46857998640602405</v>
      </c>
      <c r="I9" s="11">
        <f>'Estado de Situación Financiera'!I30/'Estado de Situación Financiera'!I16</f>
        <v>0.46674599129701549</v>
      </c>
      <c r="J9" s="11">
        <f>'Estado de Situación Financiera'!J30/'Estado de Situación Financiera'!J16</f>
        <v>0.48372731770178568</v>
      </c>
    </row>
    <row r="10" spans="1:10" ht="15.6" x14ac:dyDescent="0.3">
      <c r="A10" s="4" t="s">
        <v>70</v>
      </c>
      <c r="B10" s="11">
        <f>'Estado de Situación Financiera'!B30/'Estado de Situación Financiera'!B38</f>
        <v>0.47134773710042166</v>
      </c>
      <c r="C10" s="11">
        <f>'Estado de Situación Financiera'!C30/'Estado de Situación Financiera'!C38</f>
        <v>0.63848165094246034</v>
      </c>
      <c r="D10" s="11">
        <f>'Estado de Situación Financiera'!D30/'Estado de Situación Financiera'!D38</f>
        <v>0.63382456719600189</v>
      </c>
      <c r="E10" s="11">
        <f>'Estado de Situación Financiera'!E30/'Estado de Situación Financiera'!E38</f>
        <v>0.59879197336738299</v>
      </c>
      <c r="F10" s="11">
        <f>'Estado de Situación Financiera'!F30/'Estado de Situación Financiera'!F38</f>
        <v>0.62257172801964211</v>
      </c>
      <c r="G10" s="11">
        <f>'Estado de Situación Financiera'!G30/'Estado de Situación Financiera'!G38</f>
        <v>0.80143766197527178</v>
      </c>
      <c r="H10" s="11">
        <f>'Estado de Situación Financiera'!H30/'Estado de Situación Financiera'!H38</f>
        <v>0.88175073065476817</v>
      </c>
      <c r="I10" s="11">
        <f>'Estado de Situación Financiera'!I30/'Estado de Situación Financiera'!I38</f>
        <v>0.87527888325784853</v>
      </c>
      <c r="J10" s="11">
        <f>'Estado de Situación Financiera'!J30/'Estado de Situación Financiera'!J38</f>
        <v>0.93696090125948306</v>
      </c>
    </row>
    <row r="11" spans="1:10" ht="15.6" x14ac:dyDescent="0.3">
      <c r="A11" s="4" t="s">
        <v>73</v>
      </c>
      <c r="B11" s="14">
        <f>('Estado de Situación Financiera'!B3+'Estado de Situación Financiera'!B8)/('Estado de Resultados'!B2)*365</f>
        <v>42.961773195246458</v>
      </c>
      <c r="C11" s="14">
        <f>('Estado de Situación Financiera'!C3+'Estado de Situación Financiera'!C8)/('Estado de Resultados'!C2)*365</f>
        <v>41.574703210553089</v>
      </c>
      <c r="D11" s="14">
        <f>('Estado de Situación Financiera'!D3+'Estado de Situación Financiera'!D8)/('Estado de Resultados'!D2)*365</f>
        <v>38.394185937570356</v>
      </c>
      <c r="E11" s="14">
        <f>('Estado de Situación Financiera'!E3+'Estado de Situación Financiera'!E8)/('Estado de Resultados'!E2)*365</f>
        <v>41.306855544612382</v>
      </c>
      <c r="F11" s="14">
        <f>('Estado de Situación Financiera'!F3+'Estado de Situación Financiera'!F8)/('Estado de Resultados'!F2)*365</f>
        <v>42.45255516078165</v>
      </c>
      <c r="G11" s="14">
        <f>('Estado de Situación Financiera'!G3+'Estado de Situación Financiera'!G8)/('Estado de Resultados'!G2)*365</f>
        <v>43.67519714788952</v>
      </c>
      <c r="H11" s="14">
        <f>('Estado de Situación Financiera'!H3+'Estado de Situación Financiera'!H8)/('Estado de Resultados'!H2)*365</f>
        <v>39.96071487129479</v>
      </c>
      <c r="I11" s="14">
        <f>('Estado de Situación Financiera'!I3+'Estado de Situación Financiera'!I8)/('Estado de Resultados'!I2)*365</f>
        <v>40.210661593674686</v>
      </c>
      <c r="J11" s="14">
        <f>('Estado de Situación Financiera'!J3+'Estado de Situación Financiera'!J8)/('Estado de Resultados'!J2)*365</f>
        <v>40.79509717878863</v>
      </c>
    </row>
    <row r="12" spans="1:10" ht="15.6" x14ac:dyDescent="0.3">
      <c r="A12" s="4" t="s">
        <v>74</v>
      </c>
      <c r="B12" s="14">
        <f>('Estado de Situación Financiera'!B18)/('Estado de Resultados'!B3*(-1))*365</f>
        <v>66.213293274936944</v>
      </c>
      <c r="C12" s="14">
        <f>('Estado de Situación Financiera'!C18)/('Estado de Resultados'!C3*(-1))*365</f>
        <v>66.845519815511395</v>
      </c>
      <c r="D12" s="14">
        <f>('Estado de Situación Financiera'!D18)/('Estado de Resultados'!D3*(-1))*365</f>
        <v>65.329153581249187</v>
      </c>
      <c r="E12" s="14">
        <f>('Estado de Situación Financiera'!E18)/('Estado de Resultados'!E3*(-1))*365</f>
        <v>74.662328430432069</v>
      </c>
      <c r="F12" s="14">
        <f>('Estado de Situación Financiera'!F18)/('Estado de Resultados'!F3*(-1))*365</f>
        <v>80.427200687457869</v>
      </c>
      <c r="G12" s="14">
        <f>('Estado de Situación Financiera'!G18)/('Estado de Resultados'!G3*(-1))*365</f>
        <v>81.006124086674816</v>
      </c>
      <c r="H12" s="14">
        <f>('Estado de Situación Financiera'!H18)/('Estado de Resultados'!H3*(-1))*365</f>
        <v>72.461848932733659</v>
      </c>
      <c r="I12" s="14">
        <f>('Estado de Situación Financiera'!I18)/('Estado de Resultados'!I3*(-1))*365</f>
        <v>84.622941564958751</v>
      </c>
      <c r="J12" s="14">
        <f>('Estado de Situación Financiera'!J18)/('Estado de Resultados'!J3*(-1))*365</f>
        <v>75.61799308214799</v>
      </c>
    </row>
    <row r="13" spans="1:10" ht="15.6" x14ac:dyDescent="0.3">
      <c r="A13" s="4" t="s">
        <v>75</v>
      </c>
      <c r="B13" s="14">
        <f>('Estado de Situación Financiera'!B4/'Estado de Resultados'!B3*(-1))*365</f>
        <v>84.912962246011503</v>
      </c>
      <c r="C13" s="14">
        <f>('Estado de Situación Financiera'!C4/'Estado de Resultados'!C3*(-1))*365</f>
        <v>83.652091245561735</v>
      </c>
      <c r="D13" s="14">
        <f>('Estado de Situación Financiera'!D4/'Estado de Resultados'!D3*(-1))*365</f>
        <v>75.587993117029896</v>
      </c>
      <c r="E13" s="14">
        <f>('Estado de Situación Financiera'!E4/'Estado de Resultados'!E3*(-1))*365</f>
        <v>73.878689656302413</v>
      </c>
      <c r="F13" s="14">
        <f>('Estado de Situación Financiera'!F4/'Estado de Resultados'!F3*(-1))*365</f>
        <v>81.52296502885774</v>
      </c>
      <c r="G13" s="14">
        <f>('Estado de Situación Financiera'!G4/'Estado de Resultados'!G3*(-1))*365</f>
        <v>81.858407241282848</v>
      </c>
      <c r="H13" s="14">
        <f>('Estado de Situación Financiera'!H4/'Estado de Resultados'!H3*(-1))*365</f>
        <v>77.909377845245089</v>
      </c>
      <c r="I13" s="14">
        <f>('Estado de Situación Financiera'!I4/'Estado de Resultados'!I3*(-1))*365</f>
        <v>83.875859273605201</v>
      </c>
      <c r="J13" s="14">
        <f>('Estado de Situación Financiera'!J4/'Estado de Resultados'!J3*(-1))*365</f>
        <v>101.53612797516945</v>
      </c>
    </row>
    <row r="14" spans="1:10" ht="15.6" x14ac:dyDescent="0.3">
      <c r="A14" s="4" t="s">
        <v>76</v>
      </c>
      <c r="B14" s="14">
        <f>B11+B13-B12</f>
        <v>61.661442166321024</v>
      </c>
      <c r="C14" s="14">
        <f t="shared" ref="C14:J14" si="0">C11+C13-C12</f>
        <v>58.381274640603422</v>
      </c>
      <c r="D14" s="14">
        <f t="shared" si="0"/>
        <v>48.653025473351065</v>
      </c>
      <c r="E14" s="14">
        <f t="shared" si="0"/>
        <v>40.523216770482719</v>
      </c>
      <c r="F14" s="14">
        <f t="shared" si="0"/>
        <v>43.548319502181513</v>
      </c>
      <c r="G14" s="14">
        <f t="shared" si="0"/>
        <v>44.527480302497551</v>
      </c>
      <c r="H14" s="14">
        <f t="shared" si="0"/>
        <v>45.408243783806228</v>
      </c>
      <c r="I14" s="14">
        <f t="shared" si="0"/>
        <v>39.463579302321136</v>
      </c>
      <c r="J14" s="14">
        <f t="shared" si="0"/>
        <v>66.713232071810097</v>
      </c>
    </row>
    <row r="15" spans="1:10" ht="15.6" x14ac:dyDescent="0.3">
      <c r="A15" s="4" t="s">
        <v>77</v>
      </c>
      <c r="B15" s="15">
        <f>+'Estado de Situación Financiera'!B30/'Estado de Situación Financiera'!B16</f>
        <v>0.32035100909795111</v>
      </c>
      <c r="C15" s="15">
        <f>+'Estado de Situación Financiera'!C30/'Estado de Situación Financiera'!C16</f>
        <v>0.38967885421769288</v>
      </c>
      <c r="D15" s="15">
        <f>+'Estado de Situación Financiera'!D30/'Estado de Situación Financiera'!D16</f>
        <v>0.38793918265275118</v>
      </c>
      <c r="E15" s="15">
        <f>+'Estado de Situación Financiera'!E30/'Estado de Situación Financiera'!E16</f>
        <v>0.37452775883130035</v>
      </c>
      <c r="F15" s="15">
        <f>+'Estado de Situación Financiera'!F30/'Estado de Situación Financiera'!F16</f>
        <v>0.38369442725402281</v>
      </c>
      <c r="G15" s="15">
        <f>+'Estado de Situación Financiera'!G30/'Estado de Situación Financiera'!G16</f>
        <v>0.4448878137259607</v>
      </c>
      <c r="H15" s="15">
        <f>+'Estado de Situación Financiera'!H30/'Estado de Situación Financiera'!H16</f>
        <v>0.46857998640602405</v>
      </c>
      <c r="I15" s="15">
        <f>+'Estado de Situación Financiera'!I30/'Estado de Situación Financiera'!I16</f>
        <v>0.46674599129701549</v>
      </c>
      <c r="J15" s="15">
        <f>+'Estado de Situación Financiera'!J30/'Estado de Situación Financiera'!J16</f>
        <v>0.48372731770178568</v>
      </c>
    </row>
    <row r="16" spans="1:10" ht="15.6" x14ac:dyDescent="0.3">
      <c r="A16" s="4" t="s">
        <v>82</v>
      </c>
      <c r="B16" s="15">
        <f>+'Estado de Situación Financiera'!B23/'Estado de Situación Financiera'!B30</f>
        <v>0.37397375335674343</v>
      </c>
      <c r="C16" s="15">
        <f>+'Estado de Situación Financiera'!C23/'Estado de Situación Financiera'!C30</f>
        <v>0.43797677595949247</v>
      </c>
      <c r="D16" s="15">
        <f>+'Estado de Situación Financiera'!D23/'Estado de Situación Financiera'!D30</f>
        <v>0.39776566739241054</v>
      </c>
      <c r="E16" s="15">
        <f>+'Estado de Situación Financiera'!E23/'Estado de Situación Financiera'!E30</f>
        <v>0.36477930037990586</v>
      </c>
      <c r="F16" s="15">
        <f>+'Estado de Situación Financiera'!F23/'Estado de Situación Financiera'!F30</f>
        <v>0.39366794884602124</v>
      </c>
      <c r="G16" s="15">
        <f>+'Estado de Situación Financiera'!G23/'Estado de Situación Financiera'!G30</f>
        <v>0.33731465185974013</v>
      </c>
      <c r="H16" s="15">
        <f>+'Estado de Situación Financiera'!H23/'Estado de Situación Financiera'!H30</f>
        <v>0.33522153771830893</v>
      </c>
      <c r="I16" s="15">
        <f>+'Estado de Situación Financiera'!I23/'Estado de Situación Financiera'!I30</f>
        <v>0.33205890045575326</v>
      </c>
      <c r="J16" s="15">
        <f>+'Estado de Situación Financiera'!J23/'Estado de Situación Financiera'!J30</f>
        <v>0.37932272531254885</v>
      </c>
    </row>
    <row r="17" spans="1:10" ht="15.6" x14ac:dyDescent="0.3">
      <c r="A17" s="4" t="s">
        <v>78</v>
      </c>
      <c r="B17" s="16">
        <f>+'Estado de Situación Financiera'!B30/'Estado de Situación Financiera'!B38</f>
        <v>0.47134773710042166</v>
      </c>
      <c r="C17" s="16">
        <f>+'Estado de Situación Financiera'!C30/'Estado de Situación Financiera'!C38</f>
        <v>0.63848165094246034</v>
      </c>
      <c r="D17" s="16">
        <f>+'Estado de Situación Financiera'!D30/'Estado de Situación Financiera'!D38</f>
        <v>0.63382456719600189</v>
      </c>
      <c r="E17" s="16">
        <f>+'Estado de Situación Financiera'!E30/'Estado de Situación Financiera'!E38</f>
        <v>0.59879197336738299</v>
      </c>
      <c r="F17" s="16">
        <f>+'Estado de Situación Financiera'!F30/'Estado de Situación Financiera'!F38</f>
        <v>0.62257172801964211</v>
      </c>
      <c r="G17" s="16">
        <f>+'Estado de Situación Financiera'!G30/'Estado de Situación Financiera'!G38</f>
        <v>0.80143766197527178</v>
      </c>
      <c r="H17" s="16">
        <f>+'Estado de Situación Financiera'!H30/'Estado de Situación Financiera'!H38</f>
        <v>0.88175073065476817</v>
      </c>
      <c r="I17" s="16">
        <f>+'Estado de Situación Financiera'!I30/'Estado de Situación Financiera'!I38</f>
        <v>0.87527888325784853</v>
      </c>
      <c r="J17" s="16">
        <f>+'Estado de Situación Financiera'!J30/'Estado de Situación Financiera'!J38</f>
        <v>0.93696090125948306</v>
      </c>
    </row>
    <row r="18" spans="1:10" ht="15.6" x14ac:dyDescent="0.3">
      <c r="A18" s="4" t="s">
        <v>81</v>
      </c>
      <c r="B18" s="17">
        <f>+'Estado de Situación Financiera'!B24+'Estado de Situación Financiera'!B17</f>
        <v>2144277</v>
      </c>
      <c r="C18" s="17">
        <f>+'Estado de Situación Financiera'!C24+'Estado de Situación Financiera'!C17</f>
        <v>3094263.94</v>
      </c>
      <c r="D18" s="17">
        <f>+'Estado de Situación Financiera'!D24+'Estado de Situación Financiera'!D17</f>
        <v>3125117.9</v>
      </c>
      <c r="E18" s="17">
        <f>+'Estado de Situación Financiera'!E24+'Estado de Situación Financiera'!E17</f>
        <v>3031209.85</v>
      </c>
      <c r="F18" s="17">
        <f>+'Estado de Situación Financiera'!F24+'Estado de Situación Financiera'!F17</f>
        <v>2788045.46</v>
      </c>
      <c r="G18" s="17">
        <f>+'Estado de Situación Financiera'!G24+'Estado de Situación Financiera'!G17</f>
        <v>3207209.4699999997</v>
      </c>
      <c r="H18" s="17">
        <f>+'Estado de Situación Financiera'!H24+'Estado de Situación Financiera'!H17</f>
        <v>3352373.95</v>
      </c>
      <c r="I18" s="17">
        <f>+'Estado de Situación Financiera'!I24+'Estado de Situación Financiera'!I17</f>
        <v>3341490</v>
      </c>
      <c r="J18" s="17">
        <f>+'Estado de Situación Financiera'!J24+'Estado de Situación Financiera'!J17</f>
        <v>4371129</v>
      </c>
    </row>
    <row r="19" spans="1:10" ht="15.6" x14ac:dyDescent="0.3">
      <c r="A19" s="4" t="s">
        <v>79</v>
      </c>
      <c r="B19" t="s">
        <v>80</v>
      </c>
      <c r="C19" s="16">
        <f>+'Estado de Resultados'!C12/(Indicadores!C18+Indicadores!B18)*(-1)</f>
        <v>4.4840027536369703E-2</v>
      </c>
      <c r="D19" s="16">
        <f>+'Estado de Resultados'!D12/(Indicadores!D18+Indicadores!C18)*(-1)</f>
        <v>5.2197668249293401E-2</v>
      </c>
      <c r="E19" s="16">
        <f>+'Estado de Resultados'!E12/(Indicadores!E18+Indicadores!D18)*(-1)</f>
        <v>4.9956372124599767E-2</v>
      </c>
      <c r="F19" s="16">
        <f>+'Estado de Resultados'!F12/(Indicadores!F18+Indicadores!E18)*(-1)</f>
        <v>4.2497606106922985E-2</v>
      </c>
      <c r="G19" s="16">
        <f>+'Estado de Resultados'!G12/(Indicadores!G18+Indicadores!F18)*(-1)</f>
        <v>5.0423759044388124E-2</v>
      </c>
      <c r="H19" s="16">
        <f>+'Estado de Resultados'!H12/(Indicadores!H18+Indicadores!G18)*(-1)</f>
        <v>4.3124365053047835E-2</v>
      </c>
      <c r="I19" s="16">
        <f>+'Estado de Resultados'!I12/(Indicadores!I18+Indicadores!H18)*(-1)</f>
        <v>3.6014475615388029E-2</v>
      </c>
      <c r="J19" s="16">
        <f>+'Estado de Resultados'!J12/(Indicadores!J18+Indicadores!I18)*(-1)</f>
        <v>5.746660116362548E-2</v>
      </c>
    </row>
    <row r="20" spans="1:10" x14ac:dyDescent="0.3">
      <c r="A20" t="s">
        <v>93</v>
      </c>
      <c r="C20" s="16">
        <f>+'Estado de Resultados'!C16/'Estado de Resultados'!C15*(-1)</f>
        <v>0.27658694558982205</v>
      </c>
      <c r="D20" s="16">
        <f>+'Estado de Resultados'!D16/'Estado de Resultados'!D15*(-1)</f>
        <v>0.26306037528258636</v>
      </c>
      <c r="E20" s="16">
        <f>+'Estado de Resultados'!E16/'Estado de Resultados'!E15*(-1)</f>
        <v>0.1868868390990453</v>
      </c>
      <c r="F20" s="16">
        <f>+'Estado de Resultados'!F16/'Estado de Resultados'!F15*(-1)</f>
        <v>0.26884389781854884</v>
      </c>
      <c r="G20" s="16">
        <f>+'Estado de Resultados'!G16/'Estado de Resultados'!G15*(-1)</f>
        <v>0.27916927397343744</v>
      </c>
      <c r="H20" s="16">
        <f>+'Estado de Resultados'!H16/'Estado de Resultados'!H15*(-1)</f>
        <v>0.28324090198137702</v>
      </c>
      <c r="I20" s="16">
        <f>+'Estado de Resultados'!I16/'Estado de Resultados'!I15*(-1)</f>
        <v>0.23000796906666521</v>
      </c>
      <c r="J20" s="16">
        <f>+'Estado de Resultados'!J16/'Estado de Resultados'!J15*(-1)</f>
        <v>0.28332442577999239</v>
      </c>
    </row>
    <row r="21" spans="1:10" ht="15.6" x14ac:dyDescent="0.3">
      <c r="A21" s="4" t="s">
        <v>94</v>
      </c>
      <c r="C21" s="18">
        <f>+('Estado de Resultados'!C2/'Estado de Resultados'!B2)-1</f>
        <v>0.22580168233795095</v>
      </c>
      <c r="D21" s="18">
        <f>+('Estado de Resultados'!D2/'Estado de Resultados'!C2)-1</f>
        <v>9.203073724530686E-2</v>
      </c>
      <c r="E21" s="18">
        <f>+('Estado de Resultados'!E2/'Estado de Resultados'!D2)-1</f>
        <v>2.1855983699237136E-3</v>
      </c>
      <c r="F21" s="18">
        <f>+('Estado de Resultados'!F2/'Estado de Resultados'!E2)-1</f>
        <v>3.6853445367634796E-2</v>
      </c>
      <c r="G21" s="18">
        <f>+('Estado de Resultados'!G2/'Estado de Resultados'!F2)-1</f>
        <v>0.10456718914458674</v>
      </c>
      <c r="H21" s="18">
        <f>+('Estado de Resultados'!H2/'Estado de Resultados'!G2)-1</f>
        <v>0.1173519168207835</v>
      </c>
      <c r="I21" s="18">
        <f>+('Estado de Resultados'!I2/'Estado de Resultados'!H2)-1</f>
        <v>0.15628466843282496</v>
      </c>
      <c r="J21" s="18">
        <f>+('Estado de Resultados'!J2/'Estado de Resultados'!I2)-1</f>
        <v>0.32418941599036799</v>
      </c>
    </row>
    <row r="23" spans="1:10" ht="15.6" x14ac:dyDescent="0.3">
      <c r="A23" s="4" t="s">
        <v>95</v>
      </c>
      <c r="B23" s="19">
        <f>+(((C21+1)*(1+D21)*(1+E21)*(1+F21)*(1+G21)*(1+H21)*(1+I21)*(1+J21))^(1/8))-1</f>
        <v>0.12840421721602158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66CB0-3D1E-49C4-9369-6505897B5D3A}">
  <dimension ref="A1:I10"/>
  <sheetViews>
    <sheetView workbookViewId="0">
      <selection activeCell="B11" sqref="A11:XFD11"/>
    </sheetView>
  </sheetViews>
  <sheetFormatPr baseColWidth="10" defaultRowHeight="14.4" x14ac:dyDescent="0.3"/>
  <cols>
    <col min="2" max="9" width="13" bestFit="1" customWidth="1"/>
  </cols>
  <sheetData>
    <row r="1" spans="1:9" x14ac:dyDescent="0.3">
      <c r="B1">
        <v>2015</v>
      </c>
      <c r="C1">
        <f t="shared" ref="C1:I1" si="0">+B1+1</f>
        <v>2016</v>
      </c>
      <c r="D1">
        <f t="shared" si="0"/>
        <v>2017</v>
      </c>
      <c r="E1">
        <f t="shared" si="0"/>
        <v>2018</v>
      </c>
      <c r="F1">
        <f t="shared" si="0"/>
        <v>2019</v>
      </c>
      <c r="G1">
        <f t="shared" si="0"/>
        <v>2020</v>
      </c>
      <c r="H1">
        <f t="shared" si="0"/>
        <v>2021</v>
      </c>
      <c r="I1">
        <f t="shared" si="0"/>
        <v>2022</v>
      </c>
    </row>
    <row r="2" spans="1:9" x14ac:dyDescent="0.3">
      <c r="A2" t="s">
        <v>83</v>
      </c>
      <c r="B2" s="17">
        <f>+'Estado de Resultados'!C10</f>
        <v>787613.5400000005</v>
      </c>
      <c r="C2" s="17">
        <f>+'Estado de Resultados'!D10</f>
        <v>821073.97000000055</v>
      </c>
      <c r="D2" s="17">
        <f>+'Estado de Resultados'!E10</f>
        <v>780519.39999999921</v>
      </c>
      <c r="E2" s="17">
        <f>+'Estado de Resultados'!F10</f>
        <v>848896.30000000063</v>
      </c>
      <c r="F2" s="17">
        <f>+'Estado de Resultados'!G10</f>
        <v>957352.79000000027</v>
      </c>
      <c r="G2" s="17">
        <f>+'Estado de Resultados'!H10</f>
        <v>1015115.5899999996</v>
      </c>
      <c r="H2" s="17">
        <f>+'Estado de Resultados'!I10</f>
        <v>1261462.1127000004</v>
      </c>
      <c r="I2" s="17">
        <f>+'Estado de Resultados'!J10</f>
        <v>1506500</v>
      </c>
    </row>
    <row r="3" spans="1:9" x14ac:dyDescent="0.3">
      <c r="A3" t="s">
        <v>84</v>
      </c>
      <c r="B3" s="17">
        <f>+B2*(1-Indicadores!C20)</f>
        <v>569769.91666621331</v>
      </c>
      <c r="C3" s="17">
        <f>+C2*(1-Indicadores!D20)</f>
        <v>605081.94331703731</v>
      </c>
      <c r="D3" s="17">
        <f>+D2*(1-Indicadores!E20)</f>
        <v>634650.596478516</v>
      </c>
      <c r="E3" s="17">
        <f>+E2*(1-Indicadores!F20)</f>
        <v>620675.70986425632</v>
      </c>
      <c r="F3" s="17">
        <f>+F2*(1-Indicadores!G20)</f>
        <v>690089.30667925545</v>
      </c>
      <c r="G3" s="17">
        <f>+G2*(1-Indicadores!H20)</f>
        <v>727593.33467304194</v>
      </c>
      <c r="H3" s="17">
        <f>+H2*(1-Indicadores!I20)</f>
        <v>971315.77410332859</v>
      </c>
      <c r="I3" s="17">
        <f>+I2*(1-Indicadores!J20)</f>
        <v>1079671.7525624414</v>
      </c>
    </row>
    <row r="4" spans="1:9" x14ac:dyDescent="0.3">
      <c r="A4" t="s">
        <v>85</v>
      </c>
      <c r="B4" s="17">
        <f>+Indicadores!C4*'Estado de Resultados'!C2</f>
        <v>158908.3456</v>
      </c>
      <c r="C4" s="17">
        <f>+Indicadores!D4*'Estado de Resultados'!D2</f>
        <v>173532.79780000003</v>
      </c>
      <c r="D4" s="17">
        <f>+Indicadores!E4*'Estado de Resultados'!E2</f>
        <v>260868.10619999995</v>
      </c>
      <c r="E4" s="17">
        <f>+Indicadores!F4*'Estado de Resultados'!F2</f>
        <v>270481.99469999998</v>
      </c>
      <c r="F4" s="17">
        <f>+Indicadores!G4*'Estado de Resultados'!G2</f>
        <v>398354.04880000005</v>
      </c>
      <c r="G4" s="17">
        <f>+Indicadores!H4*'Estado de Resultados'!H2</f>
        <v>445101.66000000003</v>
      </c>
      <c r="H4" s="17">
        <f>+Indicadores!I4*'Estado de Resultados'!I2</f>
        <v>257332.11267600002</v>
      </c>
      <c r="I4" s="17">
        <f>+Indicadores!J4*'Estado de Resultados'!J2</f>
        <v>511134.69</v>
      </c>
    </row>
    <row r="5" spans="1:9" x14ac:dyDescent="0.3">
      <c r="A5" t="s">
        <v>86</v>
      </c>
      <c r="B5" s="17">
        <f>+SUM(B6:B8)</f>
        <v>160612.06000000006</v>
      </c>
      <c r="C5" s="17">
        <f t="shared" ref="C5:I5" si="1">+SUM(C6:C8)</f>
        <v>-57039.730000000098</v>
      </c>
      <c r="D5" s="17">
        <f t="shared" si="1"/>
        <v>-81630.890000000014</v>
      </c>
      <c r="E5" s="17">
        <f t="shared" si="1"/>
        <v>88353.90000000014</v>
      </c>
      <c r="F5" s="17">
        <f t="shared" si="1"/>
        <v>143746.12999999989</v>
      </c>
      <c r="G5" s="17">
        <f t="shared" si="1"/>
        <v>108957.75999999978</v>
      </c>
      <c r="H5" s="17">
        <f t="shared" si="1"/>
        <v>78948.770000000251</v>
      </c>
      <c r="I5" s="17">
        <f t="shared" si="1"/>
        <v>1256460</v>
      </c>
    </row>
    <row r="6" spans="1:9" x14ac:dyDescent="0.3">
      <c r="A6" t="s">
        <v>87</v>
      </c>
      <c r="B6" s="17">
        <f>+'Estado de Situación Financiera'!C3-'Estado de Situación Financiera'!B3</f>
        <v>138471.78000000003</v>
      </c>
      <c r="C6" s="17">
        <f>+'Estado de Situación Financiera'!D3-'Estado de Situación Financiera'!C3</f>
        <v>10917.260000000009</v>
      </c>
      <c r="D6" s="17">
        <f>+'Estado de Situación Financiera'!E3-'Estado de Situación Financiera'!D3</f>
        <v>68371.229999999981</v>
      </c>
      <c r="E6" s="17">
        <f>+'Estado de Situación Financiera'!F3-'Estado de Situación Financiera'!E3</f>
        <v>63011.010000000009</v>
      </c>
      <c r="F6" s="17">
        <f>+'Estado de Situación Financiera'!G3-'Estado de Situación Financiera'!F3</f>
        <v>145669.09000000008</v>
      </c>
      <c r="G6" s="17">
        <f>+'Estado de Situación Financiera'!H3-'Estado de Situación Financiera'!G3</f>
        <v>25462.519999999786</v>
      </c>
      <c r="H6" s="17">
        <f>+'Estado de Situación Financiera'!I3-'Estado de Situación Financiera'!H3</f>
        <v>190960.1100000001</v>
      </c>
      <c r="I6" s="17">
        <f>+'Estado de Situación Financiera'!J3-'Estado de Situación Financiera'!I3</f>
        <v>474075</v>
      </c>
    </row>
    <row r="7" spans="1:9" x14ac:dyDescent="0.3">
      <c r="A7" t="s">
        <v>88</v>
      </c>
      <c r="B7" s="17">
        <f>'Estado de Situación Financiera'!B18-'Estado de Situación Financiera'!C18</f>
        <v>-168977.27000000002</v>
      </c>
      <c r="C7" s="17">
        <f>'Estado de Situación Financiera'!C18-'Estado de Situación Financiera'!D18</f>
        <v>-63404.660000000033</v>
      </c>
      <c r="D7" s="17">
        <f>'Estado de Situación Financiera'!D18-'Estado de Situación Financiera'!E18</f>
        <v>-104400.96999999997</v>
      </c>
      <c r="E7" s="17">
        <f>'Estado de Situación Financiera'!E18-'Estado de Situación Financiera'!F18</f>
        <v>-101718.80999999994</v>
      </c>
      <c r="F7" s="17">
        <f>'Estado de Situación Financiera'!F18-'Estado de Situación Financiera'!G18</f>
        <v>-140172.8600000001</v>
      </c>
      <c r="G7" s="17">
        <f>'Estado de Situación Financiera'!G18-'Estado de Situación Financiera'!H18</f>
        <v>-48361.020000000019</v>
      </c>
      <c r="H7" s="17">
        <f>'Estado de Situación Financiera'!H18-'Estado de Situación Financiera'!I18</f>
        <v>-474589.40999999992</v>
      </c>
      <c r="I7" s="17">
        <f>'Estado de Situación Financiera'!I18-'Estado de Situación Financiera'!J18</f>
        <v>-479297</v>
      </c>
    </row>
    <row r="8" spans="1:9" x14ac:dyDescent="0.3">
      <c r="A8" t="s">
        <v>89</v>
      </c>
      <c r="B8" s="17">
        <f>+'Estado de Situación Financiera'!C4-'Estado de Situación Financiera'!B4</f>
        <v>191117.55000000005</v>
      </c>
      <c r="C8" s="17">
        <f>+'Estado de Situación Financiera'!D4-'Estado de Situación Financiera'!C4</f>
        <v>-4552.3300000000745</v>
      </c>
      <c r="D8" s="17">
        <f>+'Estado de Situación Financiera'!E4-'Estado de Situación Financiera'!D4</f>
        <v>-45601.150000000023</v>
      </c>
      <c r="E8" s="17">
        <f>+'Estado de Situación Financiera'!F4-'Estado de Situación Financiera'!E4</f>
        <v>127061.70000000007</v>
      </c>
      <c r="F8" s="17">
        <f>+'Estado de Situación Financiera'!G4-'Estado de Situación Financiera'!F4</f>
        <v>138249.89999999991</v>
      </c>
      <c r="G8" s="17">
        <f>+'Estado de Situación Financiera'!H4-'Estado de Situación Financiera'!G4</f>
        <v>131856.26</v>
      </c>
      <c r="H8" s="17">
        <f>+'Estado de Situación Financiera'!I4-'Estado de Situación Financiera'!H4</f>
        <v>362578.07000000007</v>
      </c>
      <c r="I8" s="17">
        <f>+'Estado de Situación Financiera'!J4-'Estado de Situación Financiera'!I4</f>
        <v>1261682</v>
      </c>
    </row>
    <row r="9" spans="1:9" x14ac:dyDescent="0.3">
      <c r="A9" t="s">
        <v>90</v>
      </c>
      <c r="B9" s="17">
        <f>+'Estado de Situación Financiera'!C12-'Estado de Situación Financiera'!B12</f>
        <v>420386.95000000019</v>
      </c>
      <c r="C9" s="17">
        <f>+'Estado de Situación Financiera'!D12-'Estado de Situación Financiera'!C12</f>
        <v>-208.49000000022352</v>
      </c>
      <c r="D9" s="17">
        <f>+'Estado de Situación Financiera'!E12-'Estado de Situación Financiera'!D12</f>
        <v>12157.560000000056</v>
      </c>
      <c r="E9" s="17">
        <f>+'Estado de Situación Financiera'!F12-'Estado de Situación Financiera'!E12</f>
        <v>-19306.310000000056</v>
      </c>
      <c r="F9" s="17">
        <f>+'Estado de Situación Financiera'!G12-'Estado de Situación Financiera'!F12</f>
        <v>23692.770000000019</v>
      </c>
      <c r="G9" s="17">
        <f>+'Estado de Situación Financiera'!H12-'Estado de Situación Financiera'!G12</f>
        <v>34148.669999999925</v>
      </c>
      <c r="H9" s="17">
        <f>+'Estado de Situación Financiera'!I12-'Estado de Situación Financiera'!H12</f>
        <v>242724.85000000009</v>
      </c>
      <c r="I9" s="17">
        <f>+'Estado de Situación Financiera'!J12-'Estado de Situación Financiera'!I12</f>
        <v>359827</v>
      </c>
    </row>
    <row r="10" spans="1:9" x14ac:dyDescent="0.3">
      <c r="A10" t="s">
        <v>91</v>
      </c>
      <c r="B10" s="17">
        <f>+B3-B5+B4-B9</f>
        <v>147679.25226621307</v>
      </c>
      <c r="C10" s="17">
        <f t="shared" ref="C10:I10" si="2">+C3-C5+C4-C9</f>
        <v>835862.96111703769</v>
      </c>
      <c r="D10" s="17">
        <f t="shared" si="2"/>
        <v>964992.03267851588</v>
      </c>
      <c r="E10" s="17">
        <f t="shared" si="2"/>
        <v>822110.11456425628</v>
      </c>
      <c r="F10" s="17">
        <f t="shared" si="2"/>
        <v>921004.45547925564</v>
      </c>
      <c r="G10" s="17">
        <f t="shared" si="2"/>
        <v>1029588.5646730424</v>
      </c>
      <c r="H10" s="17">
        <f t="shared" si="2"/>
        <v>906974.26677932823</v>
      </c>
      <c r="I10" s="17">
        <f t="shared" si="2"/>
        <v>-25480.5574375586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AFED7-29E2-43EA-8CFD-17779BFEAC09}">
  <dimension ref="A2:J11"/>
  <sheetViews>
    <sheetView tabSelected="1" workbookViewId="0">
      <selection activeCell="J4" sqref="J4"/>
    </sheetView>
  </sheetViews>
  <sheetFormatPr baseColWidth="10" defaultRowHeight="14.4" x14ac:dyDescent="0.3"/>
  <cols>
    <col min="1" max="1" width="23.33203125" bestFit="1" customWidth="1"/>
    <col min="4" max="10" width="12" bestFit="1" customWidth="1"/>
  </cols>
  <sheetData>
    <row r="2" spans="1:10" ht="15.6" x14ac:dyDescent="0.3">
      <c r="B2" s="20">
        <v>2014</v>
      </c>
      <c r="C2" s="20">
        <v>2015</v>
      </c>
      <c r="D2" s="20">
        <v>2016</v>
      </c>
      <c r="E2" s="20">
        <v>2017</v>
      </c>
      <c r="F2" s="20">
        <v>2018</v>
      </c>
      <c r="G2" s="20">
        <v>2019</v>
      </c>
      <c r="H2" s="20">
        <v>2020</v>
      </c>
      <c r="I2" s="20">
        <v>2021</v>
      </c>
      <c r="J2" s="20">
        <v>2022</v>
      </c>
    </row>
    <row r="3" spans="1:10" ht="15.6" x14ac:dyDescent="0.3">
      <c r="A3" s="21" t="s">
        <v>96</v>
      </c>
      <c r="B3" s="21"/>
      <c r="C3" s="21"/>
      <c r="D3" s="22">
        <v>336185</v>
      </c>
      <c r="E3" s="22">
        <v>239992</v>
      </c>
      <c r="F3" s="22">
        <v>227541</v>
      </c>
      <c r="G3" s="22">
        <v>280837</v>
      </c>
      <c r="H3" s="22">
        <v>267245</v>
      </c>
      <c r="I3" s="22">
        <v>369020</v>
      </c>
      <c r="J3" s="22">
        <v>438757</v>
      </c>
    </row>
    <row r="4" spans="1:10" x14ac:dyDescent="0.3">
      <c r="A4" t="s">
        <v>97</v>
      </c>
      <c r="B4" s="22">
        <v>864257</v>
      </c>
      <c r="C4" s="22">
        <v>975554</v>
      </c>
      <c r="D4" s="22">
        <v>1028953</v>
      </c>
      <c r="E4" s="22">
        <v>1044179</v>
      </c>
      <c r="F4" s="22">
        <v>1126422</v>
      </c>
      <c r="G4" s="22">
        <v>1347229</v>
      </c>
      <c r="H4" s="22">
        <v>1443576</v>
      </c>
      <c r="I4" s="22">
        <v>1532391</v>
      </c>
      <c r="J4" s="22">
        <v>1971244</v>
      </c>
    </row>
    <row r="5" spans="1:10" ht="15.6" x14ac:dyDescent="0.3">
      <c r="A5" t="s">
        <v>98</v>
      </c>
      <c r="B5" s="21"/>
      <c r="C5" s="21"/>
      <c r="D5" s="22">
        <v>224805</v>
      </c>
      <c r="E5" s="22">
        <v>243051</v>
      </c>
      <c r="F5" s="22">
        <v>247668</v>
      </c>
      <c r="G5" s="22">
        <v>279660</v>
      </c>
      <c r="H5" s="22">
        <v>298063</v>
      </c>
      <c r="I5" s="22">
        <v>317948</v>
      </c>
      <c r="J5" s="22">
        <v>410174</v>
      </c>
    </row>
    <row r="6" spans="1:10" ht="15.6" x14ac:dyDescent="0.3">
      <c r="A6" t="s">
        <v>85</v>
      </c>
      <c r="B6" s="23">
        <f>B4-'[1]Estado de Resultados'!B10</f>
        <v>184932</v>
      </c>
      <c r="C6" s="23">
        <f>C4-'[1]Estado de Resultados'!C10</f>
        <v>187940.4599999995</v>
      </c>
      <c r="D6" s="23">
        <f>D4-'[1]Estado de Resultados'!D10</f>
        <v>207879.02999999945</v>
      </c>
      <c r="E6" s="23">
        <f>E4-'[1]Estado de Resultados'!E10</f>
        <v>263659.60000000079</v>
      </c>
      <c r="F6" s="23">
        <f>F4-'[1]Estado de Resultados'!F10</f>
        <v>277525.69999999937</v>
      </c>
      <c r="G6" s="23">
        <f>G4-'[1]Estado de Resultados'!G10</f>
        <v>389876.20999999973</v>
      </c>
      <c r="H6" s="23">
        <f>H4-'[1]Estado de Resultados'!H10</f>
        <v>428460.41000000038</v>
      </c>
      <c r="I6" s="23">
        <f>I4-'[1]Estado de Resultados'!I10</f>
        <v>270928.88729999959</v>
      </c>
      <c r="J6" s="23">
        <f>J4-'[1]Estado de Resultados'!J10</f>
        <v>464744</v>
      </c>
    </row>
    <row r="7" spans="1:10" ht="15.6" x14ac:dyDescent="0.3">
      <c r="A7" t="s">
        <v>99</v>
      </c>
      <c r="B7" s="24">
        <f>B6/'[1]Estado de Resultados'!B2</f>
        <v>2.8530906399181835E-2</v>
      </c>
      <c r="C7" s="24">
        <f>C6/'[1]Estado de Resultados'!C2</f>
        <v>2.3653944579232911E-2</v>
      </c>
      <c r="D7" s="24">
        <f>D6/'[1]Estado de Resultados'!D2</f>
        <v>2.3958471555283072E-2</v>
      </c>
      <c r="E7" s="24">
        <f>E6/'[1]Estado de Resultados'!E2</f>
        <v>3.0321023582452887E-2</v>
      </c>
      <c r="F7" s="24">
        <f>F6/'[1]Estado de Resultados'!F2</f>
        <v>3.0781239280767477E-2</v>
      </c>
      <c r="G7" s="24">
        <f>G6/'[1]Estado de Resultados'!G2</f>
        <v>3.9148713178586848E-2</v>
      </c>
      <c r="H7" s="24">
        <f>H6/'[1]Estado de Resultados'!H2</f>
        <v>3.8504498949745579E-2</v>
      </c>
      <c r="I7" s="24">
        <f>I6/'[1]Estado de Resultados'!I2</f>
        <v>2.1056749154437553E-2</v>
      </c>
      <c r="J7" s="24">
        <f>J6/'[1]Estado de Resultados'!J2</f>
        <v>2.7277193805804886E-2</v>
      </c>
    </row>
    <row r="8" spans="1:10" ht="15.6" x14ac:dyDescent="0.3">
      <c r="A8" t="s">
        <v>100</v>
      </c>
      <c r="B8" s="21"/>
      <c r="C8" s="21"/>
      <c r="D8" s="24">
        <f>D3/'[1]Estado de Resultados'!B2</f>
        <v>5.1865889990963948E-2</v>
      </c>
      <c r="E8" s="24">
        <f>E3/'[1]Estado de Resultados'!C2</f>
        <v>3.0205084458446465E-2</v>
      </c>
      <c r="F8" s="24">
        <f>F3/'[1]Estado de Resultados'!D2</f>
        <v>2.6224552693750205E-2</v>
      </c>
      <c r="G8" s="24">
        <f>G3/'[1]Estado de Resultados'!E2</f>
        <v>3.2296435630734845E-2</v>
      </c>
      <c r="H8" s="24">
        <f>H3/'[1]Estado de Resultados'!F2</f>
        <v>2.9640974841568631E-2</v>
      </c>
      <c r="I8" s="24">
        <f>I3/'[1]Estado de Resultados'!G2</f>
        <v>3.7054474642508009E-2</v>
      </c>
      <c r="J8" s="24">
        <f>J3/'[1]Estado de Resultados'!H2</f>
        <v>3.9429823739592432E-2</v>
      </c>
    </row>
    <row r="9" spans="1:10" ht="15.6" x14ac:dyDescent="0.3">
      <c r="A9" t="s">
        <v>101</v>
      </c>
      <c r="B9" s="21"/>
      <c r="C9" s="21"/>
      <c r="D9" s="24">
        <f>D5/'[1]Estado de Resultados'!C18</f>
        <v>0.52180814757446026</v>
      </c>
      <c r="E9" s="24">
        <f>E5/'[1]Estado de Resultados'!D18</f>
        <v>0.60809655527791284</v>
      </c>
      <c r="F9" s="24">
        <f>F5/'[1]Estado de Resultados'!E18</f>
        <v>0.58365399763326942</v>
      </c>
      <c r="G9" s="24">
        <f>G5/'[1]Estado de Resultados'!F18</f>
        <v>0.54969423823102737</v>
      </c>
      <c r="H9" s="24">
        <f>H5/'[1]Estado de Resultados'!G18</f>
        <v>0.5805201553143583</v>
      </c>
      <c r="I9" s="24">
        <f>I5/'[1]Estado de Resultados'!H18</f>
        <v>0.54457698536898569</v>
      </c>
      <c r="J9" s="24">
        <f>J5/'[1]Estado de Resultados'!I18</f>
        <v>0.4828876509456011</v>
      </c>
    </row>
    <row r="10" spans="1:10" ht="15.6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</row>
    <row r="11" spans="1:10" ht="15.6" x14ac:dyDescent="0.3">
      <c r="A11" s="21" t="s">
        <v>102</v>
      </c>
      <c r="B11" s="21"/>
      <c r="C11" s="21"/>
      <c r="D11" s="21"/>
      <c r="E11" s="21"/>
      <c r="F11" s="21"/>
      <c r="G11" s="21"/>
      <c r="H11" s="21"/>
      <c r="I11" s="21"/>
      <c r="J11" s="25">
        <f>0.074*(1-0.578)</f>
        <v>3.1228000000000002E-2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Estado de Resultados</vt:lpstr>
      <vt:lpstr>Estado de Situación Financiera</vt:lpstr>
      <vt:lpstr>Indicadores</vt:lpstr>
      <vt:lpstr>FCF</vt:lpstr>
      <vt:lpstr>Supuestos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Janny Valentina Corredor Mora</cp:lastModifiedBy>
  <dcterms:created xsi:type="dcterms:W3CDTF">2023-05-07T00:05:05Z</dcterms:created>
  <dcterms:modified xsi:type="dcterms:W3CDTF">2023-05-10T20:52:57Z</dcterms:modified>
</cp:coreProperties>
</file>