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implicit matlab\Implicit IBM\"/>
    </mc:Choice>
  </mc:AlternateContent>
  <bookViews>
    <workbookView xWindow="0" yWindow="0" windowWidth="28800" windowHeight="12300" firstSheet="1" activeTab="1"/>
  </bookViews>
  <sheets>
    <sheet name="Reactions" sheetId="18" r:id="rId1"/>
    <sheet name="SpecParam" sheetId="13" r:id="rId2"/>
    <sheet name="ReactionMatrix" sheetId="21" r:id="rId3"/>
    <sheet name="Influent" sheetId="29" r:id="rId4"/>
    <sheet name="States" sheetId="22" r:id="rId5"/>
    <sheet name="ThermoParam" sheetId="24" r:id="rId6"/>
    <sheet name="Bacteria" sheetId="25" r:id="rId7"/>
    <sheet name="Parameters" sheetId="26" r:id="rId8"/>
    <sheet name="Discretization" sheetId="27" r:id="rId9"/>
    <sheet name="Diffusion" sheetId="28" r:id="rId10"/>
  </sheets>
  <externalReferences>
    <externalReference r:id="rId11"/>
  </externalReferences>
  <calcPr calcId="162913"/>
</workbook>
</file>

<file path=xl/calcChain.xml><?xml version="1.0" encoding="utf-8"?>
<calcChain xmlns="http://schemas.openxmlformats.org/spreadsheetml/2006/main">
  <c r="B1" i="25" l="1"/>
  <c r="B8" i="27" l="1"/>
  <c r="B3" i="22" l="1"/>
  <c r="B1" i="28" l="1"/>
  <c r="I3" i="13" l="1"/>
  <c r="C3" i="13" l="1"/>
  <c r="B9" i="25" l="1"/>
  <c r="B1" i="22" l="1"/>
  <c r="B3" i="27" l="1"/>
  <c r="B1" i="26"/>
  <c r="B9" i="26"/>
  <c r="B7" i="26"/>
  <c r="B10" i="26" s="1"/>
  <c r="B6" i="26"/>
  <c r="B3" i="26"/>
  <c r="B8" i="25"/>
  <c r="B4" i="25"/>
  <c r="B3" i="25"/>
  <c r="B2" i="25"/>
  <c r="B7" i="22"/>
  <c r="B4" i="22"/>
  <c r="B6" i="22" s="1"/>
  <c r="B1" i="29"/>
  <c r="B4" i="29"/>
  <c r="E3" i="13"/>
  <c r="D3" i="13"/>
  <c r="I2" i="13"/>
  <c r="E2" i="13"/>
  <c r="D2" i="13"/>
  <c r="B2" i="13"/>
  <c r="G14" i="21"/>
  <c r="D14" i="21"/>
  <c r="G13" i="21"/>
  <c r="D13" i="21"/>
  <c r="G12" i="21"/>
  <c r="F12" i="21"/>
  <c r="E12" i="21"/>
  <c r="D12" i="21"/>
  <c r="C12" i="21"/>
  <c r="B12" i="21"/>
  <c r="G11" i="21"/>
  <c r="F11" i="21"/>
  <c r="E11" i="21"/>
  <c r="D11" i="21"/>
  <c r="C11" i="21"/>
  <c r="B11" i="21"/>
  <c r="F9" i="21"/>
  <c r="E9" i="21"/>
  <c r="B9" i="21"/>
  <c r="F8" i="21"/>
  <c r="E8" i="21"/>
  <c r="B8" i="21"/>
  <c r="G7" i="21"/>
  <c r="F7" i="21"/>
  <c r="E7" i="21"/>
  <c r="D7" i="21"/>
  <c r="C7" i="21"/>
  <c r="B7" i="21"/>
  <c r="G6" i="21"/>
  <c r="F6" i="21"/>
  <c r="E6" i="21"/>
  <c r="D6" i="21"/>
  <c r="C6" i="21"/>
  <c r="B6" i="21"/>
  <c r="G5" i="21"/>
  <c r="F5" i="21"/>
  <c r="E5" i="21"/>
  <c r="D5" i="21"/>
  <c r="C5" i="21"/>
  <c r="B5" i="21"/>
  <c r="F4" i="21"/>
  <c r="E4" i="21"/>
  <c r="D4" i="21"/>
  <c r="C4" i="21"/>
  <c r="B4" i="21"/>
  <c r="F3" i="21"/>
  <c r="E3" i="21"/>
  <c r="D3" i="21"/>
  <c r="C3" i="21"/>
  <c r="B3" i="21"/>
  <c r="B8" i="22" l="1"/>
  <c r="B7" i="28"/>
  <c r="B4" i="27" l="1"/>
  <c r="B7" i="27" l="1"/>
  <c r="AI12" i="18" l="1"/>
  <c r="V4" i="18" l="1"/>
  <c r="B6" i="27" l="1"/>
  <c r="B5" i="27"/>
  <c r="X37" i="18" l="1"/>
  <c r="W37" i="18"/>
  <c r="V37" i="18"/>
  <c r="X36" i="18"/>
  <c r="W36" i="18"/>
  <c r="V36" i="18"/>
  <c r="X35" i="18"/>
  <c r="W35" i="18"/>
  <c r="V35" i="18"/>
  <c r="X34" i="18"/>
  <c r="W34" i="18"/>
  <c r="V34" i="18"/>
  <c r="AH5" i="18" l="1"/>
  <c r="AI5" i="18" s="1"/>
  <c r="AH6" i="18"/>
  <c r="AH7" i="18"/>
  <c r="AI7" i="18" s="1"/>
  <c r="AH8" i="18"/>
  <c r="AH9" i="18"/>
  <c r="AH10" i="18"/>
  <c r="AI10" i="18" s="1"/>
  <c r="AH11" i="18"/>
  <c r="AI11" i="18" s="1"/>
  <c r="AH12" i="18"/>
  <c r="AH13" i="18"/>
  <c r="AH14" i="18"/>
  <c r="AH15" i="18"/>
  <c r="AH4" i="18"/>
  <c r="AG25" i="18"/>
  <c r="AG26" i="18" s="1"/>
  <c r="AF25" i="18"/>
  <c r="AF26" i="18" s="1"/>
  <c r="AG22" i="18"/>
  <c r="AF22" i="18"/>
  <c r="AG21" i="18"/>
  <c r="AF21" i="18"/>
  <c r="AG20" i="18"/>
  <c r="AF20" i="18"/>
  <c r="AG19" i="18"/>
  <c r="AF19" i="18"/>
  <c r="AG18" i="18"/>
  <c r="AF18" i="18"/>
  <c r="AG17" i="18"/>
  <c r="AF17" i="18"/>
  <c r="AG16" i="18"/>
  <c r="AF16" i="18"/>
  <c r="AI21" i="18" l="1"/>
  <c r="AI19" i="18"/>
  <c r="AI20" i="18"/>
  <c r="AI16" i="18"/>
  <c r="AI22" i="18"/>
  <c r="AI18" i="18"/>
  <c r="AI17" i="18"/>
  <c r="AH25" i="18"/>
  <c r="AH26" i="18" s="1"/>
  <c r="D7" i="18" s="1"/>
  <c r="AH17" i="18"/>
  <c r="AH19" i="18"/>
  <c r="AH21" i="18"/>
  <c r="AH16" i="18"/>
  <c r="AH18" i="18"/>
  <c r="AH20" i="18"/>
  <c r="AH22" i="18"/>
  <c r="E16" i="18" l="1"/>
  <c r="E17" i="18"/>
  <c r="E18" i="18"/>
  <c r="AA7" i="18" l="1"/>
  <c r="Z7" i="18"/>
  <c r="V7" i="18"/>
  <c r="V8" i="18"/>
  <c r="Z8" i="18"/>
  <c r="AA8" i="18"/>
  <c r="AE8" i="18" s="1"/>
  <c r="AD8" i="18"/>
  <c r="AA4" i="18"/>
  <c r="AE4" i="18" s="1"/>
  <c r="AA5" i="18"/>
  <c r="AE5" i="18" s="1"/>
  <c r="AA6" i="18"/>
  <c r="AA12" i="18"/>
  <c r="AA14" i="18"/>
  <c r="AE14" i="18" s="1"/>
  <c r="AA15" i="18"/>
  <c r="AE15" i="18" s="1"/>
  <c r="Z4" i="18"/>
  <c r="Z5" i="18"/>
  <c r="Z6" i="18"/>
  <c r="Z12" i="18"/>
  <c r="Z13" i="18"/>
  <c r="Z14" i="18"/>
  <c r="AB25" i="18"/>
  <c r="AB26" i="18" s="1"/>
  <c r="Y25" i="18"/>
  <c r="Y26" i="18" s="1"/>
  <c r="W25" i="18"/>
  <c r="W26" i="18" s="1"/>
  <c r="C5" i="18" s="1"/>
  <c r="C17" i="18" s="1"/>
  <c r="C18" i="18" s="1"/>
  <c r="U25" i="18"/>
  <c r="U26" i="18" s="1"/>
  <c r="T25" i="18"/>
  <c r="T26" i="18" s="1"/>
  <c r="S25" i="18"/>
  <c r="S26" i="18" s="1"/>
  <c r="C4" i="18" s="1"/>
  <c r="AB22" i="18"/>
  <c r="Y22" i="18"/>
  <c r="X22" i="18"/>
  <c r="W22" i="18"/>
  <c r="U22" i="18"/>
  <c r="T22" i="18"/>
  <c r="S22" i="18"/>
  <c r="AB21" i="18"/>
  <c r="Y21" i="18"/>
  <c r="W21" i="18"/>
  <c r="U21" i="18"/>
  <c r="T21" i="18"/>
  <c r="S21" i="18"/>
  <c r="AB20" i="18"/>
  <c r="Y20" i="18"/>
  <c r="W20" i="18"/>
  <c r="U20" i="18"/>
  <c r="T20" i="18"/>
  <c r="S20" i="18"/>
  <c r="AB19" i="18"/>
  <c r="Y19" i="18"/>
  <c r="W19" i="18"/>
  <c r="U19" i="18"/>
  <c r="T19" i="18"/>
  <c r="S19" i="18"/>
  <c r="AB18" i="18"/>
  <c r="Y18" i="18"/>
  <c r="X18" i="18"/>
  <c r="W18" i="18"/>
  <c r="U18" i="18"/>
  <c r="T18" i="18"/>
  <c r="S18" i="18"/>
  <c r="AB17" i="18"/>
  <c r="Y17" i="18"/>
  <c r="W17" i="18"/>
  <c r="U17" i="18"/>
  <c r="T17" i="18"/>
  <c r="S17" i="18"/>
  <c r="AB16" i="18"/>
  <c r="Y16" i="18"/>
  <c r="W16" i="18"/>
  <c r="U16" i="18"/>
  <c r="T16" i="18"/>
  <c r="S16" i="18"/>
  <c r="Z15" i="18"/>
  <c r="V15" i="18"/>
  <c r="V14" i="18"/>
  <c r="V13" i="18"/>
  <c r="V12" i="18"/>
  <c r="V6" i="18"/>
  <c r="V5" i="18"/>
  <c r="AD15" i="18"/>
  <c r="AA16" i="18"/>
  <c r="X19" i="18"/>
  <c r="X16" i="18"/>
  <c r="X20" i="18"/>
  <c r="X25" i="18"/>
  <c r="X26" i="18" s="1"/>
  <c r="X17" i="18"/>
  <c r="X21" i="18"/>
  <c r="AA19" i="18" l="1"/>
  <c r="AA18" i="18"/>
  <c r="AA21" i="18"/>
  <c r="AE25" i="18"/>
  <c r="AE26" i="18" s="1"/>
  <c r="C7" i="18" s="1"/>
  <c r="AE16" i="18"/>
  <c r="AE20" i="18"/>
  <c r="AE17" i="18"/>
  <c r="AE21" i="18"/>
  <c r="AE18" i="18"/>
  <c r="AE22" i="18"/>
  <c r="AE19" i="18"/>
  <c r="AA22" i="18"/>
  <c r="AA17" i="18"/>
  <c r="AA25" i="18"/>
  <c r="AA26" i="18" s="1"/>
  <c r="C6" i="18" s="1"/>
  <c r="AA20" i="18"/>
  <c r="AD5" i="18"/>
  <c r="AD4" i="18"/>
  <c r="AC21" i="18"/>
  <c r="AC17" i="18"/>
  <c r="V25" i="18"/>
  <c r="V26" i="18" s="1"/>
  <c r="D4" i="18" s="1"/>
  <c r="AC25" i="18"/>
  <c r="AC26" i="18" s="1"/>
  <c r="V22" i="18"/>
  <c r="V18" i="18"/>
  <c r="AC19" i="18"/>
  <c r="AD13" i="18"/>
  <c r="AD6" i="18"/>
  <c r="AD14" i="18"/>
  <c r="AD7" i="18"/>
  <c r="V20" i="18"/>
  <c r="V21" i="18"/>
  <c r="V19" i="18"/>
  <c r="V16" i="18"/>
  <c r="V17" i="18"/>
  <c r="AC16" i="18"/>
  <c r="AD12" i="18"/>
  <c r="AC18" i="18"/>
  <c r="AC20" i="18"/>
  <c r="AC22" i="18"/>
  <c r="Z16" i="18"/>
  <c r="Z18" i="18"/>
  <c r="Z25" i="18"/>
  <c r="Z26" i="18" s="1"/>
  <c r="D5" i="18" s="1"/>
  <c r="Z20" i="18"/>
  <c r="Z22" i="18"/>
  <c r="Z21" i="18"/>
  <c r="Z17" i="18"/>
  <c r="Z19" i="18"/>
  <c r="F7" i="18" l="1"/>
  <c r="G7" i="18" s="1"/>
  <c r="F4" i="18"/>
  <c r="G4" i="18" s="1"/>
  <c r="D16" i="18"/>
  <c r="F16" i="18" s="1"/>
  <c r="G16" i="18" s="1"/>
  <c r="F5" i="18"/>
  <c r="G5" i="18" s="1"/>
  <c r="D17" i="18"/>
  <c r="F17" i="18" s="1"/>
  <c r="G17" i="18" s="1"/>
  <c r="AD21" i="18"/>
  <c r="AD25" i="18"/>
  <c r="AD26" i="18" s="1"/>
  <c r="D6" i="18" s="1"/>
  <c r="AD19" i="18"/>
  <c r="AD22" i="18"/>
  <c r="AD18" i="18"/>
  <c r="AD17" i="18"/>
  <c r="AD20" i="18"/>
  <c r="AD16" i="18"/>
  <c r="D18" i="18" l="1"/>
  <c r="F18" i="18" s="1"/>
  <c r="G18" i="18" s="1"/>
  <c r="F6" i="18"/>
  <c r="G6" i="18" s="1"/>
</calcChain>
</file>

<file path=xl/comments1.xml><?xml version="1.0" encoding="utf-8"?>
<comments xmlns="http://schemas.openxmlformats.org/spreadsheetml/2006/main">
  <authors>
    <author>R.Gonzalez-Cabaleiro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R.Gonzalez-Cabaleiro:</t>
        </r>
        <r>
          <rPr>
            <sz val="9"/>
            <color indexed="81"/>
            <rFont val="Tahoma"/>
            <charset val="1"/>
          </rPr>
          <t xml:space="preserve">
Si es dirichlet == states</t>
        </r>
      </text>
    </comment>
  </commentList>
</comments>
</file>

<file path=xl/sharedStrings.xml><?xml version="1.0" encoding="utf-8"?>
<sst xmlns="http://schemas.openxmlformats.org/spreadsheetml/2006/main" count="372" uniqueCount="142">
  <si>
    <t>P</t>
  </si>
  <si>
    <t>T</t>
  </si>
  <si>
    <t>K</t>
  </si>
  <si>
    <t>S</t>
  </si>
  <si>
    <t>Cat</t>
  </si>
  <si>
    <t>Anab</t>
  </si>
  <si>
    <t>kJ/molK</t>
  </si>
  <si>
    <t>gO2</t>
  </si>
  <si>
    <t>H2O</t>
  </si>
  <si>
    <t>H</t>
  </si>
  <si>
    <t>g</t>
  </si>
  <si>
    <t>Decay</t>
  </si>
  <si>
    <t>O2</t>
  </si>
  <si>
    <t>Yield</t>
  </si>
  <si>
    <t>Maintenance</t>
  </si>
  <si>
    <t>NH3</t>
  </si>
  <si>
    <t>CO2</t>
  </si>
  <si>
    <t>gCO2</t>
  </si>
  <si>
    <t>AOB/AOA</t>
  </si>
  <si>
    <t>NOBs</t>
  </si>
  <si>
    <t>Name</t>
  </si>
  <si>
    <t>Constant</t>
  </si>
  <si>
    <t>Value</t>
  </si>
  <si>
    <t>Units</t>
  </si>
  <si>
    <t>Functional Group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</si>
  <si>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>cat</t>
    </r>
    <r>
      <rPr>
        <sz val="12"/>
        <color theme="1"/>
        <rFont val="Arial"/>
        <family val="2"/>
      </rPr>
      <t xml:space="preserve"> (kJ/moleDonor)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</si>
  <si>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01</t>
    </r>
    <r>
      <rPr>
        <vertAlign val="subscript"/>
        <sz val="12"/>
        <color theme="1"/>
        <rFont val="Arial"/>
        <family val="2"/>
      </rPr>
      <t xml:space="preserve">ana </t>
    </r>
    <r>
      <rPr>
        <sz val="12"/>
        <color theme="1"/>
        <rFont val="Arial"/>
        <family val="2"/>
      </rPr>
      <t>(kJ/molX)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</si>
  <si>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bscript"/>
        <sz val="12"/>
        <color theme="1"/>
        <rFont val="Arial"/>
        <family val="2"/>
      </rPr>
      <t>dis</t>
    </r>
    <r>
      <rPr>
        <sz val="12"/>
        <color theme="1"/>
        <rFont val="Arial"/>
        <family val="2"/>
      </rPr>
      <t xml:space="preserve"> (kJ/molX)</t>
    </r>
  </si>
  <si>
    <t>l</t>
  </si>
  <si>
    <t>Component</t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</si>
  <si>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Arial"/>
        <family val="2"/>
      </rPr>
      <t>G</t>
    </r>
    <r>
      <rPr>
        <vertAlign val="superscript"/>
        <sz val="12"/>
        <color theme="1"/>
        <rFont val="Arial"/>
        <family val="2"/>
      </rPr>
      <t>0</t>
    </r>
    <r>
      <rPr>
        <vertAlign val="subscript"/>
        <sz val="12"/>
        <color theme="1"/>
        <rFont val="Arial"/>
        <family val="2"/>
      </rPr>
      <t>formation</t>
    </r>
  </si>
  <si>
    <t>C</t>
  </si>
  <si>
    <t>O</t>
  </si>
  <si>
    <t>N</t>
  </si>
  <si>
    <t>Charge</t>
  </si>
  <si>
    <t>Catabolism</t>
  </si>
  <si>
    <t>Anabolism*</t>
  </si>
  <si>
    <t>Anabolism eD</t>
  </si>
  <si>
    <t>Anabolism</t>
  </si>
  <si>
    <t>Faraday</t>
  </si>
  <si>
    <t>F</t>
  </si>
  <si>
    <t>kC/mole</t>
  </si>
  <si>
    <t>Gases Cte.</t>
  </si>
  <si>
    <t>R</t>
  </si>
  <si>
    <t>Temperature</t>
  </si>
  <si>
    <t>AOBs/AOAs</t>
  </si>
  <si>
    <t>NO2-</t>
  </si>
  <si>
    <t>NO3-</t>
  </si>
  <si>
    <t>HCO3-</t>
  </si>
  <si>
    <t>H+</t>
  </si>
  <si>
    <t>e-</t>
  </si>
  <si>
    <t>Biomass</t>
  </si>
  <si>
    <t>Alberty RA. Thermodynamics of Biochemical Reactions 2003 // Thauer 1977 Energy conservation in chemotrophic anaerobic bact</t>
  </si>
  <si>
    <t>Kleerebezem &amp; van Loosdrecht 2010 Critical Review</t>
  </si>
  <si>
    <t>C-bal</t>
  </si>
  <si>
    <t>H-bal</t>
  </si>
  <si>
    <t>O-bal</t>
  </si>
  <si>
    <t>N-bal</t>
  </si>
  <si>
    <t>P-bal</t>
  </si>
  <si>
    <t>S-bal</t>
  </si>
  <si>
    <t>Autotrophs</t>
  </si>
  <si>
    <t>kJ/mol eDonor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</si>
  <si>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>0</t>
    </r>
  </si>
  <si>
    <t>pH 7 correction</t>
  </si>
  <si>
    <r>
      <rPr>
        <sz val="12"/>
        <color rgb="FFFF0000"/>
        <rFont val="Symbol"/>
        <family val="1"/>
        <charset val="2"/>
      </rPr>
      <t>D</t>
    </r>
    <r>
      <rPr>
        <sz val="12"/>
        <color rgb="FFFF0000"/>
        <rFont val="Arial"/>
        <family val="2"/>
      </rPr>
      <t>G</t>
    </r>
    <r>
      <rPr>
        <vertAlign val="superscript"/>
        <sz val="12"/>
        <color rgb="FFFF0000"/>
        <rFont val="Arial"/>
        <family val="2"/>
      </rPr>
      <t xml:space="preserve">01 </t>
    </r>
  </si>
  <si>
    <t>Commamox</t>
  </si>
  <si>
    <t>eD</t>
  </si>
  <si>
    <t>gN2</t>
  </si>
  <si>
    <t>Comamox</t>
  </si>
  <si>
    <r>
      <t>H</t>
    </r>
    <r>
      <rPr>
        <b/>
        <vertAlign val="superscript"/>
        <sz val="14"/>
        <color theme="1"/>
        <rFont val="Calibri"/>
        <family val="2"/>
        <scheme val="minor"/>
      </rPr>
      <t>+</t>
    </r>
    <r>
      <rPr>
        <b/>
        <sz val="14"/>
        <color theme="1"/>
        <rFont val="Calibri"/>
        <family val="2"/>
        <scheme val="minor"/>
      </rPr>
      <t>pump</t>
    </r>
  </si>
  <si>
    <t>Anammox</t>
  </si>
  <si>
    <t>Comammox</t>
  </si>
  <si>
    <t>DGdis</t>
  </si>
  <si>
    <t>muAOB</t>
  </si>
  <si>
    <t>muNOB</t>
  </si>
  <si>
    <t>bAOB</t>
  </si>
  <si>
    <t>bNOB</t>
  </si>
  <si>
    <t>mol/L</t>
  </si>
  <si>
    <t>L</t>
  </si>
  <si>
    <t>bar</t>
  </si>
  <si>
    <t>G</t>
  </si>
  <si>
    <t>FORMS</t>
  </si>
  <si>
    <t>Inf</t>
  </si>
  <si>
    <t>NA</t>
  </si>
  <si>
    <t>bac_mmax</t>
  </si>
  <si>
    <t>bac_mmin</t>
  </si>
  <si>
    <t>bac_rmax</t>
  </si>
  <si>
    <t>m</t>
  </si>
  <si>
    <t>bac_rho</t>
  </si>
  <si>
    <t>g/m3</t>
  </si>
  <si>
    <t>bac_MW</t>
  </si>
  <si>
    <t>g/mol</t>
  </si>
  <si>
    <t>bac_nmax</t>
  </si>
  <si>
    <t>-</t>
  </si>
  <si>
    <t>k</t>
  </si>
  <si>
    <t>s_dist</t>
  </si>
  <si>
    <t>overlap</t>
  </si>
  <si>
    <t>Rth</t>
  </si>
  <si>
    <t>Rg</t>
  </si>
  <si>
    <t>atm·L/mol·K</t>
  </si>
  <si>
    <t>Vgas</t>
  </si>
  <si>
    <t>m3</t>
  </si>
  <si>
    <t>Vr</t>
  </si>
  <si>
    <t>pH</t>
  </si>
  <si>
    <t>HRT</t>
  </si>
  <si>
    <t>h</t>
  </si>
  <si>
    <t>Qliq</t>
  </si>
  <si>
    <t>L/h</t>
  </si>
  <si>
    <t>nx</t>
  </si>
  <si>
    <t>ny</t>
  </si>
  <si>
    <t>maxx</t>
  </si>
  <si>
    <t>maxy</t>
  </si>
  <si>
    <t>dx</t>
  </si>
  <si>
    <t>dy</t>
  </si>
  <si>
    <t>dz</t>
  </si>
  <si>
    <t>T_blayer</t>
  </si>
  <si>
    <t>maxT</t>
  </si>
  <si>
    <t>dT</t>
  </si>
  <si>
    <t>dT_bac</t>
  </si>
  <si>
    <t>dT_Print</t>
  </si>
  <si>
    <t>Diff_NH3</t>
  </si>
  <si>
    <t>m2/h</t>
  </si>
  <si>
    <t>Diff_CO2</t>
  </si>
  <si>
    <t>kLa_CO2</t>
  </si>
  <si>
    <t>DECAY</t>
  </si>
  <si>
    <t>Tol</t>
  </si>
  <si>
    <r>
      <t>h</t>
    </r>
    <r>
      <rPr>
        <i/>
        <vertAlign val="superscript"/>
        <sz val="10"/>
        <color theme="0" tint="-0.34998626667073579"/>
        <rFont val="Arial"/>
        <family val="2"/>
      </rPr>
      <t>-1</t>
    </r>
  </si>
  <si>
    <t>AOB</t>
  </si>
  <si>
    <t>NOB</t>
  </si>
  <si>
    <t>NO2</t>
  </si>
  <si>
    <t>NO3</t>
  </si>
  <si>
    <t>Ks_NH3</t>
  </si>
  <si>
    <t>Ks_NO2</t>
  </si>
  <si>
    <t>Ks_O2</t>
  </si>
  <si>
    <t>mu_max</t>
  </si>
  <si>
    <t>K_decay</t>
  </si>
  <si>
    <t>D</t>
  </si>
  <si>
    <t>Pollutant</t>
  </si>
  <si>
    <t>Diff_NO2</t>
  </si>
  <si>
    <t>Diff_NO3</t>
  </si>
  <si>
    <t>Diff_O2</t>
  </si>
  <si>
    <t>kLa_O2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</si>
</sst>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[$€]* #,##0.00_-;\-[$€]* #,##0.00_-;_-[$€]* &quot;-&quot;??_-;_-@_-"/>
    <numFmt numFmtId="165" formatCode="_-* #,##0\ &quot;pta&quot;_-;\-* #,##0\ &quot;pta&quot;_-;_-* &quot;-&quot;\ &quot;pta&quot;_-;_-@_-"/>
    <numFmt numFmtId="166" formatCode="_-* #,##0\ _p_t_a_-;\-* #,##0\ _p_t_a_-;_-* &quot;-&quot;\ _p_t_a_-;_-@_-"/>
    <numFmt numFmtId="167" formatCode="_-* #,##0.00\ &quot;pta&quot;_-;\-* #,##0.00\ &quot;pta&quot;_-;_-* &quot;-&quot;??\ &quot;pta&quot;_-;_-@_-"/>
    <numFmt numFmtId="168" formatCode="_-* #,##0.00\ _p_t_a_-;\-* #,##0.00\ _p_t_a_-;_-* &quot;-&quot;??\ _p_t_a_-;_-@_-"/>
    <numFmt numFmtId="169" formatCode="0.000"/>
    <numFmt numFmtId="170" formatCode="0.0"/>
    <numFmt numFmtId="171" formatCode="0.0000E+00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vertAlign val="superscript"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sz val="11"/>
      <color theme="1"/>
      <name val="Arial"/>
      <family val="2"/>
    </font>
    <font>
      <sz val="12"/>
      <name val="Arial"/>
      <family val="2"/>
    </font>
    <font>
      <b/>
      <sz val="11"/>
      <color rgb="FF002060"/>
      <name val="Arial"/>
      <family val="2"/>
    </font>
    <font>
      <sz val="11"/>
      <color theme="1"/>
      <name val="Symbol"/>
      <family val="1"/>
      <charset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sz val="12"/>
      <color rgb="FFFF0000"/>
      <name val="Calibri"/>
      <family val="2"/>
    </font>
    <font>
      <sz val="12"/>
      <color rgb="FFFF0000"/>
      <name val="Symbol"/>
      <family val="1"/>
      <charset val="2"/>
    </font>
    <font>
      <sz val="12"/>
      <color rgb="FFFF0000"/>
      <name val="Arial"/>
      <family val="2"/>
    </font>
    <font>
      <vertAlign val="superscript"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i/>
      <sz val="10"/>
      <color theme="0" tint="-0.34998626667073579"/>
      <name val="Arial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theme="0" tint="-0.499984740745262"/>
      <name val="Arial"/>
      <family val="2"/>
    </font>
    <font>
      <b/>
      <i/>
      <sz val="10"/>
      <name val="Calibri"/>
      <family val="2"/>
      <scheme val="minor"/>
    </font>
    <font>
      <i/>
      <vertAlign val="superscript"/>
      <sz val="10"/>
      <color theme="0" tint="-0.34998626667073579"/>
      <name val="Arial"/>
      <family val="2"/>
    </font>
    <font>
      <sz val="10"/>
      <name val="Arial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B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1" fillId="0" borderId="0"/>
  </cellStyleXfs>
  <cellXfs count="265">
    <xf numFmtId="0" fontId="0" fillId="0" borderId="0" xfId="0"/>
    <xf numFmtId="0" fontId="1" fillId="0" borderId="0" xfId="7"/>
    <xf numFmtId="169" fontId="1" fillId="0" borderId="0" xfId="7" applyNumberFormat="1"/>
    <xf numFmtId="0" fontId="5" fillId="4" borderId="13" xfId="7" applyFont="1" applyFill="1" applyBorder="1" applyAlignment="1">
      <alignment horizontal="left" vertical="center"/>
    </xf>
    <xf numFmtId="0" fontId="4" fillId="4" borderId="19" xfId="7" applyFont="1" applyFill="1" applyBorder="1" applyAlignment="1">
      <alignment horizontal="center" vertical="center"/>
    </xf>
    <xf numFmtId="0" fontId="5" fillId="4" borderId="9" xfId="7" applyFont="1" applyFill="1" applyBorder="1" applyAlignment="1">
      <alignment horizontal="center" vertical="center"/>
    </xf>
    <xf numFmtId="0" fontId="6" fillId="4" borderId="13" xfId="7" applyFont="1" applyFill="1" applyBorder="1" applyAlignment="1">
      <alignment horizontal="center"/>
    </xf>
    <xf numFmtId="0" fontId="7" fillId="3" borderId="19" xfId="7" applyFont="1" applyFill="1" applyBorder="1" applyAlignment="1">
      <alignment horizontal="center"/>
    </xf>
    <xf numFmtId="0" fontId="8" fillId="3" borderId="19" xfId="7" applyFont="1" applyFill="1" applyBorder="1" applyAlignment="1">
      <alignment horizontal="center"/>
    </xf>
    <xf numFmtId="169" fontId="6" fillId="3" borderId="9" xfId="7" applyNumberFormat="1" applyFont="1" applyFill="1" applyBorder="1" applyAlignment="1">
      <alignment horizontal="center"/>
    </xf>
    <xf numFmtId="0" fontId="7" fillId="3" borderId="13" xfId="7" applyFont="1" applyFill="1" applyBorder="1" applyAlignment="1">
      <alignment horizontal="center" vertical="center"/>
    </xf>
    <xf numFmtId="0" fontId="7" fillId="3" borderId="13" xfId="7" applyFont="1" applyFill="1" applyBorder="1" applyAlignment="1">
      <alignment horizontal="center"/>
    </xf>
    <xf numFmtId="0" fontId="8" fillId="5" borderId="13" xfId="7" applyFont="1" applyFill="1" applyBorder="1" applyAlignment="1">
      <alignment horizontal="center"/>
    </xf>
    <xf numFmtId="0" fontId="7" fillId="4" borderId="13" xfId="7" applyFont="1" applyFill="1" applyBorder="1" applyAlignment="1">
      <alignment horizontal="center"/>
    </xf>
    <xf numFmtId="0" fontId="3" fillId="4" borderId="13" xfId="7" applyFont="1" applyFill="1" applyBorder="1" applyAlignment="1">
      <alignment horizontal="center"/>
    </xf>
    <xf numFmtId="0" fontId="7" fillId="6" borderId="13" xfId="7" applyFont="1" applyFill="1" applyBorder="1" applyAlignment="1">
      <alignment horizontal="center" vertical="center"/>
    </xf>
    <xf numFmtId="0" fontId="7" fillId="7" borderId="13" xfId="7" applyFont="1" applyFill="1" applyBorder="1" applyAlignment="1">
      <alignment horizontal="center" vertical="center"/>
    </xf>
    <xf numFmtId="0" fontId="7" fillId="8" borderId="13" xfId="7" applyFont="1" applyFill="1" applyBorder="1" applyAlignment="1">
      <alignment horizontal="center" vertical="center"/>
    </xf>
    <xf numFmtId="0" fontId="11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0" fontId="7" fillId="0" borderId="13" xfId="7" applyFont="1" applyBorder="1" applyAlignment="1">
      <alignment horizontal="center"/>
    </xf>
    <xf numFmtId="2" fontId="4" fillId="0" borderId="19" xfId="7" applyNumberFormat="1" applyFont="1" applyBorder="1" applyAlignment="1">
      <alignment horizontal="center" vertical="center"/>
    </xf>
    <xf numFmtId="2" fontId="4" fillId="0" borderId="19" xfId="7" applyNumberFormat="1" applyFont="1" applyBorder="1" applyAlignment="1">
      <alignment horizontal="center"/>
    </xf>
    <xf numFmtId="169" fontId="5" fillId="0" borderId="9" xfId="7" applyNumberFormat="1" applyFont="1" applyBorder="1" applyAlignment="1">
      <alignment horizontal="center" vertical="center"/>
    </xf>
    <xf numFmtId="0" fontId="12" fillId="0" borderId="1" xfId="7" applyFont="1" applyBorder="1" applyAlignment="1" applyProtection="1">
      <alignment horizontal="center"/>
    </xf>
    <xf numFmtId="0" fontId="12" fillId="0" borderId="0" xfId="7" applyFont="1" applyBorder="1" applyAlignment="1" applyProtection="1">
      <alignment horizontal="center"/>
    </xf>
    <xf numFmtId="0" fontId="13" fillId="0" borderId="3" xfId="7" applyFont="1" applyBorder="1"/>
    <xf numFmtId="0" fontId="4" fillId="0" borderId="0" xfId="7" applyFont="1" applyBorder="1"/>
    <xf numFmtId="0" fontId="13" fillId="0" borderId="1" xfId="7" applyFont="1" applyBorder="1"/>
    <xf numFmtId="0" fontId="12" fillId="0" borderId="2" xfId="7" applyFont="1" applyBorder="1" applyAlignment="1" applyProtection="1">
      <alignment horizontal="center"/>
    </xf>
    <xf numFmtId="0" fontId="11" fillId="0" borderId="0" xfId="7" applyFont="1"/>
    <xf numFmtId="0" fontId="4" fillId="0" borderId="0" xfId="7" applyFont="1" applyFill="1" applyBorder="1" applyAlignment="1">
      <alignment horizontal="center" vertical="center"/>
    </xf>
    <xf numFmtId="0" fontId="4" fillId="0" borderId="0" xfId="7" applyFont="1" applyAlignment="1">
      <alignment horizontal="center"/>
    </xf>
    <xf numFmtId="0" fontId="4" fillId="0" borderId="0" xfId="7" applyFont="1"/>
    <xf numFmtId="0" fontId="4" fillId="0" borderId="2" xfId="7" applyFont="1" applyBorder="1" applyAlignment="1">
      <alignment horizontal="center"/>
    </xf>
    <xf numFmtId="0" fontId="4" fillId="0" borderId="1" xfId="7" applyFont="1" applyBorder="1" applyAlignment="1">
      <alignment horizontal="center"/>
    </xf>
    <xf numFmtId="0" fontId="4" fillId="0" borderId="0" xfId="7" applyFont="1" applyBorder="1" applyAlignment="1">
      <alignment horizontal="center"/>
    </xf>
    <xf numFmtId="0" fontId="12" fillId="0" borderId="2" xfId="7" applyFont="1" applyFill="1" applyBorder="1" applyAlignment="1" applyProtection="1">
      <alignment horizontal="center"/>
    </xf>
    <xf numFmtId="2" fontId="1" fillId="0" borderId="0" xfId="7" applyNumberFormat="1"/>
    <xf numFmtId="0" fontId="7" fillId="0" borderId="2" xfId="7" applyFont="1" applyBorder="1" applyAlignment="1" applyProtection="1">
      <alignment horizontal="center"/>
    </xf>
    <xf numFmtId="0" fontId="14" fillId="0" borderId="0" xfId="7" applyFont="1" applyFill="1" applyBorder="1" applyAlignment="1">
      <alignment horizontal="center" vertical="center"/>
    </xf>
    <xf numFmtId="0" fontId="12" fillId="0" borderId="6" xfId="7" applyFont="1" applyFill="1" applyBorder="1" applyAlignment="1" applyProtection="1">
      <alignment horizontal="center"/>
    </xf>
    <xf numFmtId="0" fontId="12" fillId="0" borderId="5" xfId="7" applyFont="1" applyFill="1" applyBorder="1" applyAlignment="1" applyProtection="1">
      <alignment horizontal="center"/>
    </xf>
    <xf numFmtId="170" fontId="12" fillId="0" borderId="4" xfId="7" applyNumberFormat="1" applyFont="1" applyFill="1" applyBorder="1" applyAlignment="1" applyProtection="1">
      <alignment horizontal="center"/>
    </xf>
    <xf numFmtId="0" fontId="13" fillId="0" borderId="20" xfId="7" applyFont="1" applyBorder="1"/>
    <xf numFmtId="0" fontId="4" fillId="0" borderId="18" xfId="7" applyFont="1" applyBorder="1"/>
    <xf numFmtId="0" fontId="13" fillId="0" borderId="21" xfId="7" applyFont="1" applyBorder="1"/>
    <xf numFmtId="0" fontId="16" fillId="0" borderId="14" xfId="7" applyFont="1" applyBorder="1" applyAlignment="1">
      <alignment horizontal="center" vertical="center"/>
    </xf>
    <xf numFmtId="0" fontId="4" fillId="0" borderId="3" xfId="7" applyFont="1" applyBorder="1"/>
    <xf numFmtId="0" fontId="4" fillId="0" borderId="22" xfId="7" applyFont="1" applyBorder="1"/>
    <xf numFmtId="0" fontId="16" fillId="0" borderId="2" xfId="7" applyFont="1" applyBorder="1" applyAlignment="1">
      <alignment horizontal="center" vertical="center"/>
    </xf>
    <xf numFmtId="0" fontId="4" fillId="0" borderId="2" xfId="7" applyFont="1" applyBorder="1"/>
    <xf numFmtId="0" fontId="16" fillId="0" borderId="6" xfId="7" applyFont="1" applyBorder="1" applyAlignment="1">
      <alignment horizontal="center" vertical="center"/>
    </xf>
    <xf numFmtId="0" fontId="4" fillId="0" borderId="7" xfId="7" applyFont="1" applyBorder="1"/>
    <xf numFmtId="0" fontId="4" fillId="0" borderId="6" xfId="7" applyFont="1" applyBorder="1"/>
    <xf numFmtId="0" fontId="5" fillId="0" borderId="13" xfId="7" applyFont="1" applyBorder="1" applyAlignment="1">
      <alignment horizontal="center" vertical="center"/>
    </xf>
    <xf numFmtId="0" fontId="17" fillId="0" borderId="14" xfId="7" applyFont="1" applyBorder="1" applyAlignment="1">
      <alignment horizontal="center" vertical="center"/>
    </xf>
    <xf numFmtId="169" fontId="4" fillId="0" borderId="11" xfId="7" applyNumberFormat="1" applyFont="1" applyBorder="1"/>
    <xf numFmtId="169" fontId="4" fillId="0" borderId="12" xfId="7" applyNumberFormat="1" applyFont="1" applyBorder="1"/>
    <xf numFmtId="0" fontId="17" fillId="0" borderId="6" xfId="7" applyFont="1" applyBorder="1" applyAlignment="1">
      <alignment horizontal="center" vertical="center"/>
    </xf>
    <xf numFmtId="169" fontId="4" fillId="0" borderId="4" xfId="7" applyNumberFormat="1" applyFont="1" applyBorder="1"/>
    <xf numFmtId="169" fontId="4" fillId="0" borderId="5" xfId="7" applyNumberFormat="1" applyFont="1" applyBorder="1"/>
    <xf numFmtId="0" fontId="1" fillId="0" borderId="0" xfId="7" applyFill="1" applyBorder="1"/>
    <xf numFmtId="169" fontId="1" fillId="0" borderId="0" xfId="7" applyNumberFormat="1" applyFill="1" applyBorder="1"/>
    <xf numFmtId="0" fontId="7" fillId="0" borderId="0" xfId="7" applyFont="1" applyFill="1" applyBorder="1" applyAlignment="1">
      <alignment horizontal="center"/>
    </xf>
    <xf numFmtId="169" fontId="4" fillId="0" borderId="0" xfId="7" applyNumberFormat="1" applyFont="1" applyFill="1" applyBorder="1" applyAlignment="1">
      <alignment horizontal="center" vertical="center"/>
    </xf>
    <xf numFmtId="0" fontId="21" fillId="0" borderId="9" xfId="7" applyFont="1" applyBorder="1"/>
    <xf numFmtId="0" fontId="21" fillId="0" borderId="13" xfId="7" applyFont="1" applyBorder="1"/>
    <xf numFmtId="0" fontId="23" fillId="0" borderId="0" xfId="0" applyFont="1"/>
    <xf numFmtId="0" fontId="25" fillId="0" borderId="0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7" fillId="0" borderId="0" xfId="0" applyFont="1"/>
    <xf numFmtId="0" fontId="25" fillId="2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8" fillId="0" borderId="0" xfId="0" applyFont="1" applyFill="1" applyBorder="1"/>
    <xf numFmtId="0" fontId="23" fillId="0" borderId="0" xfId="0" applyFont="1" applyFill="1" applyBorder="1"/>
    <xf numFmtId="0" fontId="29" fillId="0" borderId="0" xfId="0" applyFont="1"/>
    <xf numFmtId="0" fontId="30" fillId="2" borderId="14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2" fontId="29" fillId="0" borderId="0" xfId="0" applyNumberFormat="1" applyFont="1"/>
    <xf numFmtId="11" fontId="29" fillId="0" borderId="0" xfId="0" applyNumberFormat="1" applyFont="1"/>
    <xf numFmtId="0" fontId="31" fillId="0" borderId="0" xfId="0" applyFont="1"/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11" fontId="23" fillId="0" borderId="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1" fontId="23" fillId="0" borderId="0" xfId="0" applyNumberFormat="1" applyFont="1"/>
    <xf numFmtId="0" fontId="32" fillId="0" borderId="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" fillId="0" borderId="0" xfId="0" applyFont="1"/>
    <xf numFmtId="0" fontId="28" fillId="0" borderId="0" xfId="0" applyFont="1"/>
    <xf numFmtId="0" fontId="25" fillId="9" borderId="26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33" fillId="9" borderId="28" xfId="0" applyFont="1" applyFill="1" applyBorder="1" applyAlignment="1">
      <alignment horizontal="center" vertical="center"/>
    </xf>
    <xf numFmtId="0" fontId="33" fillId="9" borderId="27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9" xfId="0" applyFont="1" applyFill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2" fontId="33" fillId="0" borderId="2" xfId="6" applyNumberFormat="1" applyFont="1" applyFill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0" fontId="33" fillId="2" borderId="15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7" fillId="2" borderId="6" xfId="6" applyFont="1" applyFill="1" applyBorder="1" applyAlignment="1">
      <alignment horizontal="center"/>
    </xf>
    <xf numFmtId="0" fontId="30" fillId="0" borderId="6" xfId="0" applyFont="1" applyBorder="1" applyAlignment="1">
      <alignment horizontal="center" vertical="center"/>
    </xf>
    <xf numFmtId="11" fontId="23" fillId="0" borderId="0" xfId="0" applyNumberFormat="1" applyFont="1" applyBorder="1" applyAlignment="1">
      <alignment horizontal="center" vertical="center"/>
    </xf>
    <xf numFmtId="0" fontId="23" fillId="0" borderId="0" xfId="0" applyNumberFormat="1" applyFont="1"/>
    <xf numFmtId="0" fontId="25" fillId="10" borderId="1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25" fillId="10" borderId="6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25" fillId="10" borderId="39" xfId="0" applyFont="1" applyFill="1" applyBorder="1" applyAlignment="1">
      <alignment horizontal="center" vertical="center"/>
    </xf>
    <xf numFmtId="11" fontId="23" fillId="0" borderId="23" xfId="0" applyNumberFormat="1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25" fillId="10" borderId="40" xfId="0" applyFont="1" applyFill="1" applyBorder="1" applyAlignment="1">
      <alignment horizontal="center" vertical="center"/>
    </xf>
    <xf numFmtId="11" fontId="23" fillId="0" borderId="24" xfId="0" applyNumberFormat="1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5" fillId="10" borderId="41" xfId="0" applyFont="1" applyFill="1" applyBorder="1" applyAlignment="1">
      <alignment horizontal="center" vertical="center"/>
    </xf>
    <xf numFmtId="0" fontId="23" fillId="0" borderId="0" xfId="0" applyFont="1" applyFill="1"/>
    <xf numFmtId="0" fontId="25" fillId="2" borderId="29" xfId="0" applyFont="1" applyFill="1" applyBorder="1" applyAlignment="1">
      <alignment horizontal="center" vertical="center"/>
    </xf>
    <xf numFmtId="11" fontId="23" fillId="0" borderId="22" xfId="0" applyNumberFormat="1" applyFont="1" applyBorder="1" applyAlignment="1">
      <alignment horizontal="center" vertical="center"/>
    </xf>
    <xf numFmtId="0" fontId="32" fillId="0" borderId="30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34" xfId="0" applyBorder="1"/>
    <xf numFmtId="0" fontId="0" fillId="0" borderId="4" xfId="0" applyBorder="1"/>
    <xf numFmtId="0" fontId="0" fillId="0" borderId="36" xfId="0" applyBorder="1"/>
    <xf numFmtId="0" fontId="0" fillId="0" borderId="29" xfId="0" applyBorder="1"/>
    <xf numFmtId="0" fontId="0" fillId="0" borderId="33" xfId="0" applyBorder="1"/>
    <xf numFmtId="0" fontId="0" fillId="0" borderId="35" xfId="0" applyBorder="1"/>
    <xf numFmtId="0" fontId="0" fillId="0" borderId="37" xfId="0" applyBorder="1"/>
    <xf numFmtId="0" fontId="7" fillId="9" borderId="13" xfId="7" applyFont="1" applyFill="1" applyBorder="1" applyAlignment="1">
      <alignment horizontal="center" vertical="center"/>
    </xf>
    <xf numFmtId="0" fontId="13" fillId="0" borderId="0" xfId="7" applyFont="1" applyBorder="1"/>
    <xf numFmtId="0" fontId="7" fillId="0" borderId="0" xfId="7" applyFont="1" applyFill="1" applyBorder="1" applyAlignment="1">
      <alignment horizontal="center" vertical="center"/>
    </xf>
    <xf numFmtId="2" fontId="23" fillId="0" borderId="0" xfId="0" applyNumberFormat="1" applyFont="1"/>
    <xf numFmtId="11" fontId="29" fillId="0" borderId="0" xfId="0" applyNumberFormat="1" applyFont="1" applyAlignment="1">
      <alignment horizontal="center" vertical="center"/>
    </xf>
    <xf numFmtId="11" fontId="0" fillId="0" borderId="24" xfId="0" applyNumberFormat="1" applyFont="1" applyBorder="1" applyAlignment="1">
      <alignment horizontal="center" vertical="center"/>
    </xf>
    <xf numFmtId="11" fontId="23" fillId="0" borderId="42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14" xfId="0" applyNumberFormat="1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0" fontId="25" fillId="0" borderId="0" xfId="0" applyFont="1"/>
    <xf numFmtId="0" fontId="39" fillId="0" borderId="0" xfId="0" applyFont="1"/>
    <xf numFmtId="0" fontId="25" fillId="0" borderId="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1" fontId="39" fillId="0" borderId="13" xfId="0" applyNumberFormat="1" applyFont="1" applyFill="1" applyBorder="1" applyAlignment="1">
      <alignment horizontal="center" vertical="center"/>
    </xf>
    <xf numFmtId="169" fontId="0" fillId="0" borderId="13" xfId="0" applyNumberFormat="1" applyFont="1" applyFill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11" fontId="39" fillId="0" borderId="14" xfId="0" applyNumberFormat="1" applyFont="1" applyBorder="1" applyAlignment="1">
      <alignment horizontal="center" vertical="center"/>
    </xf>
    <xf numFmtId="11" fontId="39" fillId="0" borderId="2" xfId="0" applyNumberFormat="1" applyFont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11" fontId="39" fillId="0" borderId="6" xfId="0" applyNumberFormat="1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2" fontId="33" fillId="0" borderId="22" xfId="6" applyNumberFormat="1" applyFont="1" applyFill="1" applyBorder="1" applyAlignment="1">
      <alignment horizontal="center" vertical="center"/>
    </xf>
    <xf numFmtId="2" fontId="33" fillId="0" borderId="30" xfId="6" applyNumberFormat="1" applyFont="1" applyFill="1" applyBorder="1" applyAlignment="1">
      <alignment horizontal="center" vertical="center"/>
    </xf>
    <xf numFmtId="0" fontId="35" fillId="0" borderId="29" xfId="0" applyFont="1" applyBorder="1" applyAlignment="1">
      <alignment horizontal="center" vertical="center"/>
    </xf>
    <xf numFmtId="2" fontId="33" fillId="0" borderId="32" xfId="6" applyNumberFormat="1" applyFont="1" applyFill="1" applyBorder="1" applyAlignment="1">
      <alignment horizontal="center" vertical="center"/>
    </xf>
    <xf numFmtId="0" fontId="35" fillId="0" borderId="31" xfId="0" applyFont="1" applyBorder="1" applyAlignment="1">
      <alignment horizontal="center" vertical="center"/>
    </xf>
    <xf numFmtId="0" fontId="25" fillId="0" borderId="33" xfId="0" applyFont="1" applyFill="1" applyBorder="1" applyAlignment="1">
      <alignment horizontal="center" vertical="center"/>
    </xf>
    <xf numFmtId="2" fontId="33" fillId="0" borderId="11" xfId="6" applyNumberFormat="1" applyFont="1" applyFill="1" applyBorder="1" applyAlignment="1">
      <alignment horizontal="center" vertical="center"/>
    </xf>
    <xf numFmtId="2" fontId="33" fillId="0" borderId="14" xfId="6" applyNumberFormat="1" applyFont="1" applyFill="1" applyBorder="1" applyAlignment="1">
      <alignment horizontal="center" vertical="center"/>
    </xf>
    <xf numFmtId="2" fontId="33" fillId="0" borderId="43" xfId="6" applyNumberFormat="1" applyFont="1" applyFill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2" fontId="33" fillId="0" borderId="0" xfId="6" applyNumberFormat="1" applyFont="1" applyFill="1" applyBorder="1" applyAlignment="1">
      <alignment horizontal="center" vertical="center"/>
    </xf>
    <xf numFmtId="2" fontId="33" fillId="0" borderId="34" xfId="6" applyNumberFormat="1" applyFont="1" applyFill="1" applyBorder="1" applyAlignment="1">
      <alignment horizontal="center" vertical="center"/>
    </xf>
    <xf numFmtId="2" fontId="33" fillId="0" borderId="6" xfId="6" applyNumberFormat="1" applyFont="1" applyFill="1" applyBorder="1" applyAlignment="1">
      <alignment horizontal="center" vertical="center"/>
    </xf>
    <xf numFmtId="2" fontId="33" fillId="0" borderId="5" xfId="6" applyNumberFormat="1" applyFont="1" applyFill="1" applyBorder="1" applyAlignment="1">
      <alignment horizontal="center" vertical="center"/>
    </xf>
    <xf numFmtId="2" fontId="33" fillId="0" borderId="44" xfId="6" applyNumberFormat="1" applyFont="1" applyFill="1" applyBorder="1" applyAlignment="1">
      <alignment horizontal="center" vertical="center"/>
    </xf>
    <xf numFmtId="0" fontId="3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2" fontId="33" fillId="2" borderId="1" xfId="0" applyNumberFormat="1" applyFont="1" applyFill="1" applyBorder="1" applyAlignment="1">
      <alignment horizontal="center" vertical="center"/>
    </xf>
    <xf numFmtId="2" fontId="33" fillId="2" borderId="2" xfId="0" applyNumberFormat="1" applyFont="1" applyFill="1" applyBorder="1" applyAlignment="1">
      <alignment horizontal="center" vertical="center"/>
    </xf>
    <xf numFmtId="2" fontId="33" fillId="2" borderId="15" xfId="0" applyNumberFormat="1" applyFont="1" applyFill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2" fontId="33" fillId="2" borderId="2" xfId="0" applyNumberFormat="1" applyFont="1" applyFill="1" applyBorder="1" applyAlignment="1" applyProtection="1">
      <alignment horizontal="center" vertical="center"/>
    </xf>
    <xf numFmtId="0" fontId="35" fillId="0" borderId="37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1" fontId="33" fillId="0" borderId="38" xfId="0" applyNumberFormat="1" applyFont="1" applyFill="1" applyBorder="1" applyAlignment="1">
      <alignment horizontal="center" vertical="center"/>
    </xf>
    <xf numFmtId="1" fontId="33" fillId="0" borderId="22" xfId="0" applyNumberFormat="1" applyFont="1" applyFill="1" applyBorder="1" applyAlignment="1">
      <alignment horizontal="center" vertical="center"/>
    </xf>
    <xf numFmtId="1" fontId="33" fillId="0" borderId="17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15" xfId="0" applyNumberFormat="1" applyFont="1" applyFill="1" applyBorder="1" applyAlignment="1">
      <alignment horizontal="center" vertical="center"/>
    </xf>
    <xf numFmtId="0" fontId="25" fillId="0" borderId="35" xfId="0" applyFont="1" applyFill="1" applyBorder="1" applyAlignment="1">
      <alignment horizontal="center" vertical="center"/>
    </xf>
    <xf numFmtId="1" fontId="33" fillId="0" borderId="14" xfId="0" applyNumberFormat="1" applyFont="1" applyFill="1" applyBorder="1" applyAlignment="1">
      <alignment horizontal="center" vertical="center"/>
    </xf>
    <xf numFmtId="1" fontId="33" fillId="0" borderId="12" xfId="0" applyNumberFormat="1" applyFont="1" applyFill="1" applyBorder="1" applyAlignment="1">
      <alignment horizontal="center" vertical="center"/>
    </xf>
    <xf numFmtId="1" fontId="33" fillId="0" borderId="34" xfId="0" applyNumberFormat="1" applyFont="1" applyFill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1" fontId="33" fillId="0" borderId="6" xfId="0" applyNumberFormat="1" applyFont="1" applyFill="1" applyBorder="1" applyAlignment="1">
      <alignment horizontal="center" vertical="center"/>
    </xf>
    <xf numFmtId="1" fontId="33" fillId="0" borderId="36" xfId="0" applyNumberFormat="1" applyFont="1" applyFill="1" applyBorder="1" applyAlignment="1">
      <alignment horizontal="center" vertical="center"/>
    </xf>
    <xf numFmtId="0" fontId="25" fillId="2" borderId="37" xfId="0" applyFont="1" applyFill="1" applyBorder="1" applyAlignment="1">
      <alignment horizontal="center" vertical="center"/>
    </xf>
    <xf numFmtId="0" fontId="33" fillId="2" borderId="46" xfId="0" applyFont="1" applyFill="1" applyBorder="1" applyAlignment="1">
      <alignment horizontal="center" vertical="center"/>
    </xf>
    <xf numFmtId="0" fontId="33" fillId="2" borderId="46" xfId="0" applyFont="1" applyFill="1" applyBorder="1" applyAlignment="1" applyProtection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171" fontId="39" fillId="0" borderId="14" xfId="0" applyNumberFormat="1" applyFont="1" applyBorder="1" applyAlignment="1">
      <alignment horizontal="center" vertical="center"/>
    </xf>
    <xf numFmtId="11" fontId="39" fillId="0" borderId="6" xfId="0" applyNumberFormat="1" applyFont="1" applyFill="1" applyBorder="1" applyAlignment="1">
      <alignment horizontal="center" vertical="center"/>
    </xf>
    <xf numFmtId="0" fontId="4" fillId="3" borderId="13" xfId="7" applyFont="1" applyFill="1" applyBorder="1" applyAlignment="1">
      <alignment horizontal="center" vertical="center"/>
    </xf>
    <xf numFmtId="0" fontId="15" fillId="0" borderId="14" xfId="7" applyFont="1" applyBorder="1" applyAlignment="1">
      <alignment horizontal="center" vertical="center" textRotation="180" wrapText="1"/>
    </xf>
    <xf numFmtId="0" fontId="15" fillId="0" borderId="2" xfId="7" applyFont="1" applyBorder="1" applyAlignment="1">
      <alignment horizontal="center" vertical="center" textRotation="180" wrapText="1"/>
    </xf>
    <xf numFmtId="0" fontId="15" fillId="0" borderId="6" xfId="7" applyFont="1" applyBorder="1" applyAlignment="1">
      <alignment horizontal="center" vertical="center" textRotation="180" wrapText="1"/>
    </xf>
    <xf numFmtId="0" fontId="15" fillId="0" borderId="14" xfId="7" applyFont="1" applyBorder="1" applyAlignment="1">
      <alignment horizontal="center" textRotation="180"/>
    </xf>
    <xf numFmtId="0" fontId="15" fillId="0" borderId="2" xfId="7" applyFont="1" applyBorder="1" applyAlignment="1">
      <alignment horizontal="center" textRotation="180"/>
    </xf>
    <xf numFmtId="0" fontId="15" fillId="0" borderId="6" xfId="7" applyFont="1" applyBorder="1" applyAlignment="1">
      <alignment horizontal="center" textRotation="180"/>
    </xf>
    <xf numFmtId="0" fontId="16" fillId="0" borderId="8" xfId="7" applyFont="1" applyBorder="1" applyAlignment="1">
      <alignment horizontal="center"/>
    </xf>
    <xf numFmtId="0" fontId="16" fillId="0" borderId="19" xfId="7" applyFont="1" applyBorder="1" applyAlignment="1">
      <alignment horizontal="center"/>
    </xf>
    <xf numFmtId="0" fontId="16" fillId="0" borderId="9" xfId="7" applyFont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</cellXfs>
  <cellStyles count="8">
    <cellStyle name="Euro" xfId="1"/>
    <cellStyle name="Milliers [0]_Nitrification model" xfId="2"/>
    <cellStyle name="Milliers_Nitrification model" xfId="3"/>
    <cellStyle name="Monétaire [0]_Nitrification model" xfId="4"/>
    <cellStyle name="Monétaire_Nitrification model" xfId="5"/>
    <cellStyle name="Normal" xfId="0" builtinId="0"/>
    <cellStyle name="Normal 2" xfId="6"/>
    <cellStyle name="Normal 3" xfId="7"/>
  </cellStyles>
  <dxfs count="27"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0" tint="-0.249946592608417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mpus\home\home41\nvg38\Downloads\NUFeb2Lit\pHInfluence-ru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SpecParam"/>
      <sheetName val="ReactionMatrix"/>
      <sheetName val="Influent"/>
      <sheetName val="States"/>
      <sheetName val="ThermoParam"/>
      <sheetName val="Bacteria"/>
      <sheetName val="Parameters"/>
      <sheetName val="Discretization"/>
      <sheetName val="Diffusion"/>
    </sheetNames>
    <sheetDataSet>
      <sheetData sheetId="0">
        <row r="4">
          <cell r="S4">
            <v>-1</v>
          </cell>
          <cell r="V4">
            <v>-0.90000000000000013</v>
          </cell>
          <cell r="W4">
            <v>0</v>
          </cell>
          <cell r="Z4">
            <v>0</v>
          </cell>
          <cell r="AI4">
            <v>0.2</v>
          </cell>
        </row>
        <row r="5">
          <cell r="S5">
            <v>1</v>
          </cell>
          <cell r="V5">
            <v>0.70000000000000007</v>
          </cell>
          <cell r="W5">
            <v>-1</v>
          </cell>
          <cell r="Z5">
            <v>-2.9000000000000004</v>
          </cell>
          <cell r="AI5">
            <v>0</v>
          </cell>
        </row>
        <row r="6">
          <cell r="S6">
            <v>0</v>
          </cell>
          <cell r="V6">
            <v>0</v>
          </cell>
          <cell r="W6">
            <v>1</v>
          </cell>
          <cell r="Z6">
            <v>2.7</v>
          </cell>
          <cell r="AI6">
            <v>0</v>
          </cell>
        </row>
        <row r="7">
          <cell r="S7">
            <v>-1.5</v>
          </cell>
          <cell r="V7">
            <v>0</v>
          </cell>
          <cell r="W7">
            <v>-0.5</v>
          </cell>
          <cell r="Z7">
            <v>0</v>
          </cell>
          <cell r="AI7">
            <v>0</v>
          </cell>
        </row>
        <row r="8">
          <cell r="S8">
            <v>0</v>
          </cell>
          <cell r="V8">
            <v>-1</v>
          </cell>
          <cell r="W8">
            <v>0</v>
          </cell>
          <cell r="Z8">
            <v>-1</v>
          </cell>
          <cell r="AI8">
            <v>1</v>
          </cell>
        </row>
        <row r="10">
          <cell r="S10">
            <v>0</v>
          </cell>
          <cell r="W10">
            <v>0</v>
          </cell>
          <cell r="Z10">
            <v>0</v>
          </cell>
        </row>
        <row r="11">
          <cell r="S11">
            <v>0</v>
          </cell>
          <cell r="W11">
            <v>0</v>
          </cell>
          <cell r="Z11">
            <v>0</v>
          </cell>
        </row>
        <row r="12">
          <cell r="S12">
            <v>1</v>
          </cell>
          <cell r="V12">
            <v>1.0999999999999999</v>
          </cell>
          <cell r="W12">
            <v>0</v>
          </cell>
          <cell r="Z12">
            <v>0.19999999999999973</v>
          </cell>
          <cell r="AI12">
            <v>-2.5</v>
          </cell>
        </row>
        <row r="13">
          <cell r="S13">
            <v>1</v>
          </cell>
          <cell r="V13">
            <v>-1</v>
          </cell>
          <cell r="W13">
            <v>0</v>
          </cell>
          <cell r="Z13">
            <v>-1</v>
          </cell>
          <cell r="AI13">
            <v>1</v>
          </cell>
        </row>
        <row r="36">
          <cell r="W36">
            <v>0.12263896826343848</v>
          </cell>
        </row>
        <row r="37">
          <cell r="W37">
            <v>0.12228744502440833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B1">
            <v>1.0471975511965976E-13</v>
          </cell>
        </row>
        <row r="6">
          <cell r="B6">
            <v>2000</v>
          </cell>
        </row>
      </sheetData>
      <sheetData sheetId="7"/>
      <sheetData sheetId="8">
        <row r="11">
          <cell r="B11">
            <v>1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N38"/>
  <sheetViews>
    <sheetView topLeftCell="N1" zoomScale="90" zoomScaleNormal="90" zoomScalePageLayoutView="125" workbookViewId="0">
      <selection activeCell="AI14" sqref="AI14"/>
    </sheetView>
  </sheetViews>
  <sheetFormatPr defaultColWidth="8.85546875" defaultRowHeight="15" x14ac:dyDescent="0.25"/>
  <cols>
    <col min="1" max="1" width="2.7109375" style="1" customWidth="1"/>
    <col min="2" max="2" width="46.85546875" style="1" customWidth="1"/>
    <col min="3" max="3" width="24.28515625" style="1" customWidth="1"/>
    <col min="4" max="5" width="18.85546875" style="1" customWidth="1"/>
    <col min="6" max="6" width="7.85546875" style="1" customWidth="1"/>
    <col min="7" max="7" width="8" style="2" customWidth="1"/>
    <col min="8" max="8" width="8.85546875" style="1"/>
    <col min="9" max="9" width="15" style="1" customWidth="1"/>
    <col min="10" max="10" width="15.7109375" style="1" customWidth="1"/>
    <col min="11" max="11" width="6.140625" style="1" customWidth="1"/>
    <col min="12" max="12" width="4.85546875" style="1" customWidth="1"/>
    <col min="13" max="14" width="4.42578125" style="1" customWidth="1"/>
    <col min="15" max="15" width="5" style="1" customWidth="1"/>
    <col min="16" max="17" width="4.7109375" style="1" customWidth="1"/>
    <col min="18" max="18" width="7.42578125" style="1" customWidth="1"/>
    <col min="19" max="20" width="12.85546875" style="1" customWidth="1"/>
    <col min="21" max="21" width="15.7109375" style="1" customWidth="1"/>
    <col min="22" max="22" width="11.7109375" style="1" customWidth="1"/>
    <col min="23" max="24" width="12.28515625" style="1" customWidth="1"/>
    <col min="25" max="25" width="15.28515625" style="1" customWidth="1"/>
    <col min="26" max="26" width="11.42578125" style="1" customWidth="1"/>
    <col min="27" max="28" width="12.7109375" style="1" customWidth="1"/>
    <col min="29" max="29" width="15.7109375" style="1" customWidth="1"/>
    <col min="30" max="30" width="12.28515625" style="1" customWidth="1"/>
    <col min="31" max="32" width="12.7109375" style="1" customWidth="1"/>
    <col min="33" max="33" width="15.7109375" style="1" customWidth="1"/>
    <col min="34" max="34" width="12.28515625" style="1" customWidth="1"/>
    <col min="35" max="36" width="8.85546875" style="1"/>
    <col min="37" max="37" width="14.85546875" style="1" customWidth="1"/>
    <col min="38" max="16384" width="8.85546875" style="1"/>
  </cols>
  <sheetData>
    <row r="2" spans="2:40" ht="21.75" customHeight="1" x14ac:dyDescent="0.25">
      <c r="S2" s="251" t="s">
        <v>18</v>
      </c>
      <c r="T2" s="251"/>
      <c r="U2" s="251"/>
      <c r="V2" s="251"/>
      <c r="W2" s="251" t="s">
        <v>19</v>
      </c>
      <c r="X2" s="251"/>
      <c r="Y2" s="251"/>
      <c r="Z2" s="251"/>
      <c r="AA2" s="251" t="s">
        <v>68</v>
      </c>
      <c r="AB2" s="251"/>
      <c r="AC2" s="251"/>
      <c r="AD2" s="251"/>
      <c r="AE2" s="251" t="s">
        <v>70</v>
      </c>
      <c r="AF2" s="251"/>
      <c r="AG2" s="251"/>
      <c r="AH2" s="251"/>
      <c r="AK2" s="3" t="s">
        <v>20</v>
      </c>
      <c r="AL2" s="4" t="s">
        <v>21</v>
      </c>
      <c r="AM2" s="4" t="s">
        <v>22</v>
      </c>
      <c r="AN2" s="5" t="s">
        <v>23</v>
      </c>
    </row>
    <row r="3" spans="2:40" ht="20.25" x14ac:dyDescent="0.35">
      <c r="B3" s="6" t="s">
        <v>24</v>
      </c>
      <c r="C3" s="7" t="s">
        <v>25</v>
      </c>
      <c r="D3" s="7" t="s">
        <v>26</v>
      </c>
      <c r="E3" s="7" t="s">
        <v>27</v>
      </c>
      <c r="F3" s="8" t="s">
        <v>28</v>
      </c>
      <c r="G3" s="9" t="s">
        <v>13</v>
      </c>
      <c r="I3" s="10" t="s">
        <v>29</v>
      </c>
      <c r="J3" s="11" t="s">
        <v>30</v>
      </c>
      <c r="K3" s="12" t="s">
        <v>10</v>
      </c>
      <c r="L3" s="13" t="s">
        <v>31</v>
      </c>
      <c r="M3" s="13" t="s">
        <v>9</v>
      </c>
      <c r="N3" s="13" t="s">
        <v>32</v>
      </c>
      <c r="O3" s="13" t="s">
        <v>33</v>
      </c>
      <c r="P3" s="13" t="s">
        <v>0</v>
      </c>
      <c r="Q3" s="13" t="s">
        <v>3</v>
      </c>
      <c r="R3" s="14" t="s">
        <v>34</v>
      </c>
      <c r="S3" s="15" t="s">
        <v>35</v>
      </c>
      <c r="T3" s="16" t="s">
        <v>36</v>
      </c>
      <c r="U3" s="16" t="s">
        <v>37</v>
      </c>
      <c r="V3" s="17" t="s">
        <v>38</v>
      </c>
      <c r="W3" s="15" t="s">
        <v>35</v>
      </c>
      <c r="X3" s="16" t="s">
        <v>36</v>
      </c>
      <c r="Y3" s="16" t="s">
        <v>37</v>
      </c>
      <c r="Z3" s="17" t="s">
        <v>38</v>
      </c>
      <c r="AA3" s="15" t="s">
        <v>35</v>
      </c>
      <c r="AB3" s="16" t="s">
        <v>36</v>
      </c>
      <c r="AC3" s="16" t="s">
        <v>37</v>
      </c>
      <c r="AD3" s="17" t="s">
        <v>38</v>
      </c>
      <c r="AE3" s="15" t="s">
        <v>35</v>
      </c>
      <c r="AF3" s="16" t="s">
        <v>36</v>
      </c>
      <c r="AG3" s="16" t="s">
        <v>37</v>
      </c>
      <c r="AH3" s="17" t="s">
        <v>38</v>
      </c>
      <c r="AI3" s="160" t="s">
        <v>124</v>
      </c>
      <c r="AJ3" s="162"/>
      <c r="AK3" s="18" t="s">
        <v>39</v>
      </c>
      <c r="AL3" s="19" t="s">
        <v>40</v>
      </c>
      <c r="AM3" s="19">
        <v>96.484999999999999</v>
      </c>
      <c r="AN3" s="19" t="s">
        <v>41</v>
      </c>
    </row>
    <row r="4" spans="2:40" ht="15.75" x14ac:dyDescent="0.25">
      <c r="B4" s="20" t="s">
        <v>45</v>
      </c>
      <c r="C4" s="21">
        <f>S26</f>
        <v>-307.36384335522246</v>
      </c>
      <c r="D4" s="21">
        <f>V26</f>
        <v>300.12884335522256</v>
      </c>
      <c r="E4" s="22">
        <v>3500</v>
      </c>
      <c r="F4" s="21">
        <f>(D4+E4)/(-C4)-V4</f>
        <v>13.263617014521088</v>
      </c>
      <c r="G4" s="23">
        <f>1/F4</f>
        <v>7.5394215537525996E-2</v>
      </c>
      <c r="I4" s="37" t="s">
        <v>15</v>
      </c>
      <c r="J4" s="35">
        <v>-26.57</v>
      </c>
      <c r="K4" s="34">
        <v>-3</v>
      </c>
      <c r="L4" s="36">
        <v>0</v>
      </c>
      <c r="M4" s="36">
        <v>3</v>
      </c>
      <c r="N4" s="36">
        <v>0</v>
      </c>
      <c r="O4" s="36">
        <v>1</v>
      </c>
      <c r="P4" s="36">
        <v>0</v>
      </c>
      <c r="Q4" s="36">
        <v>0</v>
      </c>
      <c r="R4" s="36">
        <v>0</v>
      </c>
      <c r="S4" s="26">
        <v>-1</v>
      </c>
      <c r="T4" s="27">
        <v>-0.2</v>
      </c>
      <c r="U4" s="27">
        <v>-1</v>
      </c>
      <c r="V4" s="28">
        <f>T4+U4*(-$T$14/$U$14)</f>
        <v>-0.90000000000000013</v>
      </c>
      <c r="W4" s="26">
        <v>0</v>
      </c>
      <c r="X4" s="27">
        <v>0</v>
      </c>
      <c r="Y4" s="27">
        <v>0</v>
      </c>
      <c r="Z4" s="28">
        <f>X4+Y4*(-$X$14/$Y$14)</f>
        <v>0</v>
      </c>
      <c r="AA4" s="26">
        <f t="shared" ref="AA4:AA15" si="0">S4+W4</f>
        <v>-1</v>
      </c>
      <c r="AB4" s="27">
        <v>-0.2</v>
      </c>
      <c r="AC4" s="27">
        <v>-1</v>
      </c>
      <c r="AD4" s="28">
        <f>AB4+AC4*(-$AB$14/$AC$14)</f>
        <v>-0.72500000000000009</v>
      </c>
      <c r="AE4" s="26">
        <f t="shared" ref="AE4:AE8" si="1">W4+AA4</f>
        <v>-1</v>
      </c>
      <c r="AF4" s="27">
        <v>-0.2</v>
      </c>
      <c r="AG4" s="27">
        <v>-1</v>
      </c>
      <c r="AH4" s="28">
        <f>AF4+AG4*(-$AF$14/$AG$14)</f>
        <v>-1.6</v>
      </c>
      <c r="AI4" s="28">
        <v>0.2</v>
      </c>
      <c r="AJ4" s="161"/>
      <c r="AK4" s="18" t="s">
        <v>42</v>
      </c>
      <c r="AL4" s="19" t="s">
        <v>43</v>
      </c>
      <c r="AM4" s="19">
        <v>8.3140000000000002E-3</v>
      </c>
      <c r="AN4" s="19" t="s">
        <v>6</v>
      </c>
    </row>
    <row r="5" spans="2:40" ht="15.75" x14ac:dyDescent="0.25">
      <c r="B5" s="20" t="s">
        <v>19</v>
      </c>
      <c r="C5" s="21">
        <f>W26</f>
        <v>-87.34</v>
      </c>
      <c r="D5" s="21">
        <f>Z26</f>
        <v>304.9798433552225</v>
      </c>
      <c r="E5" s="22">
        <v>3500</v>
      </c>
      <c r="F5" s="21">
        <f>(D5+E5)/(-C5)-Z5</f>
        <v>46.465145905143373</v>
      </c>
      <c r="G5" s="23">
        <f t="shared" ref="G5:G6" si="2">1/F5</f>
        <v>2.1521507799447302E-2</v>
      </c>
      <c r="I5" s="29" t="s">
        <v>46</v>
      </c>
      <c r="J5" s="24">
        <v>-32.200000000000003</v>
      </c>
      <c r="K5" s="29">
        <v>3</v>
      </c>
      <c r="L5" s="25">
        <v>0</v>
      </c>
      <c r="M5" s="25">
        <v>1</v>
      </c>
      <c r="N5" s="25">
        <v>2</v>
      </c>
      <c r="O5" s="25">
        <v>1</v>
      </c>
      <c r="P5" s="25">
        <v>0</v>
      </c>
      <c r="Q5" s="25">
        <v>0</v>
      </c>
      <c r="R5" s="25">
        <v>0</v>
      </c>
      <c r="S5" s="26">
        <v>1</v>
      </c>
      <c r="T5" s="27">
        <v>0</v>
      </c>
      <c r="U5" s="27">
        <v>1</v>
      </c>
      <c r="V5" s="28">
        <f>T5+U5*(-$T$14/$U$14)</f>
        <v>0.70000000000000007</v>
      </c>
      <c r="W5" s="26">
        <v>-1</v>
      </c>
      <c r="X5" s="27">
        <v>-0.2</v>
      </c>
      <c r="Y5" s="27">
        <v>-1</v>
      </c>
      <c r="Z5" s="28">
        <f>X5+Y5*(-$X$14/$Y$14)</f>
        <v>-2.9000000000000004</v>
      </c>
      <c r="AA5" s="26">
        <f t="shared" si="0"/>
        <v>0</v>
      </c>
      <c r="AB5" s="27">
        <v>0</v>
      </c>
      <c r="AC5" s="27">
        <v>0</v>
      </c>
      <c r="AD5" s="28">
        <f>AB5+AC5*(-$AB$14/$AC$14)</f>
        <v>0</v>
      </c>
      <c r="AE5" s="26">
        <f t="shared" si="1"/>
        <v>-1</v>
      </c>
      <c r="AF5" s="27">
        <v>0</v>
      </c>
      <c r="AG5" s="27">
        <v>0</v>
      </c>
      <c r="AH5" s="28">
        <f t="shared" ref="AH5:AI15" si="3">AF5+AG5*(-$AF$14/$AG$14)</f>
        <v>0</v>
      </c>
      <c r="AI5" s="28">
        <f t="shared" si="3"/>
        <v>0</v>
      </c>
      <c r="AJ5" s="161"/>
      <c r="AK5" s="30" t="s">
        <v>44</v>
      </c>
      <c r="AL5" s="31" t="s">
        <v>1</v>
      </c>
      <c r="AM5" s="32">
        <v>298.14999999999998</v>
      </c>
      <c r="AN5" s="32" t="s">
        <v>2</v>
      </c>
    </row>
    <row r="6" spans="2:40" ht="15.75" x14ac:dyDescent="0.25">
      <c r="B6" s="20" t="s">
        <v>71</v>
      </c>
      <c r="C6" s="21">
        <f>AA26</f>
        <v>-354.75</v>
      </c>
      <c r="D6" s="21">
        <f>AD26</f>
        <v>301.07209335522253</v>
      </c>
      <c r="E6" s="22">
        <v>3500</v>
      </c>
      <c r="F6" s="21">
        <f>(D6+E6)/(-C6)-AD4</f>
        <v>11.439790960832198</v>
      </c>
      <c r="G6" s="23">
        <f t="shared" si="2"/>
        <v>8.741418470178533E-2</v>
      </c>
      <c r="I6" s="37" t="s">
        <v>47</v>
      </c>
      <c r="J6" s="24">
        <v>-111.34</v>
      </c>
      <c r="K6" s="29">
        <v>5</v>
      </c>
      <c r="L6" s="25">
        <v>0</v>
      </c>
      <c r="M6" s="25">
        <v>1</v>
      </c>
      <c r="N6" s="25">
        <v>3</v>
      </c>
      <c r="O6" s="25">
        <v>1</v>
      </c>
      <c r="P6" s="25">
        <v>0</v>
      </c>
      <c r="Q6" s="25">
        <v>0</v>
      </c>
      <c r="R6" s="25">
        <v>0</v>
      </c>
      <c r="S6" s="26">
        <v>0</v>
      </c>
      <c r="T6" s="27">
        <v>0</v>
      </c>
      <c r="U6" s="27">
        <v>0</v>
      </c>
      <c r="V6" s="28">
        <f>T6+U6*(-$T$14/$U$14)</f>
        <v>0</v>
      </c>
      <c r="W6" s="26">
        <v>1</v>
      </c>
      <c r="X6" s="27">
        <v>0</v>
      </c>
      <c r="Y6" s="27">
        <v>1</v>
      </c>
      <c r="Z6" s="28">
        <f>X6+Y6*(-$X$14/$Y$14)</f>
        <v>2.7</v>
      </c>
      <c r="AA6" s="26">
        <f t="shared" si="0"/>
        <v>1</v>
      </c>
      <c r="AB6" s="27">
        <v>0</v>
      </c>
      <c r="AC6" s="27">
        <v>1</v>
      </c>
      <c r="AD6" s="28">
        <f>AB6+AC6*(-$AB$14/$AC$14)</f>
        <v>0.52500000000000002</v>
      </c>
      <c r="AE6" s="26">
        <v>0</v>
      </c>
      <c r="AF6" s="27">
        <v>0</v>
      </c>
      <c r="AG6" s="27">
        <v>0</v>
      </c>
      <c r="AH6" s="28">
        <f t="shared" si="3"/>
        <v>0</v>
      </c>
      <c r="AI6" s="28">
        <v>0</v>
      </c>
      <c r="AJ6" s="161"/>
      <c r="AK6" s="33"/>
      <c r="AL6" s="33"/>
      <c r="AM6" s="33"/>
      <c r="AN6" s="33"/>
    </row>
    <row r="7" spans="2:40" ht="15.75" x14ac:dyDescent="0.25">
      <c r="B7" s="20" t="s">
        <v>70</v>
      </c>
      <c r="C7" s="21">
        <f>AE26</f>
        <v>-415.59000000000003</v>
      </c>
      <c r="D7" s="21">
        <f>AH26</f>
        <v>9.2158433552223613</v>
      </c>
      <c r="E7" s="22">
        <v>3500</v>
      </c>
      <c r="F7" s="21">
        <f>(D7+E7)/(-C7)-AD5</f>
        <v>8.4439371576679463</v>
      </c>
      <c r="G7" s="23">
        <f t="shared" ref="G7" si="4">1/F7</f>
        <v>0.11842816701826105</v>
      </c>
      <c r="I7" s="29" t="s">
        <v>12</v>
      </c>
      <c r="J7" s="24">
        <v>16.399999999999999</v>
      </c>
      <c r="K7" s="29">
        <v>0</v>
      </c>
      <c r="L7" s="25">
        <v>0</v>
      </c>
      <c r="M7" s="25">
        <v>0</v>
      </c>
      <c r="N7" s="25">
        <v>2</v>
      </c>
      <c r="O7" s="25">
        <v>0</v>
      </c>
      <c r="P7" s="25">
        <v>0</v>
      </c>
      <c r="Q7" s="25">
        <v>0</v>
      </c>
      <c r="R7" s="25">
        <v>0</v>
      </c>
      <c r="S7" s="26">
        <v>-1.5</v>
      </c>
      <c r="T7" s="27">
        <v>0</v>
      </c>
      <c r="U7" s="27">
        <v>0</v>
      </c>
      <c r="V7" s="28">
        <f>T7+U7*(-$T$14/$U$14)</f>
        <v>0</v>
      </c>
      <c r="W7" s="26">
        <v>-0.5</v>
      </c>
      <c r="X7" s="27">
        <v>0</v>
      </c>
      <c r="Y7" s="27">
        <v>0</v>
      </c>
      <c r="Z7" s="28">
        <f>X7+Y7*(-$X$14/$Y$14)</f>
        <v>0</v>
      </c>
      <c r="AA7" s="26">
        <f t="shared" ref="AA7" si="5">S7+W7</f>
        <v>-2</v>
      </c>
      <c r="AB7" s="27">
        <v>0</v>
      </c>
      <c r="AC7" s="27">
        <v>0</v>
      </c>
      <c r="AD7" s="28">
        <f>AB7+AC7*(-$AB$14/$AC$14)</f>
        <v>0</v>
      </c>
      <c r="AE7" s="26">
        <v>0</v>
      </c>
      <c r="AF7" s="27">
        <v>0</v>
      </c>
      <c r="AG7" s="27">
        <v>0</v>
      </c>
      <c r="AH7" s="28">
        <f t="shared" si="3"/>
        <v>0</v>
      </c>
      <c r="AI7" s="28">
        <f t="shared" si="3"/>
        <v>0</v>
      </c>
      <c r="AJ7" s="161"/>
    </row>
    <row r="8" spans="2:40" ht="15.75" x14ac:dyDescent="0.25">
      <c r="I8" s="39" t="s">
        <v>48</v>
      </c>
      <c r="J8" s="24">
        <v>-586.70000000000005</v>
      </c>
      <c r="K8" s="29">
        <v>4</v>
      </c>
      <c r="L8" s="25">
        <v>1</v>
      </c>
      <c r="M8" s="25">
        <v>1</v>
      </c>
      <c r="N8" s="25">
        <v>3</v>
      </c>
      <c r="O8" s="25">
        <v>0</v>
      </c>
      <c r="P8" s="25">
        <v>0</v>
      </c>
      <c r="Q8" s="25">
        <v>0</v>
      </c>
      <c r="R8" s="25">
        <v>-1</v>
      </c>
      <c r="S8" s="26">
        <v>0</v>
      </c>
      <c r="T8" s="27">
        <v>-1</v>
      </c>
      <c r="U8" s="27">
        <v>0</v>
      </c>
      <c r="V8" s="28">
        <f>T8+U8*(-$T$14/$U$14)</f>
        <v>-1</v>
      </c>
      <c r="W8" s="26">
        <v>0</v>
      </c>
      <c r="X8" s="27">
        <v>-1</v>
      </c>
      <c r="Y8" s="27">
        <v>0</v>
      </c>
      <c r="Z8" s="28">
        <f>X8+Y8*(-$X$14/$Y$14)</f>
        <v>-1</v>
      </c>
      <c r="AA8" s="26">
        <f t="shared" si="0"/>
        <v>0</v>
      </c>
      <c r="AB8" s="27">
        <v>-1</v>
      </c>
      <c r="AC8" s="27">
        <v>0</v>
      </c>
      <c r="AD8" s="28">
        <f>AB8+AC8*(-$AB$14/$AC$14)</f>
        <v>-1</v>
      </c>
      <c r="AE8" s="26">
        <f t="shared" si="1"/>
        <v>0</v>
      </c>
      <c r="AF8" s="27">
        <v>-1</v>
      </c>
      <c r="AG8" s="27">
        <v>0</v>
      </c>
      <c r="AH8" s="28">
        <f t="shared" si="3"/>
        <v>-1</v>
      </c>
      <c r="AI8" s="28">
        <v>1</v>
      </c>
      <c r="AJ8" s="161"/>
    </row>
    <row r="9" spans="2:40" ht="15.75" x14ac:dyDescent="0.25">
      <c r="I9" s="39" t="s">
        <v>67</v>
      </c>
      <c r="J9" s="24">
        <v>0</v>
      </c>
      <c r="K9" s="29">
        <v>0</v>
      </c>
      <c r="L9" s="25">
        <v>0</v>
      </c>
      <c r="M9" s="25">
        <v>0</v>
      </c>
      <c r="N9" s="25">
        <v>0</v>
      </c>
      <c r="O9" s="25">
        <v>2</v>
      </c>
      <c r="P9" s="25">
        <v>0</v>
      </c>
      <c r="Q9" s="25">
        <v>0</v>
      </c>
      <c r="R9" s="25">
        <v>0</v>
      </c>
      <c r="S9" s="26">
        <v>0</v>
      </c>
      <c r="T9" s="27">
        <v>0</v>
      </c>
      <c r="U9" s="27">
        <v>0</v>
      </c>
      <c r="V9" s="28">
        <v>0</v>
      </c>
      <c r="W9" s="26">
        <v>0</v>
      </c>
      <c r="X9" s="27">
        <v>0</v>
      </c>
      <c r="Y9" s="27">
        <v>0</v>
      </c>
      <c r="Z9" s="28">
        <v>0</v>
      </c>
      <c r="AA9" s="26">
        <v>0</v>
      </c>
      <c r="AB9" s="27">
        <v>0</v>
      </c>
      <c r="AC9" s="27">
        <v>0</v>
      </c>
      <c r="AD9" s="28">
        <v>0</v>
      </c>
      <c r="AE9" s="26">
        <v>1</v>
      </c>
      <c r="AF9" s="27">
        <v>0</v>
      </c>
      <c r="AG9" s="27">
        <v>0.5</v>
      </c>
      <c r="AH9" s="28">
        <f t="shared" si="3"/>
        <v>0.70000000000000007</v>
      </c>
      <c r="AI9" s="28">
        <v>0</v>
      </c>
      <c r="AJ9" s="161"/>
    </row>
    <row r="10" spans="2:40" ht="15.75" x14ac:dyDescent="0.25">
      <c r="I10" s="39" t="s">
        <v>7</v>
      </c>
      <c r="J10" s="24">
        <v>0</v>
      </c>
      <c r="K10" s="29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6">
        <v>0</v>
      </c>
      <c r="T10" s="27">
        <v>0</v>
      </c>
      <c r="U10" s="27">
        <v>0</v>
      </c>
      <c r="V10" s="28">
        <v>0</v>
      </c>
      <c r="W10" s="26">
        <v>0</v>
      </c>
      <c r="X10" s="27">
        <v>0</v>
      </c>
      <c r="Y10" s="27">
        <v>0</v>
      </c>
      <c r="Z10" s="28">
        <v>0</v>
      </c>
      <c r="AA10" s="26">
        <v>0</v>
      </c>
      <c r="AB10" s="27">
        <v>0</v>
      </c>
      <c r="AC10" s="27">
        <v>0</v>
      </c>
      <c r="AD10" s="28">
        <v>0</v>
      </c>
      <c r="AE10" s="26">
        <v>0</v>
      </c>
      <c r="AF10" s="27">
        <v>0</v>
      </c>
      <c r="AG10" s="27">
        <v>0</v>
      </c>
      <c r="AH10" s="28">
        <f t="shared" si="3"/>
        <v>0</v>
      </c>
      <c r="AI10" s="28">
        <f t="shared" si="3"/>
        <v>0</v>
      </c>
      <c r="AJ10" s="161"/>
    </row>
    <row r="11" spans="2:40" ht="15.75" x14ac:dyDescent="0.25">
      <c r="I11" s="39" t="s">
        <v>17</v>
      </c>
      <c r="J11" s="24">
        <v>0</v>
      </c>
      <c r="K11" s="29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6">
        <v>0</v>
      </c>
      <c r="T11" s="27">
        <v>0</v>
      </c>
      <c r="U11" s="27">
        <v>0</v>
      </c>
      <c r="V11" s="28">
        <v>0</v>
      </c>
      <c r="W11" s="26">
        <v>0</v>
      </c>
      <c r="X11" s="27">
        <v>0</v>
      </c>
      <c r="Y11" s="27">
        <v>0</v>
      </c>
      <c r="Z11" s="28">
        <v>0</v>
      </c>
      <c r="AA11" s="26">
        <v>0</v>
      </c>
      <c r="AB11" s="27">
        <v>0</v>
      </c>
      <c r="AC11" s="27">
        <v>0</v>
      </c>
      <c r="AD11" s="28">
        <v>0</v>
      </c>
      <c r="AE11" s="26">
        <v>0</v>
      </c>
      <c r="AF11" s="27">
        <v>0</v>
      </c>
      <c r="AG11" s="27">
        <v>0</v>
      </c>
      <c r="AH11" s="28">
        <f t="shared" si="3"/>
        <v>0</v>
      </c>
      <c r="AI11" s="28">
        <f t="shared" si="3"/>
        <v>0</v>
      </c>
      <c r="AJ11" s="161"/>
    </row>
    <row r="12" spans="2:40" ht="21" x14ac:dyDescent="0.3">
      <c r="B12" s="67" t="s">
        <v>69</v>
      </c>
      <c r="C12" s="66">
        <v>16.691904999999998</v>
      </c>
      <c r="I12" s="29" t="s">
        <v>8</v>
      </c>
      <c r="J12" s="24">
        <v>-237.18</v>
      </c>
      <c r="K12" s="29">
        <v>-2</v>
      </c>
      <c r="L12" s="25">
        <v>0</v>
      </c>
      <c r="M12" s="25">
        <v>2</v>
      </c>
      <c r="N12" s="25">
        <v>1</v>
      </c>
      <c r="O12" s="25">
        <v>0</v>
      </c>
      <c r="P12" s="25">
        <v>0</v>
      </c>
      <c r="Q12" s="25">
        <v>0</v>
      </c>
      <c r="R12" s="25">
        <v>0</v>
      </c>
      <c r="S12" s="26">
        <v>1</v>
      </c>
      <c r="T12" s="27">
        <v>2.5</v>
      </c>
      <c r="U12" s="27">
        <v>-2</v>
      </c>
      <c r="V12" s="28">
        <f>T12+U12*(-$T$14/$U$14)</f>
        <v>1.0999999999999999</v>
      </c>
      <c r="W12" s="26">
        <v>0</v>
      </c>
      <c r="X12" s="27">
        <v>2.9</v>
      </c>
      <c r="Y12" s="27">
        <v>-1</v>
      </c>
      <c r="Z12" s="28">
        <f>X12+Y12*(-$X$14/$Y$14)</f>
        <v>0.19999999999999973</v>
      </c>
      <c r="AA12" s="26">
        <f t="shared" si="0"/>
        <v>1</v>
      </c>
      <c r="AB12" s="27">
        <v>2.5</v>
      </c>
      <c r="AC12" s="27">
        <v>-3</v>
      </c>
      <c r="AD12" s="28">
        <f>AB12+AC12*(-$AB$14/$AC$14)</f>
        <v>0.92499999999999982</v>
      </c>
      <c r="AE12" s="26">
        <v>2</v>
      </c>
      <c r="AF12" s="27">
        <v>2.5</v>
      </c>
      <c r="AG12" s="27">
        <v>0</v>
      </c>
      <c r="AH12" s="28">
        <f t="shared" si="3"/>
        <v>2.5</v>
      </c>
      <c r="AI12" s="28">
        <f>-2.5</f>
        <v>-2.5</v>
      </c>
      <c r="AJ12" s="161"/>
    </row>
    <row r="13" spans="2:40" ht="15.75" x14ac:dyDescent="0.25">
      <c r="B13" s="32"/>
      <c r="E13" s="38"/>
      <c r="I13" s="29" t="s">
        <v>49</v>
      </c>
      <c r="J13" s="24">
        <v>0</v>
      </c>
      <c r="K13" s="29">
        <v>1</v>
      </c>
      <c r="L13" s="25">
        <v>0</v>
      </c>
      <c r="M13" s="25">
        <v>1</v>
      </c>
      <c r="N13" s="25">
        <v>0</v>
      </c>
      <c r="O13" s="25">
        <v>0</v>
      </c>
      <c r="P13" s="25">
        <v>0</v>
      </c>
      <c r="Q13" s="25">
        <v>0</v>
      </c>
      <c r="R13" s="25">
        <v>1</v>
      </c>
      <c r="S13" s="26">
        <v>1</v>
      </c>
      <c r="T13" s="27">
        <v>-5.2</v>
      </c>
      <c r="U13" s="27">
        <v>6</v>
      </c>
      <c r="V13" s="28">
        <f>T13+U13*(-$T$14/$U$14)</f>
        <v>-1</v>
      </c>
      <c r="W13" s="26">
        <v>0</v>
      </c>
      <c r="X13" s="27">
        <v>-6.4</v>
      </c>
      <c r="Y13" s="27">
        <v>2</v>
      </c>
      <c r="Z13" s="28">
        <f>X13+Y13*(-$X$14/$Y$14)</f>
        <v>-1</v>
      </c>
      <c r="AA13" s="26">
        <v>0</v>
      </c>
      <c r="AB13" s="27">
        <v>-5.2</v>
      </c>
      <c r="AC13" s="27">
        <v>8</v>
      </c>
      <c r="AD13" s="28">
        <f>AB13+AC13*(-$AB$14/$AC$14)</f>
        <v>-1</v>
      </c>
      <c r="AE13" s="26">
        <v>0</v>
      </c>
      <c r="AF13" s="27">
        <v>-5.2</v>
      </c>
      <c r="AG13" s="27">
        <v>3</v>
      </c>
      <c r="AH13" s="28">
        <f t="shared" si="3"/>
        <v>-1</v>
      </c>
      <c r="AI13" s="28">
        <v>1</v>
      </c>
      <c r="AJ13" s="161"/>
    </row>
    <row r="14" spans="2:40" ht="15.75" x14ac:dyDescent="0.25">
      <c r="B14" s="32"/>
      <c r="E14" s="38"/>
      <c r="I14" s="29" t="s">
        <v>50</v>
      </c>
      <c r="J14" s="24">
        <v>0</v>
      </c>
      <c r="K14" s="29">
        <v>-1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-1</v>
      </c>
      <c r="S14" s="26">
        <v>0</v>
      </c>
      <c r="T14" s="27">
        <v>-4.2</v>
      </c>
      <c r="U14" s="27">
        <v>6</v>
      </c>
      <c r="V14" s="28">
        <f>T14+U14*(-$T$14/$U$14)</f>
        <v>0</v>
      </c>
      <c r="W14" s="26">
        <v>0</v>
      </c>
      <c r="X14" s="27">
        <v>-5.4</v>
      </c>
      <c r="Y14" s="27">
        <v>2</v>
      </c>
      <c r="Z14" s="28">
        <f>X14+Y14*(-$X$14/$Y$14)</f>
        <v>0</v>
      </c>
      <c r="AA14" s="26">
        <f t="shared" si="0"/>
        <v>0</v>
      </c>
      <c r="AB14" s="27">
        <v>-4.2</v>
      </c>
      <c r="AC14" s="27">
        <v>8</v>
      </c>
      <c r="AD14" s="28">
        <f>AB14+AC14*(-$AB$14/$AC$14)</f>
        <v>0</v>
      </c>
      <c r="AE14" s="26">
        <f t="shared" ref="AE14:AE15" si="6">W14+AA14</f>
        <v>0</v>
      </c>
      <c r="AF14" s="27">
        <v>-4.2</v>
      </c>
      <c r="AG14" s="27">
        <v>3</v>
      </c>
      <c r="AH14" s="28">
        <f t="shared" si="3"/>
        <v>0</v>
      </c>
      <c r="AI14" s="28">
        <v>0</v>
      </c>
      <c r="AJ14" s="161"/>
    </row>
    <row r="15" spans="2:40" ht="21" thickBot="1" x14ac:dyDescent="0.4">
      <c r="B15" s="6" t="s">
        <v>24</v>
      </c>
      <c r="C15" s="7" t="s">
        <v>25</v>
      </c>
      <c r="D15" s="7" t="s">
        <v>26</v>
      </c>
      <c r="E15" s="7" t="s">
        <v>27</v>
      </c>
      <c r="F15" s="8" t="s">
        <v>28</v>
      </c>
      <c r="G15" s="9" t="s">
        <v>13</v>
      </c>
      <c r="I15" s="41" t="s">
        <v>51</v>
      </c>
      <c r="J15" s="42">
        <v>-67</v>
      </c>
      <c r="K15" s="41">
        <v>-0.2</v>
      </c>
      <c r="L15" s="43">
        <v>1</v>
      </c>
      <c r="M15" s="43">
        <v>1.8</v>
      </c>
      <c r="N15" s="43">
        <v>0.5</v>
      </c>
      <c r="O15" s="43">
        <v>0.2</v>
      </c>
      <c r="P15" s="43">
        <v>0</v>
      </c>
      <c r="Q15" s="43">
        <v>0</v>
      </c>
      <c r="R15" s="43">
        <v>0</v>
      </c>
      <c r="S15" s="44">
        <v>0</v>
      </c>
      <c r="T15" s="45">
        <v>1</v>
      </c>
      <c r="U15" s="45">
        <v>0</v>
      </c>
      <c r="V15" s="46">
        <f>T15+U15*(-$T$14/$U$14)</f>
        <v>1</v>
      </c>
      <c r="W15" s="44">
        <v>0</v>
      </c>
      <c r="X15" s="45">
        <v>1</v>
      </c>
      <c r="Y15" s="45">
        <v>0</v>
      </c>
      <c r="Z15" s="46">
        <f>X15+Y15*(-$X$14/$Y$14)</f>
        <v>1</v>
      </c>
      <c r="AA15" s="45">
        <f t="shared" si="0"/>
        <v>0</v>
      </c>
      <c r="AB15" s="45">
        <v>1</v>
      </c>
      <c r="AC15" s="45">
        <v>0</v>
      </c>
      <c r="AD15" s="46">
        <f>AB15+AC15*(-$AB$14/$AC$14)</f>
        <v>1</v>
      </c>
      <c r="AE15" s="45">
        <f t="shared" si="6"/>
        <v>0</v>
      </c>
      <c r="AF15" s="45">
        <v>1</v>
      </c>
      <c r="AG15" s="45">
        <v>0</v>
      </c>
      <c r="AH15" s="46">
        <f t="shared" si="3"/>
        <v>1</v>
      </c>
      <c r="AI15" s="46">
        <v>-1</v>
      </c>
      <c r="AJ15" s="161"/>
    </row>
    <row r="16" spans="2:40" ht="15.75" x14ac:dyDescent="0.25">
      <c r="B16" s="20" t="s">
        <v>45</v>
      </c>
      <c r="C16" s="21">
        <v>-136.9</v>
      </c>
      <c r="D16" s="21">
        <f t="shared" ref="D16:E18" si="7">D4</f>
        <v>300.12884335522256</v>
      </c>
      <c r="E16" s="22">
        <f t="shared" si="7"/>
        <v>3500</v>
      </c>
      <c r="F16" s="21">
        <f>(D16+E16)/(-C16)-V4</f>
        <v>28.658428366363932</v>
      </c>
      <c r="G16" s="23">
        <f>1/F16</f>
        <v>3.4893748785390075E-2</v>
      </c>
      <c r="J16" s="252" t="s">
        <v>52</v>
      </c>
      <c r="K16" s="255" t="s">
        <v>53</v>
      </c>
      <c r="R16" s="47" t="s">
        <v>54</v>
      </c>
      <c r="S16" s="48">
        <f t="shared" ref="S16:AD16" si="8">SUMPRODUCT($L$4:$L$15,S4:S15)</f>
        <v>0</v>
      </c>
      <c r="T16" s="48">
        <f t="shared" si="8"/>
        <v>0</v>
      </c>
      <c r="U16" s="48">
        <f t="shared" si="8"/>
        <v>0</v>
      </c>
      <c r="V16" s="48">
        <f t="shared" si="8"/>
        <v>0</v>
      </c>
      <c r="W16" s="48">
        <f t="shared" si="8"/>
        <v>0</v>
      </c>
      <c r="X16" s="48">
        <f t="shared" si="8"/>
        <v>0</v>
      </c>
      <c r="Y16" s="48">
        <f t="shared" si="8"/>
        <v>0</v>
      </c>
      <c r="Z16" s="48">
        <f t="shared" si="8"/>
        <v>0</v>
      </c>
      <c r="AA16" s="48">
        <f t="shared" si="8"/>
        <v>0</v>
      </c>
      <c r="AB16" s="48">
        <f t="shared" si="8"/>
        <v>0</v>
      </c>
      <c r="AC16" s="48">
        <f t="shared" si="8"/>
        <v>0</v>
      </c>
      <c r="AD16" s="49">
        <f t="shared" si="8"/>
        <v>0</v>
      </c>
      <c r="AE16" s="48">
        <f t="shared" ref="AE16:AH16" si="9">SUMPRODUCT($L$4:$L$15,AE4:AE15)</f>
        <v>0</v>
      </c>
      <c r="AF16" s="48">
        <f t="shared" si="9"/>
        <v>0</v>
      </c>
      <c r="AG16" s="48">
        <f t="shared" si="9"/>
        <v>0</v>
      </c>
      <c r="AH16" s="49">
        <f t="shared" si="9"/>
        <v>0</v>
      </c>
      <c r="AI16" s="49">
        <f t="shared" ref="AI16" si="10">SUMPRODUCT($L$4:$L$15,AI4:AI15)</f>
        <v>0</v>
      </c>
      <c r="AJ16" s="27"/>
    </row>
    <row r="17" spans="2:36" ht="15.75" x14ac:dyDescent="0.25">
      <c r="B17" s="20" t="s">
        <v>19</v>
      </c>
      <c r="C17" s="21">
        <f>C5</f>
        <v>-87.34</v>
      </c>
      <c r="D17" s="21">
        <f t="shared" si="7"/>
        <v>304.9798433552225</v>
      </c>
      <c r="E17" s="22">
        <f t="shared" si="7"/>
        <v>3500</v>
      </c>
      <c r="F17" s="21">
        <f>(D17+E17)/(-C17)-Z5</f>
        <v>46.465145905143373</v>
      </c>
      <c r="G17" s="23">
        <f t="shared" ref="G17:G18" si="11">1/F17</f>
        <v>2.1521507799447302E-2</v>
      </c>
      <c r="J17" s="253"/>
      <c r="K17" s="256"/>
      <c r="R17" s="50" t="s">
        <v>55</v>
      </c>
      <c r="S17" s="48">
        <f t="shared" ref="S17:AD17" si="12">SUMPRODUCT($M$4:$M$15,S4:S15)</f>
        <v>1</v>
      </c>
      <c r="T17" s="48">
        <f t="shared" si="12"/>
        <v>-2.2204460492503131E-16</v>
      </c>
      <c r="U17" s="48">
        <f t="shared" si="12"/>
        <v>0</v>
      </c>
      <c r="V17" s="48">
        <f t="shared" si="12"/>
        <v>-2.2204460492503131E-16</v>
      </c>
      <c r="W17" s="48">
        <f t="shared" si="12"/>
        <v>0</v>
      </c>
      <c r="X17" s="48">
        <f t="shared" si="12"/>
        <v>-6.6613381477509392E-16</v>
      </c>
      <c r="Y17" s="48">
        <f t="shared" si="12"/>
        <v>0</v>
      </c>
      <c r="Z17" s="48">
        <f t="shared" si="12"/>
        <v>-6.6613381477509392E-16</v>
      </c>
      <c r="AA17" s="48">
        <f t="shared" si="12"/>
        <v>0</v>
      </c>
      <c r="AB17" s="48">
        <f t="shared" si="12"/>
        <v>-2.2204460492503131E-16</v>
      </c>
      <c r="AC17" s="48">
        <f t="shared" si="12"/>
        <v>0</v>
      </c>
      <c r="AD17" s="51">
        <f t="shared" si="12"/>
        <v>-6.6613381477509392E-16</v>
      </c>
      <c r="AE17" s="48">
        <f t="shared" ref="AE17:AH17" si="13">SUMPRODUCT($M$4:$M$15,AE4:AE15)</f>
        <v>0</v>
      </c>
      <c r="AF17" s="48">
        <f t="shared" si="13"/>
        <v>-2.2204460492503131E-16</v>
      </c>
      <c r="AG17" s="48">
        <f t="shared" si="13"/>
        <v>0</v>
      </c>
      <c r="AH17" s="51">
        <f t="shared" si="13"/>
        <v>-6.6613381477509392E-16</v>
      </c>
      <c r="AI17" s="51">
        <f t="shared" ref="AI17" si="14">SUMPRODUCT($M$4:$M$15,AI4:AI15)</f>
        <v>-4.2</v>
      </c>
      <c r="AJ17" s="27"/>
    </row>
    <row r="18" spans="2:36" ht="15.75" x14ac:dyDescent="0.25">
      <c r="B18" s="20" t="s">
        <v>65</v>
      </c>
      <c r="C18" s="21">
        <f>C16+C17</f>
        <v>-224.24</v>
      </c>
      <c r="D18" s="21">
        <f t="shared" si="7"/>
        <v>301.07209335522253</v>
      </c>
      <c r="E18" s="22">
        <f t="shared" si="7"/>
        <v>3500</v>
      </c>
      <c r="F18" s="21">
        <f>(D18+E18)/(-C18)-AD4</f>
        <v>17.675910155883084</v>
      </c>
      <c r="G18" s="23">
        <f t="shared" si="11"/>
        <v>5.6574173051404053E-2</v>
      </c>
      <c r="J18" s="253"/>
      <c r="K18" s="256"/>
      <c r="R18" s="50" t="s">
        <v>56</v>
      </c>
      <c r="S18" s="48">
        <f t="shared" ref="S18:AD18" si="15">SUMPRODUCT($N$4:$N$15,S4:S15)</f>
        <v>0</v>
      </c>
      <c r="T18" s="48">
        <f t="shared" si="15"/>
        <v>0</v>
      </c>
      <c r="U18" s="48">
        <f t="shared" si="15"/>
        <v>0</v>
      </c>
      <c r="V18" s="48">
        <f t="shared" si="15"/>
        <v>0</v>
      </c>
      <c r="W18" s="48">
        <f t="shared" si="15"/>
        <v>0</v>
      </c>
      <c r="X18" s="48">
        <f t="shared" si="15"/>
        <v>0</v>
      </c>
      <c r="Y18" s="48">
        <f t="shared" si="15"/>
        <v>0</v>
      </c>
      <c r="Z18" s="48">
        <f t="shared" si="15"/>
        <v>4.4408920985006262E-16</v>
      </c>
      <c r="AA18" s="48">
        <f t="shared" si="15"/>
        <v>0</v>
      </c>
      <c r="AB18" s="48">
        <f t="shared" si="15"/>
        <v>0</v>
      </c>
      <c r="AC18" s="48">
        <f t="shared" si="15"/>
        <v>0</v>
      </c>
      <c r="AD18" s="51">
        <f t="shared" si="15"/>
        <v>0</v>
      </c>
      <c r="AE18" s="48">
        <f t="shared" ref="AE18:AH18" si="16">SUMPRODUCT($N$4:$N$15,AE4:AE15)</f>
        <v>0</v>
      </c>
      <c r="AF18" s="48">
        <f t="shared" si="16"/>
        <v>0</v>
      </c>
      <c r="AG18" s="48">
        <f t="shared" si="16"/>
        <v>0</v>
      </c>
      <c r="AH18" s="51">
        <f t="shared" si="16"/>
        <v>0</v>
      </c>
      <c r="AI18" s="51">
        <f t="shared" ref="AI18" si="17">SUMPRODUCT($N$4:$N$15,AI4:AI15)</f>
        <v>0</v>
      </c>
      <c r="AJ18" s="27"/>
    </row>
    <row r="19" spans="2:36" ht="15.75" x14ac:dyDescent="0.25">
      <c r="B19" s="64"/>
      <c r="C19" s="64"/>
      <c r="D19" s="31"/>
      <c r="E19" s="31"/>
      <c r="F19" s="40"/>
      <c r="G19" s="63"/>
      <c r="J19" s="253"/>
      <c r="K19" s="256"/>
      <c r="R19" s="50" t="s">
        <v>57</v>
      </c>
      <c r="S19" s="48">
        <f t="shared" ref="S19:AD19" si="18">SUMPRODUCT($O$4:$O$15,S4:S15)</f>
        <v>0</v>
      </c>
      <c r="T19" s="48">
        <f t="shared" si="18"/>
        <v>0</v>
      </c>
      <c r="U19" s="48">
        <f t="shared" si="18"/>
        <v>0</v>
      </c>
      <c r="V19" s="48">
        <f t="shared" si="18"/>
        <v>-5.5511151231257827E-17</v>
      </c>
      <c r="W19" s="48">
        <f t="shared" si="18"/>
        <v>0</v>
      </c>
      <c r="X19" s="48">
        <f t="shared" si="18"/>
        <v>0</v>
      </c>
      <c r="Y19" s="48">
        <f t="shared" si="18"/>
        <v>0</v>
      </c>
      <c r="Z19" s="48">
        <f t="shared" si="18"/>
        <v>-1.6653345369377348E-16</v>
      </c>
      <c r="AA19" s="48">
        <f t="shared" si="18"/>
        <v>0</v>
      </c>
      <c r="AB19" s="48">
        <f t="shared" si="18"/>
        <v>0</v>
      </c>
      <c r="AC19" s="48">
        <f t="shared" si="18"/>
        <v>0</v>
      </c>
      <c r="AD19" s="51">
        <f t="shared" si="18"/>
        <v>-5.5511151231257827E-17</v>
      </c>
      <c r="AE19" s="48">
        <f t="shared" ref="AE19:AH19" si="19">SUMPRODUCT($O$4:$O$15,AE4:AE15)</f>
        <v>0</v>
      </c>
      <c r="AF19" s="48">
        <f t="shared" si="19"/>
        <v>0</v>
      </c>
      <c r="AG19" s="48">
        <f t="shared" si="19"/>
        <v>0</v>
      </c>
      <c r="AH19" s="51">
        <f t="shared" si="19"/>
        <v>5.5511151231257827E-17</v>
      </c>
      <c r="AI19" s="51">
        <f t="shared" ref="AI19" si="20">SUMPRODUCT($O$4:$O$15,AI4:AI15)</f>
        <v>0</v>
      </c>
      <c r="AJ19" s="27"/>
    </row>
    <row r="20" spans="2:36" ht="15.75" x14ac:dyDescent="0.25">
      <c r="B20" s="64"/>
      <c r="C20" s="64"/>
      <c r="D20" s="31"/>
      <c r="E20" s="31"/>
      <c r="F20" s="31"/>
      <c r="G20" s="65"/>
      <c r="J20" s="253"/>
      <c r="K20" s="256"/>
      <c r="R20" s="50" t="s">
        <v>58</v>
      </c>
      <c r="S20" s="48">
        <f t="shared" ref="S20:AD20" si="21">SUMPRODUCT($P$4:$P$15,S4:S15)</f>
        <v>0</v>
      </c>
      <c r="T20" s="48">
        <f t="shared" si="21"/>
        <v>0</v>
      </c>
      <c r="U20" s="48">
        <f t="shared" si="21"/>
        <v>0</v>
      </c>
      <c r="V20" s="48">
        <f t="shared" si="21"/>
        <v>0</v>
      </c>
      <c r="W20" s="48">
        <f t="shared" si="21"/>
        <v>0</v>
      </c>
      <c r="X20" s="48">
        <f t="shared" si="21"/>
        <v>0</v>
      </c>
      <c r="Y20" s="48">
        <f t="shared" si="21"/>
        <v>0</v>
      </c>
      <c r="Z20" s="48">
        <f t="shared" si="21"/>
        <v>0</v>
      </c>
      <c r="AA20" s="48">
        <f t="shared" si="21"/>
        <v>0</v>
      </c>
      <c r="AB20" s="48">
        <f t="shared" si="21"/>
        <v>0</v>
      </c>
      <c r="AC20" s="48">
        <f t="shared" si="21"/>
        <v>0</v>
      </c>
      <c r="AD20" s="51">
        <f t="shared" si="21"/>
        <v>0</v>
      </c>
      <c r="AE20" s="48">
        <f t="shared" ref="AE20:AH20" si="22">SUMPRODUCT($P$4:$P$15,AE4:AE15)</f>
        <v>0</v>
      </c>
      <c r="AF20" s="48">
        <f t="shared" si="22"/>
        <v>0</v>
      </c>
      <c r="AG20" s="48">
        <f t="shared" si="22"/>
        <v>0</v>
      </c>
      <c r="AH20" s="51">
        <f t="shared" si="22"/>
        <v>0</v>
      </c>
      <c r="AI20" s="51">
        <f t="shared" ref="AI20" si="23">SUMPRODUCT($P$4:$P$15,AI4:AI15)</f>
        <v>0</v>
      </c>
      <c r="AJ20" s="27"/>
    </row>
    <row r="21" spans="2:36" ht="15.75" x14ac:dyDescent="0.25">
      <c r="B21" s="64"/>
      <c r="C21" s="64"/>
      <c r="D21" s="31"/>
      <c r="E21" s="31"/>
      <c r="F21" s="31"/>
      <c r="G21" s="65"/>
      <c r="J21" s="253"/>
      <c r="K21" s="256"/>
      <c r="R21" s="50" t="s">
        <v>59</v>
      </c>
      <c r="S21" s="48">
        <f t="shared" ref="S21:AD21" si="24">SUMPRODUCT($Q$4:$Q$15,S4:S15)</f>
        <v>0</v>
      </c>
      <c r="T21" s="48">
        <f t="shared" si="24"/>
        <v>0</v>
      </c>
      <c r="U21" s="48">
        <f t="shared" si="24"/>
        <v>0</v>
      </c>
      <c r="V21" s="48">
        <f t="shared" si="24"/>
        <v>0</v>
      </c>
      <c r="W21" s="48">
        <f t="shared" si="24"/>
        <v>0</v>
      </c>
      <c r="X21" s="48">
        <f t="shared" si="24"/>
        <v>0</v>
      </c>
      <c r="Y21" s="48">
        <f t="shared" si="24"/>
        <v>0</v>
      </c>
      <c r="Z21" s="48">
        <f t="shared" si="24"/>
        <v>0</v>
      </c>
      <c r="AA21" s="48">
        <f t="shared" si="24"/>
        <v>0</v>
      </c>
      <c r="AB21" s="48">
        <f t="shared" si="24"/>
        <v>0</v>
      </c>
      <c r="AC21" s="48">
        <f t="shared" si="24"/>
        <v>0</v>
      </c>
      <c r="AD21" s="51">
        <f t="shared" si="24"/>
        <v>0</v>
      </c>
      <c r="AE21" s="48">
        <f t="shared" ref="AE21:AH21" si="25">SUMPRODUCT($Q$4:$Q$15,AE4:AE15)</f>
        <v>0</v>
      </c>
      <c r="AF21" s="48">
        <f t="shared" si="25"/>
        <v>0</v>
      </c>
      <c r="AG21" s="48">
        <f t="shared" si="25"/>
        <v>0</v>
      </c>
      <c r="AH21" s="51">
        <f t="shared" si="25"/>
        <v>0</v>
      </c>
      <c r="AI21" s="51">
        <f t="shared" ref="AI21" si="26">SUMPRODUCT($Q$4:$Q$15,AI4:AI15)</f>
        <v>0</v>
      </c>
      <c r="AJ21" s="27"/>
    </row>
    <row r="22" spans="2:36" ht="15.75" x14ac:dyDescent="0.25">
      <c r="B22" s="64"/>
      <c r="C22" s="64"/>
      <c r="D22" s="31"/>
      <c r="E22" s="31"/>
      <c r="F22" s="31"/>
      <c r="G22" s="65"/>
      <c r="J22" s="253"/>
      <c r="K22" s="256"/>
      <c r="R22" s="52" t="s">
        <v>34</v>
      </c>
      <c r="S22" s="53">
        <f t="shared" ref="S22:AD22" si="27">SUMPRODUCT($R$4:$R$15,S4:S15)</f>
        <v>1</v>
      </c>
      <c r="T22" s="53">
        <f t="shared" si="27"/>
        <v>0</v>
      </c>
      <c r="U22" s="53">
        <f t="shared" si="27"/>
        <v>0</v>
      </c>
      <c r="V22" s="53">
        <f t="shared" si="27"/>
        <v>0</v>
      </c>
      <c r="W22" s="53">
        <f t="shared" si="27"/>
        <v>0</v>
      </c>
      <c r="X22" s="53">
        <f t="shared" si="27"/>
        <v>0</v>
      </c>
      <c r="Y22" s="53">
        <f t="shared" si="27"/>
        <v>0</v>
      </c>
      <c r="Z22" s="53">
        <f t="shared" si="27"/>
        <v>0</v>
      </c>
      <c r="AA22" s="53">
        <f t="shared" si="27"/>
        <v>0</v>
      </c>
      <c r="AB22" s="53">
        <f t="shared" si="27"/>
        <v>0</v>
      </c>
      <c r="AC22" s="53">
        <f t="shared" si="27"/>
        <v>0</v>
      </c>
      <c r="AD22" s="54">
        <f t="shared" si="27"/>
        <v>0</v>
      </c>
      <c r="AE22" s="53">
        <f t="shared" ref="AE22:AH22" si="28">SUMPRODUCT($R$4:$R$15,AE4:AE15)</f>
        <v>0</v>
      </c>
      <c r="AF22" s="53">
        <f t="shared" si="28"/>
        <v>0</v>
      </c>
      <c r="AG22" s="53">
        <f t="shared" si="28"/>
        <v>0</v>
      </c>
      <c r="AH22" s="54">
        <f t="shared" si="28"/>
        <v>0</v>
      </c>
      <c r="AI22" s="54">
        <f t="shared" ref="AI22" si="29">SUMPRODUCT($R$4:$R$15,AI4:AI15)</f>
        <v>0</v>
      </c>
      <c r="AJ22" s="27"/>
    </row>
    <row r="23" spans="2:36" ht="15.75" x14ac:dyDescent="0.25">
      <c r="B23" s="64"/>
      <c r="C23" s="64"/>
      <c r="D23" s="31"/>
      <c r="E23" s="31"/>
      <c r="F23" s="31"/>
      <c r="G23" s="65"/>
      <c r="J23" s="253"/>
      <c r="K23" s="256"/>
      <c r="V23" s="55" t="s">
        <v>60</v>
      </c>
      <c r="Z23" s="55" t="s">
        <v>60</v>
      </c>
      <c r="AD23" s="55" t="s">
        <v>60</v>
      </c>
      <c r="AH23" s="55" t="s">
        <v>60</v>
      </c>
    </row>
    <row r="24" spans="2:36" ht="15.75" x14ac:dyDescent="0.25">
      <c r="B24" s="64"/>
      <c r="C24" s="64"/>
      <c r="D24" s="31"/>
      <c r="E24" s="31"/>
      <c r="F24" s="31"/>
      <c r="G24" s="65"/>
      <c r="J24" s="253"/>
      <c r="K24" s="256"/>
    </row>
    <row r="25" spans="2:36" ht="18" x14ac:dyDescent="0.25">
      <c r="B25" s="64"/>
      <c r="C25" s="64"/>
      <c r="D25" s="31"/>
      <c r="E25" s="31"/>
      <c r="F25" s="31"/>
      <c r="G25" s="65"/>
      <c r="J25" s="253"/>
      <c r="K25" s="256"/>
      <c r="N25" s="258" t="s">
        <v>61</v>
      </c>
      <c r="O25" s="259"/>
      <c r="P25" s="259"/>
      <c r="Q25" s="260"/>
      <c r="R25" s="56" t="s">
        <v>62</v>
      </c>
      <c r="S25" s="57">
        <f t="shared" ref="S25:AD25" si="30">SUMPRODUCT($J$4:$J$15,S4:S15)</f>
        <v>-267.41000000000003</v>
      </c>
      <c r="T25" s="57">
        <f t="shared" si="30"/>
        <v>-67.936000000000035</v>
      </c>
      <c r="U25" s="57">
        <f t="shared" si="30"/>
        <v>468.73</v>
      </c>
      <c r="V25" s="58">
        <f t="shared" si="30"/>
        <v>260.17500000000013</v>
      </c>
      <c r="W25" s="57">
        <f t="shared" si="30"/>
        <v>-87.34</v>
      </c>
      <c r="X25" s="57">
        <f t="shared" si="30"/>
        <v>-161.6819999999999</v>
      </c>
      <c r="Y25" s="57">
        <f t="shared" si="30"/>
        <v>158.04000000000002</v>
      </c>
      <c r="Z25" s="58">
        <f t="shared" si="30"/>
        <v>265.02600000000007</v>
      </c>
      <c r="AA25" s="57">
        <f t="shared" si="30"/>
        <v>-354.75</v>
      </c>
      <c r="AB25" s="57">
        <f t="shared" si="30"/>
        <v>-67.936000000000035</v>
      </c>
      <c r="AC25" s="57">
        <f t="shared" si="30"/>
        <v>626.77</v>
      </c>
      <c r="AD25" s="58">
        <f t="shared" si="30"/>
        <v>261.1182500000001</v>
      </c>
      <c r="AE25" s="57">
        <f t="shared" ref="AE25:AH25" si="31">SUMPRODUCT($J$4:$J$15,AE4:AE15)</f>
        <v>-415.59000000000003</v>
      </c>
      <c r="AF25" s="57">
        <f t="shared" si="31"/>
        <v>-67.936000000000035</v>
      </c>
      <c r="AG25" s="57">
        <f t="shared" si="31"/>
        <v>26.57</v>
      </c>
      <c r="AH25" s="58">
        <f t="shared" si="31"/>
        <v>-30.738000000000056</v>
      </c>
    </row>
    <row r="26" spans="2:36" ht="18.75" customHeight="1" x14ac:dyDescent="0.25">
      <c r="B26" s="64"/>
      <c r="C26" s="64"/>
      <c r="D26" s="31"/>
      <c r="E26" s="31"/>
      <c r="F26" s="31"/>
      <c r="G26" s="65"/>
      <c r="J26" s="253"/>
      <c r="K26" s="256"/>
      <c r="N26" s="258" t="s">
        <v>63</v>
      </c>
      <c r="O26" s="259"/>
      <c r="P26" s="259"/>
      <c r="Q26" s="260"/>
      <c r="R26" s="59" t="s">
        <v>64</v>
      </c>
      <c r="S26" s="60">
        <f>S25+$AM$4*$AM$5*LN(0.0000001^(S13))</f>
        <v>-307.36384335522246</v>
      </c>
      <c r="T26" s="60">
        <f t="shared" ref="T26:U26" si="32">T25+$AM$4*$AM$5*LN(0.0000001^(T13))</f>
        <v>139.82398544715653</v>
      </c>
      <c r="U26" s="60">
        <f t="shared" si="32"/>
        <v>229.00693986866554</v>
      </c>
      <c r="V26" s="61">
        <f>V25+$AM$4*$AM$5*LN(0.0000001^(V13))</f>
        <v>300.12884335522256</v>
      </c>
      <c r="W26" s="60">
        <f>W25+$AM$4*$AM$5*LN(0.0000001^(W13))</f>
        <v>-87.34</v>
      </c>
      <c r="X26" s="60">
        <f t="shared" ref="X26:Y26" si="33">X25+$AM$4*$AM$5*LN(0.0000001^(X13))</f>
        <v>94.022597473423588</v>
      </c>
      <c r="Y26" s="60">
        <f t="shared" si="33"/>
        <v>78.132313289555185</v>
      </c>
      <c r="Z26" s="61">
        <f>Z25+$AM$4*$AM$5*LN(0.0000001^(Z13))</f>
        <v>304.9798433552225</v>
      </c>
      <c r="AA26" s="60">
        <f>AA25+$AM$4*$AM$5*LN(0.0000001^(AA13))</f>
        <v>-354.75</v>
      </c>
      <c r="AB26" s="60">
        <f t="shared" ref="AB26:AC26" si="34">AB25+$AM$4*$AM$5*LN(0.0000001^(AB13))</f>
        <v>139.82398544715653</v>
      </c>
      <c r="AC26" s="60">
        <f t="shared" si="34"/>
        <v>307.13925315822064</v>
      </c>
      <c r="AD26" s="61">
        <f>AD25+$AM$4*$AM$5*LN(0.0000001^(AD13))</f>
        <v>301.07209335522253</v>
      </c>
      <c r="AE26" s="60">
        <f>AE25+$AM$4*$AM$5*LN(0.0000001^(AE13))</f>
        <v>-415.59000000000003</v>
      </c>
      <c r="AF26" s="60">
        <f t="shared" ref="AF26:AG26" si="35">AF25+$AM$4*$AM$5*LN(0.0000001^(AF13))</f>
        <v>139.82398544715653</v>
      </c>
      <c r="AG26" s="60">
        <f t="shared" si="35"/>
        <v>-93.291530065667246</v>
      </c>
      <c r="AH26" s="61">
        <f>AH25+$AM$4*$AM$5*LN(0.0000001^(AH13))</f>
        <v>9.2158433552223613</v>
      </c>
    </row>
    <row r="27" spans="2:36" ht="15.75" x14ac:dyDescent="0.25">
      <c r="B27" s="64"/>
      <c r="C27" s="64"/>
      <c r="D27" s="31"/>
      <c r="E27" s="31"/>
      <c r="F27" s="31"/>
      <c r="G27" s="65"/>
      <c r="J27" s="253"/>
      <c r="K27" s="256"/>
      <c r="O27" s="33"/>
      <c r="P27" s="33"/>
      <c r="Q27" s="33"/>
    </row>
    <row r="28" spans="2:36" ht="15.75" x14ac:dyDescent="0.25">
      <c r="B28" s="64"/>
      <c r="C28" s="64"/>
      <c r="D28" s="31"/>
      <c r="E28" s="31"/>
      <c r="F28" s="31"/>
      <c r="G28" s="65"/>
      <c r="J28" s="253"/>
      <c r="K28" s="256"/>
    </row>
    <row r="29" spans="2:36" x14ac:dyDescent="0.25">
      <c r="B29" s="62"/>
      <c r="C29" s="62"/>
      <c r="D29" s="62"/>
      <c r="E29" s="62"/>
      <c r="F29" s="62"/>
      <c r="G29" s="63"/>
      <c r="J29" s="253"/>
      <c r="K29" s="256"/>
    </row>
    <row r="30" spans="2:36" x14ac:dyDescent="0.25">
      <c r="B30" s="62"/>
      <c r="C30" s="62"/>
      <c r="D30" s="62"/>
      <c r="E30" s="62"/>
      <c r="F30" s="62"/>
      <c r="G30" s="63"/>
      <c r="J30" s="253"/>
      <c r="K30" s="256"/>
    </row>
    <row r="31" spans="2:36" x14ac:dyDescent="0.25">
      <c r="B31" s="62"/>
      <c r="C31" s="62"/>
      <c r="D31" s="62"/>
      <c r="E31" s="62"/>
      <c r="F31" s="62"/>
      <c r="G31" s="63"/>
      <c r="J31" s="253"/>
      <c r="K31" s="256"/>
    </row>
    <row r="32" spans="2:36" ht="15.75" thickBot="1" x14ac:dyDescent="0.3">
      <c r="B32" s="62"/>
      <c r="C32" s="62"/>
      <c r="D32" s="62"/>
      <c r="E32" s="62"/>
      <c r="F32" s="62"/>
      <c r="G32" s="63"/>
      <c r="J32" s="254"/>
      <c r="K32" s="257"/>
    </row>
    <row r="33" spans="2:26" x14ac:dyDescent="0.25">
      <c r="B33" s="62"/>
      <c r="C33" s="62"/>
      <c r="D33" s="62"/>
      <c r="E33" s="62"/>
      <c r="F33" s="62"/>
      <c r="G33" s="63"/>
      <c r="U33" s="156"/>
      <c r="V33" s="86">
        <v>10</v>
      </c>
      <c r="W33" s="86">
        <v>20</v>
      </c>
      <c r="X33" s="87">
        <v>30</v>
      </c>
      <c r="Y33"/>
      <c r="Z33"/>
    </row>
    <row r="34" spans="2:26" x14ac:dyDescent="0.25">
      <c r="B34" s="62"/>
      <c r="C34" s="62"/>
      <c r="D34" s="62"/>
      <c r="E34" s="62"/>
      <c r="F34" s="62"/>
      <c r="G34" s="63"/>
      <c r="U34" s="157" t="s">
        <v>73</v>
      </c>
      <c r="V34" s="152">
        <f>(1.28*10^(12))*EXP(-8183/(273+V33))/(1+((2.05*10^(-9))/(10^(-7.5)))+((10^(-7.5))/(1.66*10^(-7))))</f>
        <v>0.2823217413975958</v>
      </c>
      <c r="W34" s="152">
        <f t="shared" ref="W34:X34" si="36">(1.28*10^(12))*EXP(-8183/(273+W33))/(1+((2.05*10^(-9))/(10^(-7.5)))+((10^(-7.5))/(1.66*10^(-7))))</f>
        <v>0.75741706690483923</v>
      </c>
      <c r="X34" s="153">
        <f t="shared" si="36"/>
        <v>1.9038644750378029</v>
      </c>
      <c r="Y34"/>
      <c r="Z34"/>
    </row>
    <row r="35" spans="2:26" x14ac:dyDescent="0.25">
      <c r="B35" s="62"/>
      <c r="C35" s="62"/>
      <c r="D35" s="62"/>
      <c r="E35" s="62"/>
      <c r="F35" s="62"/>
      <c r="G35" s="63"/>
      <c r="U35" s="158" t="s">
        <v>74</v>
      </c>
      <c r="V35" s="154">
        <f>(6.69*10^(7))*EXP(-5295/(273+V33))/(1+((2.05*10^(-9))/(10^(-7.5)))+((10^(-7.5))/(1.66*10^(-7))))</f>
        <v>0.39894464591466677</v>
      </c>
      <c r="W35" s="154">
        <f t="shared" ref="W35:X35" si="37">(6.69*10^(7))*EXP(-5295/(273+W33))/(1+((2.05*10^(-9))/(10^(-7.5)))+((10^(-7.5))/(1.66*10^(-7))))</f>
        <v>0.75551351479496387</v>
      </c>
      <c r="X35" s="155">
        <f t="shared" si="37"/>
        <v>1.3717224615090331</v>
      </c>
      <c r="Y35"/>
      <c r="Z35"/>
    </row>
    <row r="36" spans="2:26" x14ac:dyDescent="0.25">
      <c r="U36" s="157" t="s">
        <v>75</v>
      </c>
      <c r="V36" s="152">
        <f>(1.651*10^(11))*EXP(-8183/(273+V33))</f>
        <v>4.5712789685116106E-2</v>
      </c>
      <c r="W36" s="152">
        <f t="shared" ref="W36:X36" si="38">(1.651*10^(11))*EXP(-8183/(273+W33))</f>
        <v>0.12263896826343848</v>
      </c>
      <c r="X36" s="153">
        <f t="shared" si="38"/>
        <v>0.30826870047461469</v>
      </c>
      <c r="Y36"/>
      <c r="Z36"/>
    </row>
    <row r="37" spans="2:26" ht="15.75" thickBot="1" x14ac:dyDescent="0.3">
      <c r="U37" s="159" t="s">
        <v>76</v>
      </c>
      <c r="V37" s="88">
        <f>(8.626*10^(6))*EXP(-5295/(273+V33))</f>
        <v>6.4573194919367791E-2</v>
      </c>
      <c r="W37" s="88">
        <f t="shared" ref="W37" si="39">(8.626*10^(6))*EXP(-5295/(273+W33))</f>
        <v>0.12228744502440833</v>
      </c>
      <c r="X37" s="89">
        <f>(8.626*10^(6))*EXP(-5295/(273+X33))</f>
        <v>0.22202704758505282</v>
      </c>
      <c r="Y37"/>
      <c r="Z37"/>
    </row>
    <row r="38" spans="2:26" x14ac:dyDescent="0.25">
      <c r="U38"/>
      <c r="V38"/>
      <c r="W38"/>
      <c r="X38"/>
      <c r="Y38"/>
      <c r="Z38"/>
    </row>
  </sheetData>
  <mergeCells count="8">
    <mergeCell ref="AE2:AH2"/>
    <mergeCell ref="S2:V2"/>
    <mergeCell ref="W2:Z2"/>
    <mergeCell ref="AA2:AD2"/>
    <mergeCell ref="J16:J32"/>
    <mergeCell ref="K16:K32"/>
    <mergeCell ref="N25:Q25"/>
    <mergeCell ref="N26:Q26"/>
  </mergeCells>
  <conditionalFormatting sqref="S4:AB6 AD4:AD6 AD8:AD15 S8:AB15">
    <cfRule type="cellIs" dxfId="26" priority="14" operator="equal">
      <formula>0</formula>
    </cfRule>
  </conditionalFormatting>
  <conditionalFormatting sqref="S16:AD22">
    <cfRule type="cellIs" dxfId="25" priority="15" operator="notBetween">
      <formula>0.0000000001</formula>
      <formula>-0.0000000001</formula>
    </cfRule>
    <cfRule type="cellIs" dxfId="24" priority="16" operator="between">
      <formula>0.0000000001</formula>
      <formula>-0.0000000001</formula>
    </cfRule>
  </conditionalFormatting>
  <conditionalFormatting sqref="S7:AB7 AD7">
    <cfRule type="cellIs" dxfId="23" priority="9" operator="equal">
      <formula>0</formula>
    </cfRule>
  </conditionalFormatting>
  <conditionalFormatting sqref="AC4:AC6 AC8:AC15">
    <cfRule type="cellIs" dxfId="22" priority="8" operator="equal">
      <formula>0</formula>
    </cfRule>
  </conditionalFormatting>
  <conditionalFormatting sqref="AC7">
    <cfRule type="cellIs" dxfId="21" priority="7" operator="equal">
      <formula>0</formula>
    </cfRule>
  </conditionalFormatting>
  <conditionalFormatting sqref="AG7">
    <cfRule type="cellIs" dxfId="20" priority="1" operator="equal">
      <formula>0</formula>
    </cfRule>
  </conditionalFormatting>
  <conditionalFormatting sqref="AE4:AF6 AE8:AF15 AH8:AI15 AH4:AJ4 AH5:AI6 AJ5:AJ15">
    <cfRule type="cellIs" dxfId="19" priority="4" operator="equal">
      <formula>0</formula>
    </cfRule>
  </conditionalFormatting>
  <conditionalFormatting sqref="AE16:AJ22">
    <cfRule type="cellIs" dxfId="18" priority="5" operator="notBetween">
      <formula>0.0000000001</formula>
      <formula>-0.0000000001</formula>
    </cfRule>
    <cfRule type="cellIs" dxfId="17" priority="6" operator="between">
      <formula>0.0000000001</formula>
      <formula>-0.0000000001</formula>
    </cfRule>
  </conditionalFormatting>
  <conditionalFormatting sqref="AE7:AF7 AH7:AI7">
    <cfRule type="cellIs" dxfId="16" priority="3" operator="equal">
      <formula>0</formula>
    </cfRule>
  </conditionalFormatting>
  <conditionalFormatting sqref="AG4:AG6 AG8:AG15">
    <cfRule type="cellIs" dxfId="15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0" sqref="K10"/>
    </sheetView>
  </sheetViews>
  <sheetFormatPr defaultColWidth="11.42578125" defaultRowHeight="12.75" x14ac:dyDescent="0.2"/>
  <cols>
    <col min="1" max="1" width="8.7109375" style="78" customWidth="1"/>
    <col min="2" max="3" width="12" style="82" customWidth="1"/>
    <col min="4" max="4" width="11.28515625" style="82" customWidth="1"/>
    <col min="5" max="6" width="12" style="82" customWidth="1"/>
    <col min="7" max="8" width="10.85546875" style="78" customWidth="1"/>
    <col min="9" max="16384" width="11.42578125" style="78"/>
  </cols>
  <sheetData>
    <row r="1" spans="1:11" x14ac:dyDescent="0.2">
      <c r="A1" s="176"/>
      <c r="B1" s="79" t="s">
        <v>131</v>
      </c>
      <c r="C1" s="79" t="s">
        <v>132</v>
      </c>
      <c r="D1" s="79" t="s">
        <v>133</v>
      </c>
      <c r="E1" s="80" t="s">
        <v>13</v>
      </c>
      <c r="F1" s="80" t="s">
        <v>72</v>
      </c>
      <c r="G1" s="80" t="s">
        <v>134</v>
      </c>
      <c r="H1" s="81" t="s">
        <v>135</v>
      </c>
      <c r="I1" s="81" t="s">
        <v>14</v>
      </c>
      <c r="J1" s="81" t="s">
        <v>66</v>
      </c>
      <c r="K1" s="68"/>
    </row>
    <row r="2" spans="1:11" x14ac:dyDescent="0.2">
      <c r="A2" s="194" t="s">
        <v>127</v>
      </c>
      <c r="B2" s="195">
        <f>(0.0359/17)/1000</f>
        <v>2.111764705882353E-6</v>
      </c>
      <c r="C2" s="195">
        <v>0</v>
      </c>
      <c r="D2" s="195">
        <f>(0.03/32)/1000</f>
        <v>9.3749999999999992E-7</v>
      </c>
      <c r="E2" s="195">
        <f>0.2*1.3659*(14/24.6)</f>
        <v>0.15546829268292681</v>
      </c>
      <c r="F2" s="195">
        <v>3500</v>
      </c>
      <c r="G2" s="196">
        <v>0</v>
      </c>
      <c r="H2" s="196">
        <v>0.01</v>
      </c>
      <c r="I2" s="197">
        <f>[1]Reactions!W36/24</f>
        <v>5.1099570109766033E-3</v>
      </c>
      <c r="J2" s="197" t="s">
        <v>15</v>
      </c>
      <c r="K2" s="68"/>
    </row>
    <row r="3" spans="1:11" x14ac:dyDescent="0.2">
      <c r="A3" s="194" t="s">
        <v>128</v>
      </c>
      <c r="B3" s="195">
        <v>0</v>
      </c>
      <c r="C3" s="195">
        <f>((1.85*10^(-4))/47)/1000</f>
        <v>3.9361702127659579E-9</v>
      </c>
      <c r="D3" s="195">
        <f>(0.06/32)/1000</f>
        <v>1.8749999999999998E-6</v>
      </c>
      <c r="E3" s="195">
        <f>0.1*1.3659*(14/24.6)</f>
        <v>7.7734146341463403E-2</v>
      </c>
      <c r="F3" s="195">
        <v>3500</v>
      </c>
      <c r="G3" s="196">
        <v>0</v>
      </c>
      <c r="H3" s="196">
        <v>8.7999999999999995E-2</v>
      </c>
      <c r="I3" s="197">
        <f>[1]Reactions!W37/24</f>
        <v>5.0953102093503474E-3</v>
      </c>
      <c r="J3" s="197" t="s">
        <v>129</v>
      </c>
      <c r="K3" s="68"/>
    </row>
    <row r="4" spans="1:11" x14ac:dyDescent="0.2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</row>
    <row r="5" spans="1:11" x14ac:dyDescent="0.2">
      <c r="A5" s="68"/>
      <c r="B5" s="68"/>
      <c r="C5" s="68"/>
      <c r="D5" s="68"/>
      <c r="E5" s="68"/>
      <c r="F5" s="68"/>
      <c r="G5" s="163"/>
      <c r="H5" s="163"/>
      <c r="I5" s="68"/>
      <c r="J5" s="68"/>
      <c r="K5" s="68"/>
    </row>
    <row r="6" spans="1:11" x14ac:dyDescent="0.2">
      <c r="B6" s="78"/>
      <c r="C6" s="78"/>
      <c r="D6" s="84"/>
      <c r="E6" s="84"/>
      <c r="F6" s="84"/>
      <c r="G6" s="83"/>
      <c r="H6" s="83"/>
    </row>
    <row r="7" spans="1:11" x14ac:dyDescent="0.2">
      <c r="B7" s="78"/>
      <c r="C7" s="78"/>
      <c r="D7" s="84"/>
      <c r="E7" s="84"/>
      <c r="F7" s="84"/>
      <c r="G7" s="84"/>
      <c r="H7" s="84"/>
    </row>
    <row r="8" spans="1:11" x14ac:dyDescent="0.2">
      <c r="B8" s="78"/>
      <c r="C8" s="78"/>
      <c r="D8" s="78"/>
      <c r="E8" s="78"/>
      <c r="F8" s="78"/>
    </row>
    <row r="9" spans="1:11" x14ac:dyDescent="0.2">
      <c r="B9" s="78"/>
      <c r="C9" s="78"/>
      <c r="D9" s="78"/>
      <c r="E9" s="78"/>
      <c r="F9" s="78"/>
      <c r="G9" s="85"/>
      <c r="H9" s="85"/>
    </row>
    <row r="10" spans="1:11" x14ac:dyDescent="0.2">
      <c r="B10" s="78"/>
      <c r="C10" s="78"/>
      <c r="D10" s="78"/>
      <c r="E10" s="78"/>
      <c r="F10" s="78"/>
    </row>
    <row r="11" spans="1:11" x14ac:dyDescent="0.2">
      <c r="C11" s="164"/>
    </row>
    <row r="12" spans="1:11" x14ac:dyDescent="0.2">
      <c r="C12" s="164"/>
    </row>
    <row r="23" spans="7:8" x14ac:dyDescent="0.2">
      <c r="G23" s="85"/>
      <c r="H23" s="8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defaultColWidth="11.42578125" defaultRowHeight="12.75" x14ac:dyDescent="0.2"/>
  <cols>
    <col min="1" max="1" width="8.42578125" style="68" customWidth="1"/>
    <col min="2" max="2" width="13.7109375" style="68" customWidth="1"/>
    <col min="3" max="3" width="13" style="68" customWidth="1"/>
    <col min="4" max="4" width="13.7109375" style="68" customWidth="1"/>
    <col min="5" max="5" width="13" style="77" customWidth="1"/>
    <col min="6" max="6" width="14.5703125" style="77" customWidth="1"/>
    <col min="7" max="10" width="11.42578125" style="77"/>
    <col min="11" max="16384" width="11.42578125" style="68"/>
  </cols>
  <sheetData>
    <row r="1" spans="1:10" x14ac:dyDescent="0.2">
      <c r="A1" s="176"/>
      <c r="B1" s="261" t="s">
        <v>127</v>
      </c>
      <c r="C1" s="262"/>
      <c r="D1" s="263"/>
      <c r="E1" s="261" t="s">
        <v>128</v>
      </c>
      <c r="F1" s="262"/>
      <c r="G1" s="263"/>
      <c r="H1" s="264"/>
      <c r="I1" s="264"/>
      <c r="J1" s="264"/>
    </row>
    <row r="2" spans="1:10" x14ac:dyDescent="0.2">
      <c r="A2" s="176"/>
      <c r="B2" s="177" t="s">
        <v>4</v>
      </c>
      <c r="C2" s="178" t="s">
        <v>5</v>
      </c>
      <c r="D2" s="179" t="s">
        <v>11</v>
      </c>
      <c r="E2" s="177" t="s">
        <v>4</v>
      </c>
      <c r="F2" s="178" t="s">
        <v>5</v>
      </c>
      <c r="G2" s="179" t="s">
        <v>11</v>
      </c>
      <c r="H2" s="69"/>
      <c r="I2" s="69"/>
      <c r="J2" s="69"/>
    </row>
    <row r="3" spans="1:10" x14ac:dyDescent="0.2">
      <c r="A3" s="70" t="s">
        <v>15</v>
      </c>
      <c r="B3" s="180">
        <f>[1]Reactions!S4</f>
        <v>-1</v>
      </c>
      <c r="C3" s="172">
        <f>[1]Reactions!V4</f>
        <v>-0.90000000000000013</v>
      </c>
      <c r="D3" s="181">
        <f>[1]Reactions!AI4</f>
        <v>0.2</v>
      </c>
      <c r="E3" s="180">
        <f>[1]Reactions!W4</f>
        <v>0</v>
      </c>
      <c r="F3" s="172">
        <f>[1]Reactions!Z4</f>
        <v>0</v>
      </c>
      <c r="G3" s="181">
        <v>0</v>
      </c>
      <c r="H3" s="71"/>
      <c r="I3" s="71"/>
      <c r="J3" s="71"/>
    </row>
    <row r="4" spans="1:10" x14ac:dyDescent="0.2">
      <c r="A4" s="72" t="s">
        <v>129</v>
      </c>
      <c r="B4" s="182">
        <f>[1]Reactions!S5</f>
        <v>1</v>
      </c>
      <c r="C4" s="172">
        <f>[1]Reactions!V5</f>
        <v>0.70000000000000007</v>
      </c>
      <c r="D4" s="183">
        <f>[1]Reactions!AI5</f>
        <v>0</v>
      </c>
      <c r="E4" s="182">
        <f>[1]Reactions!W5</f>
        <v>-1</v>
      </c>
      <c r="F4" s="172">
        <f>[1]Reactions!Z5</f>
        <v>-2.9000000000000004</v>
      </c>
      <c r="G4" s="183">
        <v>1</v>
      </c>
      <c r="H4" s="71"/>
      <c r="I4" s="71"/>
      <c r="J4" s="71"/>
    </row>
    <row r="5" spans="1:10" x14ac:dyDescent="0.2">
      <c r="A5" s="72" t="s">
        <v>130</v>
      </c>
      <c r="B5" s="182">
        <f>[1]Reactions!S6</f>
        <v>0</v>
      </c>
      <c r="C5" s="172">
        <f>[1]Reactions!V6</f>
        <v>0</v>
      </c>
      <c r="D5" s="183">
        <f>[1]Reactions!AI6</f>
        <v>0</v>
      </c>
      <c r="E5" s="182">
        <f>[1]Reactions!W6</f>
        <v>1</v>
      </c>
      <c r="F5" s="172">
        <f>[1]Reactions!Z6</f>
        <v>2.7</v>
      </c>
      <c r="G5" s="183">
        <f>[1]Reactions!AI6</f>
        <v>0</v>
      </c>
      <c r="H5" s="71"/>
      <c r="I5" s="71"/>
      <c r="J5" s="71"/>
    </row>
    <row r="6" spans="1:10" s="73" customFormat="1" x14ac:dyDescent="0.2">
      <c r="A6" s="72" t="s">
        <v>12</v>
      </c>
      <c r="B6" s="182">
        <f>[1]Reactions!S7</f>
        <v>-1.5</v>
      </c>
      <c r="C6" s="172">
        <f>[1]Reactions!V7</f>
        <v>0</v>
      </c>
      <c r="D6" s="183">
        <f>[1]Reactions!AI7</f>
        <v>0</v>
      </c>
      <c r="E6" s="182">
        <f>[1]Reactions!W7</f>
        <v>-0.5</v>
      </c>
      <c r="F6" s="172">
        <f>[1]Reactions!Z7</f>
        <v>0</v>
      </c>
      <c r="G6" s="183">
        <f>[1]Reactions!AI7</f>
        <v>0</v>
      </c>
      <c r="H6" s="71"/>
      <c r="I6" s="71"/>
      <c r="J6" s="71"/>
    </row>
    <row r="7" spans="1:10" s="73" customFormat="1" x14ac:dyDescent="0.2">
      <c r="A7" s="72" t="s">
        <v>16</v>
      </c>
      <c r="B7" s="182">
        <f>[1]Reactions!S8</f>
        <v>0</v>
      </c>
      <c r="C7" s="172">
        <f>[1]Reactions!V8</f>
        <v>-1</v>
      </c>
      <c r="D7" s="183">
        <f>[1]Reactions!AI8</f>
        <v>1</v>
      </c>
      <c r="E7" s="182">
        <f>[1]Reactions!W8</f>
        <v>0</v>
      </c>
      <c r="F7" s="172">
        <f>[1]Reactions!Z8</f>
        <v>-1</v>
      </c>
      <c r="G7" s="183">
        <f>[1]Reactions!AI8</f>
        <v>1</v>
      </c>
      <c r="H7" s="71"/>
      <c r="I7" s="71"/>
      <c r="J7" s="71"/>
    </row>
    <row r="8" spans="1:10" s="73" customFormat="1" x14ac:dyDescent="0.2">
      <c r="A8" s="72" t="s">
        <v>7</v>
      </c>
      <c r="B8" s="182">
        <f>[1]Reactions!S10</f>
        <v>0</v>
      </c>
      <c r="C8" s="172">
        <v>0</v>
      </c>
      <c r="D8" s="183">
        <v>0</v>
      </c>
      <c r="E8" s="182">
        <f>[1]Reactions!W10</f>
        <v>0</v>
      </c>
      <c r="F8" s="172">
        <f>[1]Reactions!Z10</f>
        <v>0</v>
      </c>
      <c r="G8" s="183">
        <v>0</v>
      </c>
      <c r="H8" s="71"/>
      <c r="I8" s="71"/>
      <c r="J8" s="71"/>
    </row>
    <row r="9" spans="1:10" s="73" customFormat="1" x14ac:dyDescent="0.2">
      <c r="A9" s="72" t="s">
        <v>17</v>
      </c>
      <c r="B9" s="182">
        <f>[1]Reactions!S11</f>
        <v>0</v>
      </c>
      <c r="C9" s="172">
        <v>0</v>
      </c>
      <c r="D9" s="183">
        <v>0</v>
      </c>
      <c r="E9" s="182">
        <f>[1]Reactions!W11</f>
        <v>0</v>
      </c>
      <c r="F9" s="172">
        <f>[1]Reactions!Z11</f>
        <v>0</v>
      </c>
      <c r="G9" s="183">
        <v>0</v>
      </c>
      <c r="H9" s="71"/>
      <c r="I9" s="71"/>
      <c r="J9" s="71"/>
    </row>
    <row r="10" spans="1:10" s="73" customFormat="1" x14ac:dyDescent="0.2">
      <c r="A10" s="74" t="s">
        <v>67</v>
      </c>
      <c r="B10" s="184">
        <v>0</v>
      </c>
      <c r="C10" s="185">
        <v>0</v>
      </c>
      <c r="D10" s="186">
        <v>0</v>
      </c>
      <c r="E10" s="184">
        <v>0</v>
      </c>
      <c r="F10" s="185">
        <v>0</v>
      </c>
      <c r="G10" s="186">
        <v>0</v>
      </c>
      <c r="H10" s="71"/>
      <c r="I10" s="71"/>
      <c r="J10" s="71"/>
    </row>
    <row r="11" spans="1:10" x14ac:dyDescent="0.2">
      <c r="A11" s="72" t="s">
        <v>8</v>
      </c>
      <c r="B11" s="187">
        <f>[1]Reactions!S12</f>
        <v>1</v>
      </c>
      <c r="C11" s="172">
        <f>[1]Reactions!V12</f>
        <v>1.0999999999999999</v>
      </c>
      <c r="D11" s="188">
        <f>[1]Reactions!AI12</f>
        <v>-2.5</v>
      </c>
      <c r="E11" s="180">
        <f>[1]Reactions!W12</f>
        <v>0</v>
      </c>
      <c r="F11" s="171">
        <f>[1]Reactions!Z12</f>
        <v>0.19999999999999973</v>
      </c>
      <c r="G11" s="189">
        <f>[1]Reactions!AI12</f>
        <v>-2.5</v>
      </c>
      <c r="H11" s="71"/>
      <c r="I11" s="71"/>
      <c r="J11" s="71"/>
    </row>
    <row r="12" spans="1:10" x14ac:dyDescent="0.2">
      <c r="A12" s="74" t="s">
        <v>9</v>
      </c>
      <c r="B12" s="190">
        <f>[1]Reactions!S13</f>
        <v>1</v>
      </c>
      <c r="C12" s="185">
        <f>[1]Reactions!V13</f>
        <v>-1</v>
      </c>
      <c r="D12" s="191">
        <f>[1]Reactions!AI13</f>
        <v>1</v>
      </c>
      <c r="E12" s="184">
        <f>[1]Reactions!W13</f>
        <v>0</v>
      </c>
      <c r="F12" s="185">
        <f>[1]Reactions!Z13</f>
        <v>-1</v>
      </c>
      <c r="G12" s="191">
        <f>[1]Reactions!AI13</f>
        <v>1</v>
      </c>
      <c r="H12" s="71"/>
      <c r="I12" s="71"/>
      <c r="J12" s="71"/>
    </row>
    <row r="13" spans="1:10" x14ac:dyDescent="0.2">
      <c r="A13" s="70" t="s">
        <v>127</v>
      </c>
      <c r="B13" s="187">
        <v>0</v>
      </c>
      <c r="C13" s="192">
        <v>1</v>
      </c>
      <c r="D13" s="188">
        <f t="shared" ref="D13:D14" si="0">-C13</f>
        <v>-1</v>
      </c>
      <c r="E13" s="187">
        <v>0</v>
      </c>
      <c r="F13" s="192">
        <v>0</v>
      </c>
      <c r="G13" s="188">
        <f t="shared" ref="G13:G14" si="1">-F13</f>
        <v>0</v>
      </c>
      <c r="H13" s="75"/>
      <c r="I13" s="75"/>
      <c r="J13" s="75"/>
    </row>
    <row r="14" spans="1:10" x14ac:dyDescent="0.2">
      <c r="A14" s="74" t="s">
        <v>128</v>
      </c>
      <c r="B14" s="190">
        <v>0</v>
      </c>
      <c r="C14" s="193">
        <v>0</v>
      </c>
      <c r="D14" s="191">
        <f t="shared" si="0"/>
        <v>0</v>
      </c>
      <c r="E14" s="190">
        <v>0</v>
      </c>
      <c r="F14" s="193">
        <v>1</v>
      </c>
      <c r="G14" s="191">
        <f t="shared" si="1"/>
        <v>-1</v>
      </c>
    </row>
    <row r="18" spans="6:6" x14ac:dyDescent="0.2">
      <c r="F18" s="76"/>
    </row>
  </sheetData>
  <mergeCells count="3">
    <mergeCell ref="B1:D1"/>
    <mergeCell ref="E1:G1"/>
    <mergeCell ref="H1:J1"/>
  </mergeCells>
  <conditionalFormatting sqref="H3:J13">
    <cfRule type="cellIs" dxfId="14" priority="39" operator="equal">
      <formula>0</formula>
    </cfRule>
  </conditionalFormatting>
  <conditionalFormatting sqref="B13:D13 G4:G7 B3:C12 D4:D12 E3:F12">
    <cfRule type="cellIs" dxfId="13" priority="8" operator="equal">
      <formula>0</formula>
    </cfRule>
  </conditionalFormatting>
  <conditionalFormatting sqref="B14:D14">
    <cfRule type="cellIs" dxfId="12" priority="7" operator="equal">
      <formula>0</formula>
    </cfRule>
  </conditionalFormatting>
  <conditionalFormatting sqref="E13:F13">
    <cfRule type="cellIs" dxfId="11" priority="6" operator="equal">
      <formula>0</formula>
    </cfRule>
  </conditionalFormatting>
  <conditionalFormatting sqref="E14:F14">
    <cfRule type="cellIs" dxfId="10" priority="5" operator="equal">
      <formula>0</formula>
    </cfRule>
  </conditionalFormatting>
  <conditionalFormatting sqref="D3">
    <cfRule type="cellIs" dxfId="9" priority="4" operator="equal">
      <formula>0</formula>
    </cfRule>
  </conditionalFormatting>
  <conditionalFormatting sqref="G8:G13">
    <cfRule type="cellIs" dxfId="8" priority="3" operator="equal">
      <formula>0</formula>
    </cfRule>
  </conditionalFormatting>
  <conditionalFormatting sqref="G14">
    <cfRule type="cellIs" dxfId="7" priority="2" operator="equal">
      <formula>0</formula>
    </cfRule>
  </conditionalFormatting>
  <conditionalFormatting sqref="G3">
    <cfRule type="cellIs" dxfId="6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2.75" x14ac:dyDescent="0.2"/>
  <sheetData>
    <row r="1" spans="1:4" x14ac:dyDescent="0.2">
      <c r="A1" s="198" t="s">
        <v>15</v>
      </c>
      <c r="B1" s="199">
        <f>30/(17*1000)</f>
        <v>1.7647058823529412E-3</v>
      </c>
      <c r="C1" s="168" t="s">
        <v>77</v>
      </c>
      <c r="D1" s="100" t="s">
        <v>136</v>
      </c>
    </row>
    <row r="2" spans="1:4" x14ac:dyDescent="0.2">
      <c r="A2" s="93" t="s">
        <v>129</v>
      </c>
      <c r="B2" s="200">
        <v>9.9999999999999995E-8</v>
      </c>
      <c r="C2" s="169" t="s">
        <v>77</v>
      </c>
      <c r="D2" s="170" t="s">
        <v>136</v>
      </c>
    </row>
    <row r="3" spans="1:4" x14ac:dyDescent="0.2">
      <c r="A3" s="93" t="s">
        <v>130</v>
      </c>
      <c r="B3" s="200">
        <v>9.9999999999999995E-8</v>
      </c>
      <c r="C3" s="169" t="s">
        <v>77</v>
      </c>
      <c r="D3" s="170" t="s">
        <v>136</v>
      </c>
    </row>
    <row r="4" spans="1:4" x14ac:dyDescent="0.2">
      <c r="A4" s="93" t="s">
        <v>12</v>
      </c>
      <c r="B4" s="200">
        <f>9/(32*1000)</f>
        <v>2.8124999999999998E-4</v>
      </c>
      <c r="C4" s="169" t="s">
        <v>77</v>
      </c>
      <c r="D4" s="170" t="s">
        <v>136</v>
      </c>
    </row>
    <row r="5" spans="1:4" x14ac:dyDescent="0.2">
      <c r="A5" s="93" t="s">
        <v>16</v>
      </c>
      <c r="B5" s="200">
        <v>2E-3</v>
      </c>
      <c r="C5" s="169" t="s">
        <v>77</v>
      </c>
      <c r="D5" s="170" t="s">
        <v>136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6" sqref="I16"/>
    </sheetView>
  </sheetViews>
  <sheetFormatPr defaultColWidth="11.42578125" defaultRowHeight="12.75" x14ac:dyDescent="0.2"/>
  <cols>
    <col min="1" max="2" width="11.42578125" style="68"/>
    <col min="3" max="3" width="7.5703125" style="68" customWidth="1"/>
    <col min="4" max="4" width="3" style="68" customWidth="1"/>
    <col min="5" max="7" width="11.42578125" style="68"/>
    <col min="8" max="8" width="12" style="68" bestFit="1" customWidth="1"/>
    <col min="9" max="16384" width="11.42578125" style="68"/>
  </cols>
  <sheetData>
    <row r="1" spans="1:8" x14ac:dyDescent="0.2">
      <c r="A1" s="198" t="s">
        <v>15</v>
      </c>
      <c r="B1" s="200">
        <f>30/17/1000</f>
        <v>1.764705882352941E-3</v>
      </c>
      <c r="C1" s="91" t="s">
        <v>77</v>
      </c>
      <c r="D1" s="92" t="s">
        <v>78</v>
      </c>
    </row>
    <row r="2" spans="1:8" x14ac:dyDescent="0.2">
      <c r="A2" s="93" t="s">
        <v>129</v>
      </c>
      <c r="B2" s="200">
        <v>9.9999999999999995E-8</v>
      </c>
      <c r="C2" s="94" t="s">
        <v>77</v>
      </c>
      <c r="D2" s="95" t="s">
        <v>78</v>
      </c>
    </row>
    <row r="3" spans="1:8" x14ac:dyDescent="0.2">
      <c r="A3" s="93" t="s">
        <v>130</v>
      </c>
      <c r="B3" s="200">
        <f>0.0000001</f>
        <v>9.9999999999999995E-8</v>
      </c>
      <c r="C3" s="94" t="s">
        <v>77</v>
      </c>
      <c r="D3" s="95" t="s">
        <v>78</v>
      </c>
    </row>
    <row r="4" spans="1:8" x14ac:dyDescent="0.2">
      <c r="A4" s="93" t="s">
        <v>12</v>
      </c>
      <c r="B4" s="200">
        <f>9/32/1000</f>
        <v>2.8124999999999998E-4</v>
      </c>
      <c r="C4" s="94" t="s">
        <v>77</v>
      </c>
      <c r="D4" s="95" t="s">
        <v>78</v>
      </c>
    </row>
    <row r="5" spans="1:8" x14ac:dyDescent="0.2">
      <c r="A5" s="93" t="s">
        <v>16</v>
      </c>
      <c r="B5" s="200">
        <v>2E-3</v>
      </c>
      <c r="C5" s="94" t="s">
        <v>77</v>
      </c>
      <c r="D5" s="95" t="s">
        <v>78</v>
      </c>
    </row>
    <row r="6" spans="1:8" x14ac:dyDescent="0.2">
      <c r="A6" s="198" t="s">
        <v>7</v>
      </c>
      <c r="B6" s="199">
        <f>B4/(1.34*10^(-3))</f>
        <v>0.20988805970149252</v>
      </c>
      <c r="C6" s="91" t="s">
        <v>79</v>
      </c>
      <c r="D6" s="92" t="s">
        <v>80</v>
      </c>
    </row>
    <row r="7" spans="1:8" x14ac:dyDescent="0.2">
      <c r="A7" s="93" t="s">
        <v>17</v>
      </c>
      <c r="B7" s="200">
        <f>0.021*B5/(3.4*10^(-2))</f>
        <v>1.2352941176470588E-3</v>
      </c>
      <c r="C7" s="94" t="s">
        <v>79</v>
      </c>
      <c r="D7" s="95" t="s">
        <v>80</v>
      </c>
    </row>
    <row r="8" spans="1:8" x14ac:dyDescent="0.2">
      <c r="A8" s="201" t="s">
        <v>67</v>
      </c>
      <c r="B8" s="202">
        <f>1-SUM(B6:B7)</f>
        <v>0.7888766461808604</v>
      </c>
      <c r="C8" s="97" t="s">
        <v>79</v>
      </c>
      <c r="D8" s="98" t="s">
        <v>80</v>
      </c>
    </row>
    <row r="9" spans="1:8" x14ac:dyDescent="0.2">
      <c r="A9" s="70" t="s">
        <v>127</v>
      </c>
      <c r="B9" s="200">
        <v>0</v>
      </c>
      <c r="C9" s="99" t="s">
        <v>77</v>
      </c>
      <c r="D9" s="100" t="s">
        <v>3</v>
      </c>
    </row>
    <row r="10" spans="1:8" x14ac:dyDescent="0.2">
      <c r="A10" s="74" t="s">
        <v>128</v>
      </c>
      <c r="B10" s="202">
        <v>0</v>
      </c>
      <c r="C10" s="203" t="s">
        <v>77</v>
      </c>
      <c r="D10" s="101" t="s">
        <v>3</v>
      </c>
    </row>
    <row r="11" spans="1:8" x14ac:dyDescent="0.2">
      <c r="G11" s="102"/>
      <c r="H11" s="9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25"/>
    </sheetView>
  </sheetViews>
  <sheetFormatPr defaultColWidth="11.42578125" defaultRowHeight="15" x14ac:dyDescent="0.2"/>
  <cols>
    <col min="1" max="2" width="11.42578125" customWidth="1"/>
    <col min="3" max="6" width="11.42578125" style="122"/>
    <col min="7" max="7" width="2.85546875" style="108" customWidth="1"/>
    <col min="8" max="8" width="3.5703125" style="109" customWidth="1"/>
  </cols>
  <sheetData>
    <row r="1" spans="1:8" ht="15.75" thickBot="1" x14ac:dyDescent="0.25">
      <c r="A1" s="104" t="s">
        <v>81</v>
      </c>
      <c r="B1" s="105">
        <v>0</v>
      </c>
      <c r="C1" s="106">
        <v>0</v>
      </c>
      <c r="D1" s="107">
        <v>-1</v>
      </c>
      <c r="E1" s="106">
        <v>-2</v>
      </c>
      <c r="F1" s="107">
        <v>-3</v>
      </c>
    </row>
    <row r="2" spans="1:8" x14ac:dyDescent="0.2">
      <c r="A2" s="110" t="s">
        <v>15</v>
      </c>
      <c r="B2" s="204" t="s">
        <v>82</v>
      </c>
      <c r="C2" s="204">
        <v>-79.37</v>
      </c>
      <c r="D2" s="204">
        <v>-26.57</v>
      </c>
      <c r="E2" s="204" t="s">
        <v>82</v>
      </c>
      <c r="F2" s="205" t="s">
        <v>82</v>
      </c>
      <c r="G2" s="206">
        <v>3</v>
      </c>
      <c r="H2" s="111" t="s">
        <v>78</v>
      </c>
    </row>
    <row r="3" spans="1:8" x14ac:dyDescent="0.2">
      <c r="A3" s="112" t="s">
        <v>129</v>
      </c>
      <c r="B3" s="113" t="s">
        <v>82</v>
      </c>
      <c r="C3" s="113">
        <v>-50.6</v>
      </c>
      <c r="D3" s="113">
        <v>-32.200000000000003</v>
      </c>
      <c r="E3" s="113" t="s">
        <v>82</v>
      </c>
      <c r="F3" s="207" t="s">
        <v>82</v>
      </c>
      <c r="G3" s="208">
        <v>2</v>
      </c>
      <c r="H3" s="114" t="s">
        <v>78</v>
      </c>
    </row>
    <row r="4" spans="1:8" x14ac:dyDescent="0.2">
      <c r="A4" s="112" t="s">
        <v>130</v>
      </c>
      <c r="B4" s="113" t="s">
        <v>82</v>
      </c>
      <c r="C4" s="113">
        <v>-103.7</v>
      </c>
      <c r="D4" s="113">
        <v>-111.3</v>
      </c>
      <c r="E4" s="113" t="s">
        <v>82</v>
      </c>
      <c r="F4" s="207" t="s">
        <v>82</v>
      </c>
      <c r="G4" s="208">
        <v>2</v>
      </c>
      <c r="H4" s="114" t="s">
        <v>78</v>
      </c>
    </row>
    <row r="5" spans="1:8" x14ac:dyDescent="0.2">
      <c r="A5" s="112" t="s">
        <v>12</v>
      </c>
      <c r="B5" s="113" t="s">
        <v>82</v>
      </c>
      <c r="C5" s="113">
        <v>16.399999999999999</v>
      </c>
      <c r="D5" s="113" t="s">
        <v>82</v>
      </c>
      <c r="E5" s="113" t="s">
        <v>82</v>
      </c>
      <c r="F5" s="207" t="s">
        <v>82</v>
      </c>
      <c r="G5" s="208">
        <v>2</v>
      </c>
      <c r="H5" s="114" t="s">
        <v>78</v>
      </c>
    </row>
    <row r="6" spans="1:8" x14ac:dyDescent="0.2">
      <c r="A6" s="112" t="s">
        <v>16</v>
      </c>
      <c r="B6" s="113">
        <v>-386</v>
      </c>
      <c r="C6" s="113">
        <v>-623.16</v>
      </c>
      <c r="D6" s="113">
        <v>-586.85</v>
      </c>
      <c r="E6" s="113">
        <v>-527.79999999999995</v>
      </c>
      <c r="F6" s="207" t="s">
        <v>82</v>
      </c>
      <c r="G6" s="208">
        <v>3</v>
      </c>
      <c r="H6" s="114" t="s">
        <v>78</v>
      </c>
    </row>
    <row r="7" spans="1:8" x14ac:dyDescent="0.2">
      <c r="A7" s="209" t="s">
        <v>7</v>
      </c>
      <c r="B7" s="210" t="s">
        <v>82</v>
      </c>
      <c r="C7" s="211">
        <v>0</v>
      </c>
      <c r="D7" s="211" t="s">
        <v>82</v>
      </c>
      <c r="E7" s="211" t="s">
        <v>82</v>
      </c>
      <c r="F7" s="212" t="s">
        <v>82</v>
      </c>
      <c r="G7" s="213">
        <v>2</v>
      </c>
      <c r="H7" s="214" t="s">
        <v>80</v>
      </c>
    </row>
    <row r="8" spans="1:8" x14ac:dyDescent="0.2">
      <c r="A8" s="112" t="s">
        <v>17</v>
      </c>
      <c r="B8" s="215" t="s">
        <v>82</v>
      </c>
      <c r="C8" s="113">
        <v>-394.35899999999998</v>
      </c>
      <c r="D8" s="113" t="s">
        <v>82</v>
      </c>
      <c r="E8" s="113" t="s">
        <v>82</v>
      </c>
      <c r="F8" s="207" t="s">
        <v>82</v>
      </c>
      <c r="G8" s="208">
        <v>2</v>
      </c>
      <c r="H8" s="115" t="s">
        <v>80</v>
      </c>
    </row>
    <row r="9" spans="1:8" x14ac:dyDescent="0.2">
      <c r="A9" s="112" t="s">
        <v>67</v>
      </c>
      <c r="B9" s="215" t="s">
        <v>82</v>
      </c>
      <c r="C9" s="113">
        <v>0</v>
      </c>
      <c r="D9" s="113" t="s">
        <v>82</v>
      </c>
      <c r="E9" s="113" t="s">
        <v>82</v>
      </c>
      <c r="F9" s="207" t="s">
        <v>82</v>
      </c>
      <c r="G9" s="208">
        <v>2</v>
      </c>
      <c r="H9" s="115" t="s">
        <v>80</v>
      </c>
    </row>
    <row r="10" spans="1:8" s="108" customFormat="1" x14ac:dyDescent="0.2">
      <c r="A10" s="116" t="s">
        <v>8</v>
      </c>
      <c r="B10" s="211" t="s">
        <v>82</v>
      </c>
      <c r="C10" s="211">
        <v>-237.18</v>
      </c>
      <c r="D10" s="211">
        <v>-157.30000000000001</v>
      </c>
      <c r="E10" s="211" t="s">
        <v>82</v>
      </c>
      <c r="F10" s="216" t="s">
        <v>82</v>
      </c>
      <c r="G10" s="213">
        <v>2</v>
      </c>
      <c r="H10" s="214" t="s">
        <v>78</v>
      </c>
    </row>
    <row r="11" spans="1:8" s="108" customFormat="1" x14ac:dyDescent="0.2">
      <c r="A11" s="117" t="s">
        <v>9</v>
      </c>
      <c r="B11" s="217" t="s">
        <v>82</v>
      </c>
      <c r="C11" s="217">
        <v>0</v>
      </c>
      <c r="D11" s="217" t="s">
        <v>82</v>
      </c>
      <c r="E11" s="218" t="s">
        <v>82</v>
      </c>
      <c r="F11" s="219" t="s">
        <v>82</v>
      </c>
      <c r="G11" s="220">
        <v>2</v>
      </c>
      <c r="H11" s="221" t="s">
        <v>78</v>
      </c>
    </row>
    <row r="12" spans="1:8" s="108" customFormat="1" x14ac:dyDescent="0.2">
      <c r="A12" s="118" t="s">
        <v>127</v>
      </c>
      <c r="B12" s="222" t="s">
        <v>82</v>
      </c>
      <c r="C12" s="223">
        <v>-67</v>
      </c>
      <c r="D12" s="222" t="s">
        <v>82</v>
      </c>
      <c r="E12" s="223" t="s">
        <v>82</v>
      </c>
      <c r="F12" s="224" t="s">
        <v>82</v>
      </c>
      <c r="G12" s="213">
        <v>2</v>
      </c>
      <c r="H12" s="225" t="s">
        <v>3</v>
      </c>
    </row>
    <row r="13" spans="1:8" s="108" customFormat="1" ht="15.75" thickBot="1" x14ac:dyDescent="0.25">
      <c r="A13" s="119" t="s">
        <v>128</v>
      </c>
      <c r="B13" s="222" t="s">
        <v>82</v>
      </c>
      <c r="C13" s="226">
        <v>-67</v>
      </c>
      <c r="D13" s="222" t="s">
        <v>82</v>
      </c>
      <c r="E13" s="223" t="s">
        <v>82</v>
      </c>
      <c r="F13" s="224" t="s">
        <v>82</v>
      </c>
      <c r="G13" s="227">
        <v>2</v>
      </c>
      <c r="H13" s="228" t="s">
        <v>3</v>
      </c>
    </row>
    <row r="14" spans="1:8" s="108" customFormat="1" x14ac:dyDescent="0.2">
      <c r="A14" s="110" t="s">
        <v>15</v>
      </c>
      <c r="B14" s="229" t="s">
        <v>83</v>
      </c>
      <c r="C14" s="230">
        <v>1</v>
      </c>
      <c r="D14" s="230">
        <v>0</v>
      </c>
      <c r="E14" s="230" t="s">
        <v>83</v>
      </c>
      <c r="F14" s="231" t="s">
        <v>83</v>
      </c>
      <c r="H14" s="109"/>
    </row>
    <row r="15" spans="1:8" s="108" customFormat="1" x14ac:dyDescent="0.2">
      <c r="A15" s="112" t="s">
        <v>129</v>
      </c>
      <c r="B15" s="232" t="s">
        <v>83</v>
      </c>
      <c r="C15" s="233">
        <v>0</v>
      </c>
      <c r="D15" s="233">
        <v>-1</v>
      </c>
      <c r="E15" s="233" t="s">
        <v>83</v>
      </c>
      <c r="F15" s="234" t="s">
        <v>83</v>
      </c>
      <c r="H15" s="109"/>
    </row>
    <row r="16" spans="1:8" s="108" customFormat="1" x14ac:dyDescent="0.2">
      <c r="A16" s="112" t="s">
        <v>130</v>
      </c>
      <c r="B16" s="232" t="s">
        <v>83</v>
      </c>
      <c r="C16" s="233">
        <v>0</v>
      </c>
      <c r="D16" s="233">
        <v>-1</v>
      </c>
      <c r="E16" s="233" t="s">
        <v>83</v>
      </c>
      <c r="F16" s="234" t="s">
        <v>83</v>
      </c>
      <c r="H16" s="109"/>
    </row>
    <row r="17" spans="1:8" s="108" customFormat="1" x14ac:dyDescent="0.2">
      <c r="A17" s="112" t="s">
        <v>12</v>
      </c>
      <c r="B17" s="232" t="s">
        <v>83</v>
      </c>
      <c r="C17" s="233">
        <v>0</v>
      </c>
      <c r="D17" s="233" t="s">
        <v>83</v>
      </c>
      <c r="E17" s="233" t="s">
        <v>83</v>
      </c>
      <c r="F17" s="234" t="s">
        <v>83</v>
      </c>
      <c r="H17" s="109"/>
    </row>
    <row r="18" spans="1:8" s="108" customFormat="1" x14ac:dyDescent="0.2">
      <c r="A18" s="235" t="s">
        <v>16</v>
      </c>
      <c r="B18" s="232">
        <v>0</v>
      </c>
      <c r="C18" s="233">
        <v>0</v>
      </c>
      <c r="D18" s="233">
        <v>-1</v>
      </c>
      <c r="E18" s="233">
        <v>-2</v>
      </c>
      <c r="F18" s="234" t="s">
        <v>83</v>
      </c>
      <c r="H18" s="109"/>
    </row>
    <row r="19" spans="1:8" s="108" customFormat="1" x14ac:dyDescent="0.2">
      <c r="A19" s="209" t="s">
        <v>7</v>
      </c>
      <c r="B19" s="236" t="s">
        <v>83</v>
      </c>
      <c r="C19" s="236">
        <v>0</v>
      </c>
      <c r="D19" s="237" t="s">
        <v>83</v>
      </c>
      <c r="E19" s="236" t="s">
        <v>83</v>
      </c>
      <c r="F19" s="238" t="s">
        <v>83</v>
      </c>
      <c r="H19" s="109"/>
    </row>
    <row r="20" spans="1:8" s="108" customFormat="1" x14ac:dyDescent="0.2">
      <c r="A20" s="112" t="s">
        <v>17</v>
      </c>
      <c r="B20" s="233" t="s">
        <v>83</v>
      </c>
      <c r="C20" s="233">
        <v>0</v>
      </c>
      <c r="D20" s="232" t="s">
        <v>83</v>
      </c>
      <c r="E20" s="233" t="s">
        <v>83</v>
      </c>
      <c r="F20" s="234" t="s">
        <v>83</v>
      </c>
    </row>
    <row r="21" spans="1:8" s="108" customFormat="1" x14ac:dyDescent="0.2">
      <c r="A21" s="112" t="s">
        <v>67</v>
      </c>
      <c r="B21" s="233" t="s">
        <v>83</v>
      </c>
      <c r="C21" s="233">
        <v>0</v>
      </c>
      <c r="D21" s="232" t="s">
        <v>83</v>
      </c>
      <c r="E21" s="233" t="s">
        <v>83</v>
      </c>
      <c r="F21" s="234" t="s">
        <v>83</v>
      </c>
    </row>
    <row r="22" spans="1:8" s="108" customFormat="1" x14ac:dyDescent="0.2">
      <c r="A22" s="239" t="s">
        <v>8</v>
      </c>
      <c r="B22" s="236" t="s">
        <v>83</v>
      </c>
      <c r="C22" s="236">
        <v>0</v>
      </c>
      <c r="D22" s="236">
        <v>-1</v>
      </c>
      <c r="E22" s="236" t="s">
        <v>83</v>
      </c>
      <c r="F22" s="238" t="s">
        <v>83</v>
      </c>
    </row>
    <row r="23" spans="1:8" s="108" customFormat="1" x14ac:dyDescent="0.2">
      <c r="A23" s="240" t="s">
        <v>9</v>
      </c>
      <c r="B23" s="241" t="s">
        <v>83</v>
      </c>
      <c r="C23" s="241">
        <v>1</v>
      </c>
      <c r="D23" s="241" t="s">
        <v>83</v>
      </c>
      <c r="E23" s="241" t="s">
        <v>83</v>
      </c>
      <c r="F23" s="242" t="s">
        <v>83</v>
      </c>
    </row>
    <row r="24" spans="1:8" s="108" customFormat="1" x14ac:dyDescent="0.2">
      <c r="A24" s="118" t="s">
        <v>127</v>
      </c>
      <c r="B24" s="120" t="s">
        <v>83</v>
      </c>
      <c r="C24" s="120">
        <v>0</v>
      </c>
      <c r="D24" s="120" t="s">
        <v>83</v>
      </c>
      <c r="E24" s="120" t="s">
        <v>83</v>
      </c>
      <c r="F24" s="121" t="s">
        <v>83</v>
      </c>
    </row>
    <row r="25" spans="1:8" s="108" customFormat="1" ht="15.75" thickBot="1" x14ac:dyDescent="0.25">
      <c r="A25" s="243" t="s">
        <v>128</v>
      </c>
      <c r="B25" s="244" t="s">
        <v>83</v>
      </c>
      <c r="C25" s="245">
        <v>0</v>
      </c>
      <c r="D25" s="244" t="s">
        <v>83</v>
      </c>
      <c r="E25" s="244" t="s">
        <v>83</v>
      </c>
      <c r="F25" s="246" t="s">
        <v>83</v>
      </c>
    </row>
    <row r="26" spans="1:8" s="108" customFormat="1" ht="12.75" x14ac:dyDescent="0.2">
      <c r="C26" s="109"/>
    </row>
    <row r="27" spans="1:8" ht="12.75" x14ac:dyDescent="0.2">
      <c r="A27" s="108"/>
      <c r="B27" s="108"/>
      <c r="C27" s="109"/>
      <c r="D27" s="108"/>
      <c r="E27" s="108"/>
      <c r="F27" s="108"/>
      <c r="H27" s="108"/>
    </row>
    <row r="28" spans="1:8" ht="12.75" x14ac:dyDescent="0.2">
      <c r="A28" s="108"/>
      <c r="B28" s="108"/>
      <c r="C28" s="109"/>
      <c r="D28" s="108"/>
      <c r="E28" s="108"/>
      <c r="F28" s="108"/>
      <c r="H28" s="108"/>
    </row>
    <row r="29" spans="1:8" ht="12.75" x14ac:dyDescent="0.2">
      <c r="A29" s="108"/>
      <c r="B29" s="108"/>
      <c r="C29" s="109"/>
      <c r="D29" s="108"/>
      <c r="E29" s="108"/>
      <c r="F29" s="108"/>
      <c r="H29" s="108"/>
    </row>
    <row r="30" spans="1:8" ht="12.75" x14ac:dyDescent="0.2">
      <c r="A30" s="108"/>
      <c r="B30" s="108"/>
      <c r="C30" s="109"/>
      <c r="D30" s="108"/>
      <c r="E30" s="108"/>
      <c r="F30" s="108"/>
      <c r="H30" s="108"/>
    </row>
    <row r="31" spans="1:8" ht="12.75" x14ac:dyDescent="0.2">
      <c r="A31" s="108"/>
      <c r="B31" s="108"/>
      <c r="C31" s="109"/>
      <c r="D31" s="108"/>
      <c r="E31" s="108"/>
      <c r="F31" s="108"/>
      <c r="H31" s="108"/>
    </row>
    <row r="32" spans="1:8" ht="12.75" x14ac:dyDescent="0.2">
      <c r="A32" s="108"/>
      <c r="B32" s="108"/>
      <c r="C32" s="109"/>
      <c r="D32" s="108"/>
      <c r="E32" s="108"/>
      <c r="F32" s="108"/>
      <c r="H32" s="108"/>
    </row>
  </sheetData>
  <conditionalFormatting sqref="B8 D8:F8 B2:F7 B10:F25">
    <cfRule type="containsText" dxfId="5" priority="5" operator="containsText" text="NA">
      <formula>NOT(ISERROR(SEARCH("NA",B2)))</formula>
    </cfRule>
    <cfRule type="containsText" dxfId="4" priority="6" operator="containsText" text="Inf">
      <formula>NOT(ISERROR(SEARCH("Inf",B2)))</formula>
    </cfRule>
  </conditionalFormatting>
  <conditionalFormatting sqref="C8">
    <cfRule type="containsText" dxfId="3" priority="3" operator="containsText" text="NA">
      <formula>NOT(ISERROR(SEARCH("NA",C8)))</formula>
    </cfRule>
    <cfRule type="containsText" dxfId="2" priority="4" operator="containsText" text="Inf">
      <formula>NOT(ISERROR(SEARCH("Inf",C8)))</formula>
    </cfRule>
  </conditionalFormatting>
  <conditionalFormatting sqref="B9:F9">
    <cfRule type="containsText" dxfId="1" priority="1" operator="containsText" text="NA">
      <formula>NOT(ISERROR(SEARCH("NA",B9)))</formula>
    </cfRule>
    <cfRule type="containsText" dxfId="0" priority="2" operator="containsText" text="Inf">
      <formula>NOT(ISERROR(SEARCH("Inf",B9)))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ColWidth="9.140625" defaultRowHeight="12.75" x14ac:dyDescent="0.2"/>
  <cols>
    <col min="1" max="1" width="14.85546875" style="68" customWidth="1"/>
    <col min="2" max="2" width="10.5703125" style="68" customWidth="1"/>
    <col min="3" max="3" width="9.140625" style="68"/>
    <col min="4" max="4" width="12.42578125" style="68" bestFit="1" customWidth="1"/>
    <col min="5" max="16384" width="9.140625" style="68"/>
  </cols>
  <sheetData>
    <row r="1" spans="1:4" x14ac:dyDescent="0.2">
      <c r="A1" s="123" t="s">
        <v>84</v>
      </c>
      <c r="B1" s="199">
        <f>(1*PI()*B3^2)*B4*Discretization!B7</f>
        <v>1.5707963267948966E-13</v>
      </c>
      <c r="C1" s="124" t="s">
        <v>10</v>
      </c>
    </row>
    <row r="2" spans="1:4" x14ac:dyDescent="0.2">
      <c r="A2" s="125" t="s">
        <v>85</v>
      </c>
      <c r="B2" s="200">
        <f>0.01*B1</f>
        <v>1.5707963267948967E-15</v>
      </c>
      <c r="C2" s="126" t="s">
        <v>10</v>
      </c>
    </row>
    <row r="3" spans="1:4" x14ac:dyDescent="0.2">
      <c r="A3" s="125" t="s">
        <v>86</v>
      </c>
      <c r="B3" s="200">
        <f>0.5*10^(-6)</f>
        <v>4.9999999999999998E-7</v>
      </c>
      <c r="C3" s="126" t="s">
        <v>87</v>
      </c>
    </row>
    <row r="4" spans="1:4" x14ac:dyDescent="0.2">
      <c r="A4" s="125" t="s">
        <v>88</v>
      </c>
      <c r="B4" s="200">
        <f>200*1000</f>
        <v>200000</v>
      </c>
      <c r="C4" s="126" t="s">
        <v>89</v>
      </c>
    </row>
    <row r="5" spans="1:4" x14ac:dyDescent="0.2">
      <c r="A5" s="125" t="s">
        <v>90</v>
      </c>
      <c r="B5" s="247">
        <v>24.6</v>
      </c>
      <c r="C5" s="126" t="s">
        <v>91</v>
      </c>
    </row>
    <row r="6" spans="1:4" x14ac:dyDescent="0.2">
      <c r="A6" s="125" t="s">
        <v>92</v>
      </c>
      <c r="B6" s="248">
        <v>20000</v>
      </c>
      <c r="C6" s="126" t="s">
        <v>93</v>
      </c>
    </row>
    <row r="7" spans="1:4" x14ac:dyDescent="0.2">
      <c r="A7" s="93" t="s">
        <v>94</v>
      </c>
      <c r="B7" s="247">
        <v>1</v>
      </c>
      <c r="C7" s="126" t="s">
        <v>93</v>
      </c>
    </row>
    <row r="8" spans="1:4" x14ac:dyDescent="0.2">
      <c r="A8" s="93" t="s">
        <v>95</v>
      </c>
      <c r="B8" s="150">
        <f>2*B3</f>
        <v>9.9999999999999995E-7</v>
      </c>
      <c r="C8" s="126" t="s">
        <v>87</v>
      </c>
    </row>
    <row r="9" spans="1:4" x14ac:dyDescent="0.2">
      <c r="A9" s="127" t="s">
        <v>96</v>
      </c>
      <c r="B9" s="151">
        <f>B3*0.01</f>
        <v>5.0000000000000001E-9</v>
      </c>
      <c r="C9" s="128" t="s">
        <v>87</v>
      </c>
    </row>
    <row r="13" spans="1:4" x14ac:dyDescent="0.2">
      <c r="B13" s="129"/>
    </row>
    <row r="14" spans="1:4" x14ac:dyDescent="0.2">
      <c r="B14" s="96"/>
    </row>
    <row r="16" spans="1:4" x14ac:dyDescent="0.2">
      <c r="C16" s="96"/>
      <c r="D16" s="130"/>
    </row>
    <row r="17" spans="4:5" x14ac:dyDescent="0.2">
      <c r="D17" s="96"/>
    </row>
    <row r="19" spans="4:5" x14ac:dyDescent="0.2">
      <c r="E19" s="9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"/>
    </sheetView>
  </sheetViews>
  <sheetFormatPr defaultColWidth="11.42578125" defaultRowHeight="12.75" x14ac:dyDescent="0.2"/>
  <cols>
    <col min="1" max="1" width="10.42578125" style="68" customWidth="1"/>
    <col min="2" max="2" width="11.42578125" style="68"/>
    <col min="3" max="3" width="12.140625" style="68" customWidth="1"/>
    <col min="4" max="16384" width="11.42578125" style="68"/>
  </cols>
  <sheetData>
    <row r="1" spans="1:5" x14ac:dyDescent="0.2">
      <c r="A1" s="131" t="s">
        <v>137</v>
      </c>
      <c r="B1" s="249">
        <f>30.000001/(17*1000)</f>
        <v>1.7647059411764706E-3</v>
      </c>
      <c r="C1" s="132" t="s">
        <v>77</v>
      </c>
    </row>
    <row r="2" spans="1:5" x14ac:dyDescent="0.2">
      <c r="A2" s="133" t="s">
        <v>1</v>
      </c>
      <c r="B2" s="247">
        <v>298.14999999999998</v>
      </c>
      <c r="C2" s="126" t="s">
        <v>2</v>
      </c>
    </row>
    <row r="3" spans="1:5" x14ac:dyDescent="0.2">
      <c r="A3" s="133" t="s">
        <v>97</v>
      </c>
      <c r="B3" s="247">
        <f>8.3144/1000</f>
        <v>8.3143999999999996E-3</v>
      </c>
      <c r="C3" s="126" t="s">
        <v>6</v>
      </c>
    </row>
    <row r="4" spans="1:5" x14ac:dyDescent="0.2">
      <c r="A4" s="133" t="s">
        <v>98</v>
      </c>
      <c r="B4" s="247">
        <v>8.2057459999999999E-2</v>
      </c>
      <c r="C4" s="126" t="s">
        <v>99</v>
      </c>
    </row>
    <row r="5" spans="1:5" x14ac:dyDescent="0.2">
      <c r="A5" s="133" t="s">
        <v>0</v>
      </c>
      <c r="B5" s="247">
        <v>1</v>
      </c>
      <c r="C5" s="126" t="s">
        <v>79</v>
      </c>
    </row>
    <row r="6" spans="1:5" x14ac:dyDescent="0.2">
      <c r="A6" s="133" t="s">
        <v>100</v>
      </c>
      <c r="B6" s="200">
        <f>B7</f>
        <v>6.9813170079773179E-14</v>
      </c>
      <c r="C6" s="126" t="s">
        <v>101</v>
      </c>
    </row>
    <row r="7" spans="1:5" x14ac:dyDescent="0.2">
      <c r="A7" s="133" t="s">
        <v>102</v>
      </c>
      <c r="B7" s="200">
        <f>(([1]Bacteria!B1*[1]Bacteria!B6)/3)/1000</f>
        <v>6.9813170079773179E-14</v>
      </c>
      <c r="C7" s="126" t="s">
        <v>101</v>
      </c>
    </row>
    <row r="8" spans="1:5" x14ac:dyDescent="0.2">
      <c r="A8" s="133" t="s">
        <v>103</v>
      </c>
      <c r="B8" s="200">
        <v>7.5</v>
      </c>
      <c r="C8" s="126" t="s">
        <v>93</v>
      </c>
    </row>
    <row r="9" spans="1:5" x14ac:dyDescent="0.2">
      <c r="A9" s="133" t="s">
        <v>104</v>
      </c>
      <c r="B9" s="200">
        <f>[1]Discretization!B11</f>
        <v>1</v>
      </c>
      <c r="C9" s="126" t="s">
        <v>105</v>
      </c>
    </row>
    <row r="10" spans="1:5" x14ac:dyDescent="0.2">
      <c r="A10" s="134" t="s">
        <v>106</v>
      </c>
      <c r="B10" s="250">
        <f>(B7*1000)/0.01</f>
        <v>6.9813170079773182E-9</v>
      </c>
      <c r="C10" s="135" t="s">
        <v>107</v>
      </c>
    </row>
    <row r="16" spans="1:5" x14ac:dyDescent="0.2">
      <c r="E16" s="96"/>
    </row>
    <row r="17" spans="3:4" x14ac:dyDescent="0.2">
      <c r="C17" s="96"/>
    </row>
    <row r="18" spans="3:4" x14ac:dyDescent="0.2">
      <c r="D18" s="9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3" sqref="I13"/>
    </sheetView>
  </sheetViews>
  <sheetFormatPr defaultColWidth="9.140625" defaultRowHeight="12.75" x14ac:dyDescent="0.2"/>
  <cols>
    <col min="1" max="1" width="15.42578125" style="68" customWidth="1"/>
    <col min="2" max="16384" width="9.140625" style="68"/>
  </cols>
  <sheetData>
    <row r="1" spans="1:5" x14ac:dyDescent="0.2">
      <c r="A1" s="136" t="s">
        <v>108</v>
      </c>
      <c r="B1" s="137">
        <v>50</v>
      </c>
      <c r="C1" s="138" t="s">
        <v>93</v>
      </c>
    </row>
    <row r="2" spans="1:5" x14ac:dyDescent="0.2">
      <c r="A2" s="139" t="s">
        <v>109</v>
      </c>
      <c r="B2" s="140">
        <v>50</v>
      </c>
      <c r="C2" s="141" t="s">
        <v>93</v>
      </c>
    </row>
    <row r="3" spans="1:5" x14ac:dyDescent="0.2">
      <c r="A3" s="139" t="s">
        <v>110</v>
      </c>
      <c r="B3" s="140">
        <f>200*10^(-6)</f>
        <v>1.9999999999999998E-4</v>
      </c>
      <c r="C3" s="141" t="s">
        <v>87</v>
      </c>
    </row>
    <row r="4" spans="1:5" x14ac:dyDescent="0.2">
      <c r="A4" s="139" t="s">
        <v>111</v>
      </c>
      <c r="B4" s="140">
        <f>200*10^(-6)</f>
        <v>1.9999999999999998E-4</v>
      </c>
      <c r="C4" s="141" t="s">
        <v>87</v>
      </c>
    </row>
    <row r="5" spans="1:5" x14ac:dyDescent="0.2">
      <c r="A5" s="139" t="s">
        <v>112</v>
      </c>
      <c r="B5" s="140">
        <f>B3/B1</f>
        <v>3.9999999999999998E-6</v>
      </c>
      <c r="C5" s="141" t="s">
        <v>87</v>
      </c>
    </row>
    <row r="6" spans="1:5" x14ac:dyDescent="0.2">
      <c r="A6" s="139" t="s">
        <v>113</v>
      </c>
      <c r="B6" s="140">
        <f>B4/B2</f>
        <v>3.9999999999999998E-6</v>
      </c>
      <c r="C6" s="141" t="s">
        <v>87</v>
      </c>
    </row>
    <row r="7" spans="1:5" x14ac:dyDescent="0.2">
      <c r="A7" s="139" t="s">
        <v>114</v>
      </c>
      <c r="B7" s="140">
        <f>1*10^(-6)</f>
        <v>9.9999999999999995E-7</v>
      </c>
      <c r="C7" s="141" t="s">
        <v>87</v>
      </c>
      <c r="E7" s="96"/>
    </row>
    <row r="8" spans="1:5" x14ac:dyDescent="0.2">
      <c r="A8" s="139" t="s">
        <v>115</v>
      </c>
      <c r="B8" s="140">
        <f xml:space="preserve"> 40*0.000001</f>
        <v>3.9999999999999996E-5</v>
      </c>
      <c r="C8" s="141" t="s">
        <v>87</v>
      </c>
    </row>
    <row r="9" spans="1:5" x14ac:dyDescent="0.2">
      <c r="A9" s="139" t="s">
        <v>116</v>
      </c>
      <c r="B9" s="142">
        <v>360</v>
      </c>
      <c r="C9" s="141" t="s">
        <v>105</v>
      </c>
    </row>
    <row r="10" spans="1:5" x14ac:dyDescent="0.2">
      <c r="A10" s="139" t="s">
        <v>117</v>
      </c>
      <c r="B10" s="140">
        <v>2.9999999999999997E-8</v>
      </c>
      <c r="C10" s="141" t="s">
        <v>105</v>
      </c>
    </row>
    <row r="11" spans="1:5" x14ac:dyDescent="0.2">
      <c r="A11" s="139" t="s">
        <v>118</v>
      </c>
      <c r="B11" s="165">
        <v>1</v>
      </c>
      <c r="C11" s="141" t="s">
        <v>105</v>
      </c>
    </row>
    <row r="12" spans="1:5" ht="13.5" thickBot="1" x14ac:dyDescent="0.25">
      <c r="A12" s="143" t="s">
        <v>119</v>
      </c>
      <c r="B12" s="166">
        <v>1</v>
      </c>
      <c r="C12" s="167" t="s">
        <v>105</v>
      </c>
    </row>
    <row r="13" spans="1:5" ht="13.5" thickBot="1" x14ac:dyDescent="0.25">
      <c r="A13" s="143" t="s">
        <v>125</v>
      </c>
      <c r="B13" s="166">
        <v>9.9999999999999995E-7</v>
      </c>
      <c r="C13" s="167" t="s">
        <v>93</v>
      </c>
    </row>
    <row r="16" spans="1:5" x14ac:dyDescent="0.2">
      <c r="A16" s="144"/>
      <c r="E16" s="103"/>
    </row>
    <row r="20" spans="4:5" x14ac:dyDescent="0.2">
      <c r="D20" s="96"/>
      <c r="E20" s="96"/>
    </row>
    <row r="28" spans="4:5" x14ac:dyDescent="0.2">
      <c r="E28" s="9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22" sqref="K22"/>
    </sheetView>
  </sheetViews>
  <sheetFormatPr defaultColWidth="9.140625" defaultRowHeight="12.75" x14ac:dyDescent="0.2"/>
  <cols>
    <col min="1" max="1" width="9.140625" style="68"/>
    <col min="2" max="2" width="12" style="68" bestFit="1" customWidth="1"/>
    <col min="3" max="4" width="9.140625" style="68"/>
    <col min="5" max="5" width="12.42578125" style="68" bestFit="1" customWidth="1"/>
    <col min="6" max="6" width="9.140625" style="68"/>
    <col min="7" max="7" width="11.42578125" style="68" bestFit="1" customWidth="1"/>
    <col min="8" max="16384" width="9.140625" style="68"/>
  </cols>
  <sheetData>
    <row r="1" spans="1:3" x14ac:dyDescent="0.2">
      <c r="A1" s="145" t="s">
        <v>120</v>
      </c>
      <c r="B1" s="146">
        <f>1.957*10^(-9)*3600</f>
        <v>7.0452000000000007E-6</v>
      </c>
      <c r="C1" s="147" t="s">
        <v>121</v>
      </c>
    </row>
    <row r="2" spans="1:3" ht="13.5" thickBot="1" x14ac:dyDescent="0.25">
      <c r="A2" s="175" t="s">
        <v>138</v>
      </c>
      <c r="B2" s="90">
        <v>6.8800000000000002E-6</v>
      </c>
      <c r="C2" s="148" t="s">
        <v>121</v>
      </c>
    </row>
    <row r="3" spans="1:3" x14ac:dyDescent="0.2">
      <c r="A3" s="145" t="s">
        <v>139</v>
      </c>
      <c r="B3" s="146">
        <v>6.8800000000000002E-6</v>
      </c>
      <c r="C3" s="148" t="s">
        <v>121</v>
      </c>
    </row>
    <row r="4" spans="1:3" x14ac:dyDescent="0.2">
      <c r="A4" s="119" t="s">
        <v>140</v>
      </c>
      <c r="B4" s="149">
        <v>7.5599999999999996E-6</v>
      </c>
      <c r="C4" s="148" t="s">
        <v>121</v>
      </c>
    </row>
    <row r="5" spans="1:3" x14ac:dyDescent="0.2">
      <c r="A5" s="119" t="s">
        <v>122</v>
      </c>
      <c r="B5" s="149">
        <v>4.2699999999999998E-6</v>
      </c>
      <c r="C5" s="148" t="s">
        <v>121</v>
      </c>
    </row>
    <row r="6" spans="1:3" ht="14.25" x14ac:dyDescent="0.2">
      <c r="A6" s="70" t="s">
        <v>141</v>
      </c>
      <c r="B6" s="173">
        <v>2</v>
      </c>
      <c r="C6" s="91" t="s">
        <v>126</v>
      </c>
    </row>
    <row r="7" spans="1:3" ht="14.25" x14ac:dyDescent="0.2">
      <c r="A7" s="74" t="s">
        <v>123</v>
      </c>
      <c r="B7" s="174">
        <f>B6*B4/B5</f>
        <v>3.540983606557377</v>
      </c>
      <c r="C7" s="97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Reactions</vt:lpstr>
      <vt:lpstr>SpecParam</vt:lpstr>
      <vt:lpstr>ReactionMatrix</vt:lpstr>
      <vt:lpstr>Influent</vt:lpstr>
      <vt:lpstr>States</vt:lpstr>
      <vt:lpstr>ThermoParam</vt:lpstr>
      <vt:lpstr>Bacteria</vt:lpstr>
      <vt:lpstr>Parameters</vt:lpstr>
      <vt:lpstr>Discretization</vt:lpstr>
      <vt:lpstr>Diffusion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Rebeca.Gonzalez-Cabaleiro@newcastle.ac.uk</dc:creator>
  <cp:lastModifiedBy>Valentina Gogulancea</cp:lastModifiedBy>
  <dcterms:created xsi:type="dcterms:W3CDTF">2008-02-06T12:16:03Z</dcterms:created>
  <dcterms:modified xsi:type="dcterms:W3CDTF">2019-03-05T16:29:35Z</dcterms:modified>
</cp:coreProperties>
</file>