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m\Documents\Taff_negawatt\"/>
    </mc:Choice>
  </mc:AlternateContent>
  <xr:revisionPtr revIDLastSave="0" documentId="13_ncr:1_{9ED6DD32-FEFB-4D8C-AA73-DE08E6A9F2D5}" xr6:coauthVersionLast="47" xr6:coauthVersionMax="47" xr10:uidLastSave="{00000000-0000-0000-0000-000000000000}"/>
  <bookViews>
    <workbookView xWindow="-110" yWindow="-110" windowWidth="19420" windowHeight="10300" xr2:uid="{A82450F3-82AB-44F6-A94B-6968870EF0B0}"/>
  </bookViews>
  <sheets>
    <sheet name="InputOutput-mobility" sheetId="2" r:id="rId1"/>
    <sheet name="Calculation-mobility" sheetId="3" r:id="rId2"/>
    <sheet name="Output_Keyfindings" sheetId="4" r:id="rId3"/>
  </sheets>
  <definedNames>
    <definedName name="calcskelevpc">'Calculation-mobility'!$H$60:$AH$60</definedName>
    <definedName name="calcsklqfvpc">'Calculation-mobility'!$H$54:$AH$54</definedName>
    <definedName name="calcskngvvpc">'Calculation-mobility'!$H$58:$AH$58</definedName>
    <definedName name="csvpcele">#REF!</definedName>
    <definedName name="csvpcess">#REF!</definedName>
    <definedName name="csvpcgpl">#REF!</definedName>
    <definedName name="csvpcgzl">#REF!</definedName>
    <definedName name="csvpchyd">#REF!</definedName>
    <definedName name="csvpclqf">#REF!</definedName>
    <definedName name="csvpcngv">#REF!</definedName>
    <definedName name="pcspci">#REF!</definedName>
    <definedName name="prmcebvpcess">'Calculation-mobility'!$H$10</definedName>
    <definedName name="prmcebvpcgpl">'Calculation-mobility'!#REF!</definedName>
    <definedName name="prmcebvpcgzl">'Calculation-mobility'!$H$16</definedName>
    <definedName name="prmcebvpchyd">'Calculation-mobility'!#REF!</definedName>
    <definedName name="prmcebvpclqf">'Calculation-mobility'!#REF!</definedName>
    <definedName name="prmcebvpcngv">'Calculation-mobility'!#REF!</definedName>
    <definedName name="prmcenvpcess">'Calculation-mobility'!$H$11</definedName>
    <definedName name="prmcenvpcgpl">'Calculation-mobility'!#REF!</definedName>
    <definedName name="prmcenvpcgzl">'Calculation-mobility'!$H$21</definedName>
    <definedName name="prmcenvpchyd">'Calculation-mobility'!#REF!</definedName>
    <definedName name="prmcenvpclqf">'Calculation-mobility'!#REF!</definedName>
    <definedName name="prmcenvpcngv">'Calculation-mobility'!$H$41</definedName>
    <definedName name="ReferenceYear">#REF!</definedName>
    <definedName name="TargetYear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4" l="1"/>
  <c r="C18" i="4"/>
  <c r="C3" i="4"/>
  <c r="D3" i="4"/>
  <c r="D9" i="4"/>
  <c r="C9" i="4"/>
  <c r="D4" i="4"/>
  <c r="C4" i="4"/>
  <c r="D5" i="4"/>
  <c r="C5" i="4"/>
  <c r="D6" i="4"/>
  <c r="C6" i="4"/>
  <c r="D7" i="4"/>
  <c r="C7" i="4"/>
  <c r="D10" i="4"/>
  <c r="C10" i="4"/>
  <c r="D48" i="2"/>
  <c r="E48" i="2"/>
  <c r="F48" i="2"/>
  <c r="G48" i="2"/>
  <c r="H48" i="2"/>
  <c r="I48" i="2"/>
  <c r="C48" i="2"/>
  <c r="D47" i="2"/>
  <c r="E47" i="2"/>
  <c r="F47" i="2"/>
  <c r="G47" i="2"/>
  <c r="H47" i="2"/>
  <c r="I47" i="2"/>
  <c r="C17" i="4" s="1"/>
  <c r="C47" i="2"/>
  <c r="C42" i="3"/>
  <c r="D26" i="3"/>
  <c r="F26" i="3"/>
  <c r="F27" i="3"/>
  <c r="G27" i="3"/>
  <c r="H27" i="3"/>
  <c r="C15" i="3"/>
  <c r="I46" i="2"/>
  <c r="H46" i="2"/>
  <c r="G46" i="2"/>
  <c r="F46" i="2"/>
  <c r="E46" i="2"/>
  <c r="D46" i="2"/>
  <c r="C46" i="2"/>
  <c r="E44" i="2"/>
  <c r="D57" i="2"/>
  <c r="E57" i="2"/>
  <c r="F57" i="2"/>
  <c r="G57" i="2"/>
  <c r="H57" i="2"/>
  <c r="I57" i="2"/>
  <c r="C57" i="2"/>
  <c r="D25" i="3"/>
  <c r="D27" i="3" s="1"/>
  <c r="D36" i="3"/>
  <c r="D34" i="3" s="1"/>
  <c r="D45" i="2"/>
  <c r="E45" i="2"/>
  <c r="F45" i="2"/>
  <c r="G45" i="2"/>
  <c r="H45" i="2"/>
  <c r="I45" i="2"/>
  <c r="C15" i="4" s="1"/>
  <c r="C45" i="2"/>
  <c r="C58" i="2"/>
  <c r="C56" i="2"/>
  <c r="E56" i="2"/>
  <c r="F56" i="2"/>
  <c r="G56" i="2"/>
  <c r="H56" i="2"/>
  <c r="I56" i="2"/>
  <c r="D56" i="2"/>
  <c r="E58" i="2"/>
  <c r="F58" i="2"/>
  <c r="G58" i="2"/>
  <c r="H58" i="2"/>
  <c r="I58" i="2"/>
  <c r="D58" i="2"/>
  <c r="E25" i="3"/>
  <c r="E27" i="3" s="1"/>
  <c r="F25" i="3"/>
  <c r="F28" i="3" s="1"/>
  <c r="G25" i="3"/>
  <c r="G26" i="3" s="1"/>
  <c r="H25" i="3"/>
  <c r="H26" i="3" s="1"/>
  <c r="I25" i="3"/>
  <c r="I26" i="3" s="1"/>
  <c r="C25" i="3"/>
  <c r="C27" i="3" s="1"/>
  <c r="D15" i="3"/>
  <c r="E15" i="3"/>
  <c r="F15" i="3"/>
  <c r="G15" i="3"/>
  <c r="H15" i="3"/>
  <c r="I15" i="3"/>
  <c r="E36" i="3"/>
  <c r="E37" i="3" s="1"/>
  <c r="F36" i="3"/>
  <c r="F39" i="3" s="1"/>
  <c r="G36" i="3"/>
  <c r="G38" i="3" s="1"/>
  <c r="H36" i="3"/>
  <c r="H39" i="3" s="1"/>
  <c r="I36" i="3"/>
  <c r="I39" i="3" s="1"/>
  <c r="C36" i="3"/>
  <c r="D24" i="3"/>
  <c r="E24" i="3"/>
  <c r="F24" i="3"/>
  <c r="G24" i="3"/>
  <c r="H24" i="3"/>
  <c r="I24" i="3"/>
  <c r="C24" i="3"/>
  <c r="D23" i="3"/>
  <c r="E23" i="3"/>
  <c r="F23" i="3"/>
  <c r="G23" i="3"/>
  <c r="H23" i="3"/>
  <c r="I23" i="3"/>
  <c r="C23" i="3"/>
  <c r="D22" i="3"/>
  <c r="E22" i="3"/>
  <c r="F22" i="3"/>
  <c r="G22" i="3"/>
  <c r="H22" i="3"/>
  <c r="I22" i="3"/>
  <c r="C22" i="3"/>
  <c r="D21" i="3"/>
  <c r="E21" i="3"/>
  <c r="F21" i="3"/>
  <c r="G21" i="3"/>
  <c r="H21" i="3"/>
  <c r="I21" i="3"/>
  <c r="C21" i="3"/>
  <c r="D20" i="3"/>
  <c r="E20" i="3"/>
  <c r="F20" i="3"/>
  <c r="G20" i="3"/>
  <c r="H20" i="3"/>
  <c r="I20" i="3"/>
  <c r="C20" i="3"/>
  <c r="C28" i="3" l="1"/>
  <c r="C26" i="3"/>
  <c r="C78" i="3" s="1"/>
  <c r="H28" i="3"/>
  <c r="I28" i="3"/>
  <c r="G28" i="3"/>
  <c r="I27" i="3"/>
  <c r="E26" i="3"/>
  <c r="E28" i="3"/>
  <c r="D28" i="3"/>
  <c r="C55" i="2"/>
  <c r="C59" i="2" s="1"/>
  <c r="H55" i="2"/>
  <c r="D55" i="2"/>
  <c r="D59" i="2" s="1"/>
  <c r="I55" i="2"/>
  <c r="I59" i="2" s="1"/>
  <c r="E55" i="2"/>
  <c r="H44" i="2"/>
  <c r="D44" i="2"/>
  <c r="C44" i="2"/>
  <c r="I44" i="2"/>
  <c r="C14" i="4" s="1"/>
  <c r="G44" i="2"/>
  <c r="G55" i="2"/>
  <c r="F44" i="2"/>
  <c r="F55" i="2"/>
  <c r="D33" i="3"/>
  <c r="D32" i="3"/>
  <c r="D38" i="3"/>
  <c r="D31" i="3"/>
  <c r="D35" i="3"/>
  <c r="D37" i="3"/>
  <c r="D39" i="3"/>
  <c r="E59" i="2"/>
  <c r="F35" i="3"/>
  <c r="E39" i="3"/>
  <c r="F31" i="3"/>
  <c r="H35" i="3"/>
  <c r="F34" i="3"/>
  <c r="F37" i="3"/>
  <c r="H34" i="3"/>
  <c r="H33" i="3"/>
  <c r="I31" i="3"/>
  <c r="I38" i="3"/>
  <c r="H31" i="3"/>
  <c r="F33" i="3"/>
  <c r="F32" i="3"/>
  <c r="G39" i="3"/>
  <c r="E38" i="3"/>
  <c r="F38" i="3"/>
  <c r="I34" i="3"/>
  <c r="E35" i="3"/>
  <c r="G35" i="3"/>
  <c r="I35" i="3"/>
  <c r="I33" i="3"/>
  <c r="E34" i="3"/>
  <c r="G34" i="3"/>
  <c r="H32" i="3"/>
  <c r="I32" i="3"/>
  <c r="E33" i="3"/>
  <c r="G33" i="3"/>
  <c r="H37" i="3"/>
  <c r="H38" i="3"/>
  <c r="E31" i="3"/>
  <c r="G31" i="3"/>
  <c r="I37" i="3"/>
  <c r="E32" i="3"/>
  <c r="G32" i="3"/>
  <c r="G37" i="3"/>
  <c r="H59" i="2" l="1"/>
  <c r="F59" i="2"/>
  <c r="G59" i="2"/>
  <c r="C79" i="3"/>
  <c r="C49" i="2" s="1"/>
  <c r="D78" i="3"/>
  <c r="H78" i="3"/>
  <c r="G78" i="3"/>
  <c r="E78" i="3"/>
  <c r="I78" i="3"/>
  <c r="F78" i="3"/>
  <c r="F79" i="3" l="1"/>
  <c r="F49" i="2" s="1"/>
  <c r="E79" i="3"/>
  <c r="E49" i="2" s="1"/>
  <c r="H79" i="3"/>
  <c r="H49" i="2" s="1"/>
  <c r="I79" i="3"/>
  <c r="G79" i="3"/>
  <c r="G49" i="2" s="1"/>
  <c r="D79" i="3"/>
  <c r="D49" i="2" s="1"/>
  <c r="C20" i="4" l="1"/>
  <c r="I49" i="2"/>
  <c r="E35" i="2"/>
  <c r="E39" i="2" s="1"/>
  <c r="E42" i="3"/>
  <c r="E46" i="3" s="1"/>
  <c r="E57" i="3" s="1"/>
  <c r="E69" i="3" s="1"/>
  <c r="C35" i="2"/>
  <c r="C38" i="2" s="1"/>
  <c r="I42" i="3"/>
  <c r="I35" i="2"/>
  <c r="H42" i="3"/>
  <c r="H50" i="3" s="1"/>
  <c r="H61" i="3" s="1"/>
  <c r="H73" i="3" s="1"/>
  <c r="H35" i="2"/>
  <c r="H39" i="2" s="1"/>
  <c r="G42" i="3"/>
  <c r="G49" i="3" s="1"/>
  <c r="G60" i="3" s="1"/>
  <c r="G72" i="3" s="1"/>
  <c r="G35" i="2"/>
  <c r="G39" i="2" s="1"/>
  <c r="F42" i="3"/>
  <c r="F50" i="3" s="1"/>
  <c r="F61" i="3" s="1"/>
  <c r="F73" i="3" s="1"/>
  <c r="F35" i="2"/>
  <c r="F39" i="2" s="1"/>
  <c r="D35" i="2"/>
  <c r="D39" i="2" s="1"/>
  <c r="D42" i="3"/>
  <c r="D47" i="3" s="1"/>
  <c r="D58" i="3" s="1"/>
  <c r="D70" i="3" s="1"/>
  <c r="C62" i="2" l="1"/>
  <c r="C34" i="4" s="1"/>
  <c r="C30" i="4"/>
  <c r="C66" i="2"/>
  <c r="I39" i="2"/>
  <c r="D31" i="4" s="1"/>
  <c r="C26" i="4"/>
  <c r="I44" i="3"/>
  <c r="I55" i="3" s="1"/>
  <c r="I67" i="3" s="1"/>
  <c r="I24" i="2" s="1"/>
  <c r="I48" i="3"/>
  <c r="I59" i="3" s="1"/>
  <c r="I71" i="3" s="1"/>
  <c r="D38" i="2"/>
  <c r="G38" i="2"/>
  <c r="F38" i="2"/>
  <c r="H38" i="2"/>
  <c r="C51" i="3"/>
  <c r="C62" i="3" s="1"/>
  <c r="C43" i="3"/>
  <c r="C54" i="3" s="1"/>
  <c r="C66" i="3" s="1"/>
  <c r="C23" i="2" s="1"/>
  <c r="C39" i="2"/>
  <c r="I38" i="2"/>
  <c r="D30" i="4" s="1"/>
  <c r="E38" i="2"/>
  <c r="H30" i="2"/>
  <c r="C45" i="3"/>
  <c r="C56" i="3" s="1"/>
  <c r="C68" i="3" s="1"/>
  <c r="G45" i="3"/>
  <c r="G56" i="3" s="1"/>
  <c r="G68" i="3" s="1"/>
  <c r="H44" i="3"/>
  <c r="H55" i="3" s="1"/>
  <c r="H67" i="3" s="1"/>
  <c r="E49" i="3"/>
  <c r="E60" i="3" s="1"/>
  <c r="E72" i="3" s="1"/>
  <c r="E45" i="3"/>
  <c r="E56" i="3" s="1"/>
  <c r="E68" i="3" s="1"/>
  <c r="I45" i="3"/>
  <c r="I56" i="3" s="1"/>
  <c r="I68" i="3" s="1"/>
  <c r="D45" i="3"/>
  <c r="D56" i="3" s="1"/>
  <c r="D68" i="3" s="1"/>
  <c r="E48" i="3"/>
  <c r="E59" i="3" s="1"/>
  <c r="E71" i="3" s="1"/>
  <c r="H47" i="3"/>
  <c r="H58" i="3" s="1"/>
  <c r="H70" i="3" s="1"/>
  <c r="E43" i="3"/>
  <c r="E54" i="3" s="1"/>
  <c r="E66" i="3" s="1"/>
  <c r="H45" i="3"/>
  <c r="H56" i="3" s="1"/>
  <c r="H68" i="3" s="1"/>
  <c r="D48" i="3"/>
  <c r="D59" i="3" s="1"/>
  <c r="D71" i="3" s="1"/>
  <c r="I51" i="3"/>
  <c r="I62" i="3" s="1"/>
  <c r="I74" i="3" s="1"/>
  <c r="H49" i="3"/>
  <c r="H60" i="3" s="1"/>
  <c r="H72" i="3" s="1"/>
  <c r="D49" i="3"/>
  <c r="D60" i="3" s="1"/>
  <c r="D72" i="3" s="1"/>
  <c r="E50" i="3"/>
  <c r="E61" i="3" s="1"/>
  <c r="E73" i="3" s="1"/>
  <c r="D27" i="2"/>
  <c r="C47" i="3"/>
  <c r="C58" i="3" s="1"/>
  <c r="C70" i="3" s="1"/>
  <c r="I50" i="3"/>
  <c r="I61" i="3" s="1"/>
  <c r="I73" i="3" s="1"/>
  <c r="I49" i="3"/>
  <c r="I60" i="3" s="1"/>
  <c r="I72" i="3" s="1"/>
  <c r="I46" i="3"/>
  <c r="I57" i="3" s="1"/>
  <c r="I69" i="3" s="1"/>
  <c r="I43" i="3"/>
  <c r="I54" i="3" s="1"/>
  <c r="I66" i="3" s="1"/>
  <c r="C50" i="3"/>
  <c r="C61" i="3" s="1"/>
  <c r="C73" i="3" s="1"/>
  <c r="C49" i="3"/>
  <c r="C60" i="3" s="1"/>
  <c r="C72" i="3" s="1"/>
  <c r="F30" i="2"/>
  <c r="G29" i="2"/>
  <c r="E26" i="2"/>
  <c r="G43" i="3"/>
  <c r="G54" i="3" s="1"/>
  <c r="G66" i="3" s="1"/>
  <c r="F49" i="3"/>
  <c r="F60" i="3" s="1"/>
  <c r="F72" i="3" s="1"/>
  <c r="D44" i="3"/>
  <c r="D55" i="3" s="1"/>
  <c r="D67" i="3" s="1"/>
  <c r="D50" i="3"/>
  <c r="D61" i="3" s="1"/>
  <c r="D73" i="3" s="1"/>
  <c r="H46" i="3"/>
  <c r="H57" i="3" s="1"/>
  <c r="H69" i="3" s="1"/>
  <c r="H43" i="3"/>
  <c r="H54" i="3" s="1"/>
  <c r="H66" i="3" s="1"/>
  <c r="D43" i="3"/>
  <c r="D54" i="3" s="1"/>
  <c r="D66" i="3" s="1"/>
  <c r="H48" i="3"/>
  <c r="H59" i="3" s="1"/>
  <c r="H71" i="3" s="1"/>
  <c r="C48" i="3"/>
  <c r="C59" i="3" s="1"/>
  <c r="C71" i="3" s="1"/>
  <c r="F51" i="3"/>
  <c r="F62" i="3" s="1"/>
  <c r="F74" i="3" s="1"/>
  <c r="H51" i="3"/>
  <c r="H62" i="3" s="1"/>
  <c r="H74" i="3" s="1"/>
  <c r="G51" i="3"/>
  <c r="G62" i="3" s="1"/>
  <c r="G74" i="3" s="1"/>
  <c r="G46" i="3"/>
  <c r="G57" i="3" s="1"/>
  <c r="G69" i="3" s="1"/>
  <c r="G50" i="3"/>
  <c r="G61" i="3" s="1"/>
  <c r="G73" i="3" s="1"/>
  <c r="G48" i="3"/>
  <c r="G59" i="3" s="1"/>
  <c r="G71" i="3" s="1"/>
  <c r="G47" i="3"/>
  <c r="G58" i="3" s="1"/>
  <c r="G70" i="3" s="1"/>
  <c r="F47" i="3"/>
  <c r="F58" i="3" s="1"/>
  <c r="F70" i="3" s="1"/>
  <c r="D46" i="3"/>
  <c r="D57" i="3" s="1"/>
  <c r="D69" i="3" s="1"/>
  <c r="D51" i="3"/>
  <c r="D62" i="3" s="1"/>
  <c r="D74" i="3" s="1"/>
  <c r="G44" i="3"/>
  <c r="G55" i="3" s="1"/>
  <c r="G67" i="3" s="1"/>
  <c r="F43" i="3"/>
  <c r="F54" i="3" s="1"/>
  <c r="F66" i="3" s="1"/>
  <c r="F48" i="3"/>
  <c r="F59" i="3" s="1"/>
  <c r="F71" i="3" s="1"/>
  <c r="F46" i="3"/>
  <c r="F57" i="3" s="1"/>
  <c r="F69" i="3" s="1"/>
  <c r="E47" i="3"/>
  <c r="E58" i="3" s="1"/>
  <c r="E70" i="3" s="1"/>
  <c r="E51" i="3"/>
  <c r="E62" i="3" s="1"/>
  <c r="E74" i="3" s="1"/>
  <c r="F45" i="3"/>
  <c r="F56" i="3" s="1"/>
  <c r="F68" i="3" s="1"/>
  <c r="C44" i="3"/>
  <c r="C55" i="3" s="1"/>
  <c r="C67" i="3" s="1"/>
  <c r="F44" i="3"/>
  <c r="F55" i="3" s="1"/>
  <c r="F67" i="3" s="1"/>
  <c r="E44" i="3"/>
  <c r="E55" i="3" s="1"/>
  <c r="E67" i="3" s="1"/>
  <c r="C46" i="3"/>
  <c r="C57" i="3" s="1"/>
  <c r="C69" i="3" s="1"/>
  <c r="I47" i="3"/>
  <c r="I58" i="3" s="1"/>
  <c r="I70" i="3" s="1"/>
  <c r="C74" i="3" l="1"/>
  <c r="C31" i="2" s="1"/>
  <c r="E30" i="4"/>
  <c r="C31" i="4"/>
  <c r="E31" i="4" s="1"/>
  <c r="C67" i="2"/>
  <c r="C63" i="2"/>
  <c r="C35" i="4" s="1"/>
  <c r="I62" i="2"/>
  <c r="D34" i="4" s="1"/>
  <c r="E34" i="4" s="1"/>
  <c r="I66" i="2"/>
  <c r="I67" i="2"/>
  <c r="I63" i="2"/>
  <c r="D35" i="4" s="1"/>
  <c r="F63" i="2"/>
  <c r="F67" i="2"/>
  <c r="D66" i="2"/>
  <c r="D62" i="2"/>
  <c r="H67" i="2"/>
  <c r="H63" i="2"/>
  <c r="F62" i="2"/>
  <c r="F66" i="2"/>
  <c r="G63" i="2"/>
  <c r="G67" i="2"/>
  <c r="D63" i="2"/>
  <c r="D67" i="2"/>
  <c r="E66" i="2"/>
  <c r="E62" i="2"/>
  <c r="H62" i="2"/>
  <c r="H66" i="2"/>
  <c r="G66" i="2"/>
  <c r="G62" i="2"/>
  <c r="E67" i="2"/>
  <c r="E63" i="2"/>
  <c r="I63" i="3"/>
  <c r="I75" i="3" s="1"/>
  <c r="D25" i="2"/>
  <c r="E25" i="2"/>
  <c r="I25" i="2"/>
  <c r="H29" i="2"/>
  <c r="I31" i="2"/>
  <c r="G25" i="2"/>
  <c r="H24" i="2"/>
  <c r="C29" i="2"/>
  <c r="C25" i="2"/>
  <c r="E29" i="2"/>
  <c r="D29" i="2"/>
  <c r="E63" i="3"/>
  <c r="E75" i="3" s="1"/>
  <c r="D28" i="2"/>
  <c r="H25" i="2"/>
  <c r="E30" i="2"/>
  <c r="E28" i="2"/>
  <c r="H27" i="2"/>
  <c r="E23" i="2"/>
  <c r="C30" i="2"/>
  <c r="I29" i="2"/>
  <c r="I28" i="2"/>
  <c r="I30" i="2"/>
  <c r="I26" i="2"/>
  <c r="C27" i="2"/>
  <c r="D31" i="2"/>
  <c r="E24" i="2"/>
  <c r="H23" i="2"/>
  <c r="H63" i="3"/>
  <c r="H75" i="3" s="1"/>
  <c r="D30" i="2"/>
  <c r="C63" i="3"/>
  <c r="C75" i="3" s="1"/>
  <c r="G27" i="2"/>
  <c r="H26" i="2"/>
  <c r="G26" i="2"/>
  <c r="G31" i="2"/>
  <c r="C28" i="2"/>
  <c r="I27" i="2"/>
  <c r="D26" i="2"/>
  <c r="F27" i="2"/>
  <c r="D23" i="2"/>
  <c r="D63" i="3"/>
  <c r="D75" i="3" s="1"/>
  <c r="F25" i="2"/>
  <c r="G30" i="2"/>
  <c r="F24" i="2"/>
  <c r="C24" i="2"/>
  <c r="G28" i="2"/>
  <c r="E31" i="2"/>
  <c r="D24" i="2"/>
  <c r="F29" i="2"/>
  <c r="H31" i="2"/>
  <c r="G63" i="3"/>
  <c r="G75" i="3" s="1"/>
  <c r="G23" i="2"/>
  <c r="F23" i="2"/>
  <c r="F63" i="3"/>
  <c r="F75" i="3" s="1"/>
  <c r="G24" i="2"/>
  <c r="C26" i="2"/>
  <c r="H28" i="2"/>
  <c r="E27" i="2"/>
  <c r="F26" i="2"/>
  <c r="F28" i="2"/>
  <c r="F31" i="2"/>
  <c r="E35" i="4" l="1"/>
  <c r="I23" i="2"/>
  <c r="E32" i="2"/>
  <c r="C32" i="2"/>
  <c r="F32" i="2"/>
  <c r="D32" i="2"/>
  <c r="H32" i="2"/>
  <c r="G32" i="2"/>
  <c r="G51" i="2" l="1"/>
  <c r="G50" i="2" s="1"/>
  <c r="H51" i="2"/>
  <c r="H50" i="2" s="1"/>
  <c r="D51" i="2"/>
  <c r="D50" i="2" s="1"/>
  <c r="F51" i="2"/>
  <c r="F50" i="2" s="1"/>
  <c r="C51" i="2"/>
  <c r="C50" i="2" s="1"/>
  <c r="E51" i="2"/>
  <c r="E50" i="2" s="1"/>
  <c r="I32" i="2"/>
  <c r="I51" i="2" s="1"/>
  <c r="I50" i="2" s="1"/>
  <c r="C21" i="4" l="1"/>
  <c r="C22" i="4"/>
  <c r="L44" i="2"/>
  <c r="D21" i="4" l="1"/>
  <c r="D20" i="4"/>
  <c r="D16" i="4"/>
  <c r="D14" i="4"/>
  <c r="D15" i="4"/>
  <c r="D18" i="4"/>
  <c r="D17" i="4"/>
</calcChain>
</file>

<file path=xl/sharedStrings.xml><?xml version="1.0" encoding="utf-8"?>
<sst xmlns="http://schemas.openxmlformats.org/spreadsheetml/2006/main" count="347" uniqueCount="111">
  <si>
    <t>Sources</t>
  </si>
  <si>
    <t>[%]</t>
  </si>
  <si>
    <t>Average annual distance travelled by car</t>
  </si>
  <si>
    <t>[km/year]</t>
  </si>
  <si>
    <t>[people/car]</t>
  </si>
  <si>
    <t>Sufficiency parameters</t>
  </si>
  <si>
    <t>Techno parameters</t>
  </si>
  <si>
    <t>2019 (I took the data from your analysis which is in fact 2020 but for mobility there is a small change)</t>
  </si>
  <si>
    <t>Assumptions_Transport_nWBE_220630</t>
  </si>
  <si>
    <t>5v_27</t>
  </si>
  <si>
    <t>Comments</t>
  </si>
  <si>
    <t>Index</t>
  </si>
  <si>
    <t>L/100 km</t>
  </si>
  <si>
    <t>kg/100 km</t>
  </si>
  <si>
    <t>kWh/km</t>
  </si>
  <si>
    <t>Share of pkm travelled in electric mode for plug-in hybrid cars</t>
  </si>
  <si>
    <t>%</t>
  </si>
  <si>
    <t>Energy in fuel</t>
  </si>
  <si>
    <t>Gasoline</t>
  </si>
  <si>
    <t>Diesel</t>
  </si>
  <si>
    <t>Unit</t>
  </si>
  <si>
    <t>Amount</t>
  </si>
  <si>
    <t>[kWh/L]</t>
  </si>
  <si>
    <t>[kWh/kg]</t>
  </si>
  <si>
    <t>LPG</t>
  </si>
  <si>
    <t xml:space="preserve">NVG/biomethane </t>
  </si>
  <si>
    <t>Hydrogen</t>
  </si>
  <si>
    <t>Energy consumption of cars</t>
  </si>
  <si>
    <t>Gasoline cars</t>
  </si>
  <si>
    <t>Diesel cars</t>
  </si>
  <si>
    <t>LPG cars</t>
  </si>
  <si>
    <t>NGV / biomethane cars</t>
  </si>
  <si>
    <t>Hydrogen cars</t>
  </si>
  <si>
    <t>BEV cars</t>
  </si>
  <si>
    <t>Basic Unit</t>
  </si>
  <si>
    <t>Energy Unit</t>
  </si>
  <si>
    <t>Plug-in diesel hybrid cars</t>
  </si>
  <si>
    <t>Plug-in gasoline hybrid cars</t>
  </si>
  <si>
    <t>Plug-in gas hybrid cars</t>
  </si>
  <si>
    <t>5v_27 = negawatt fr</t>
  </si>
  <si>
    <t>5v_27 and negawatt fr</t>
  </si>
  <si>
    <t>[kWh/km]</t>
  </si>
  <si>
    <t>Input data</t>
  </si>
  <si>
    <t>Total car travels</t>
  </si>
  <si>
    <t>Gpkm</t>
  </si>
  <si>
    <t>TWh</t>
  </si>
  <si>
    <t xml:space="preserve">Total </t>
  </si>
  <si>
    <t>Number of cars</t>
  </si>
  <si>
    <t>M#</t>
  </si>
  <si>
    <t>Consumption by type of car</t>
  </si>
  <si>
    <t>Total Results</t>
  </si>
  <si>
    <t>Split Results</t>
  </si>
  <si>
    <t>Total pkm</t>
  </si>
  <si>
    <t>Occupancy</t>
  </si>
  <si>
    <t>Total  reduction</t>
  </si>
  <si>
    <t>Calcul split result share of elec</t>
  </si>
  <si>
    <t>kWh/h</t>
  </si>
  <si>
    <t>Average consumption (without a change of BEV consumption)</t>
  </si>
  <si>
    <t>Percent of gain</t>
  </si>
  <si>
    <t>.</t>
  </si>
  <si>
    <t>No information in Clever</t>
  </si>
  <si>
    <t>The NégaWatt France suggests that reducing the highway speed limit from 130 km/h to 110 km/h, combined with more sustainable driving behaviors, leads to a 3% reduction in fuel consumption. In the Belgian context, where the speed limit is already lower decreasing from 120 km/h to 110 km/h and assuming a similar shift toward calmer driving behavior, a 2% reduction in consumption is considered achievable. This change is assumed to take place in a single step in 2030.</t>
  </si>
  <si>
    <t>The reduction in vehicle weight is expected to result in a 2% decrease in energy consumption by 2050. This change is assumed to occur progressively and linearly, beginning in 2035.</t>
  </si>
  <si>
    <t>Speed limit &amp; sustainable driving gain</t>
  </si>
  <si>
    <t>Share made by car</t>
  </si>
  <si>
    <t>Weight</t>
  </si>
  <si>
    <t>Curved glas</t>
  </si>
  <si>
    <t>Steel</t>
  </si>
  <si>
    <t>Industry parameters</t>
  </si>
  <si>
    <t>negawatt fr</t>
  </si>
  <si>
    <t>[kg]</t>
  </si>
  <si>
    <t>kT</t>
  </si>
  <si>
    <t>Lifetime</t>
  </si>
  <si>
    <t>[Years]</t>
  </si>
  <si>
    <t>Curved glass</t>
  </si>
  <si>
    <t>Percentage gain of energy per parameter</t>
  </si>
  <si>
    <t>Percentage gain of number of car per parameter</t>
  </si>
  <si>
    <t>Percentage of use by type of car</t>
  </si>
  <si>
    <t>Travel demand by type of car</t>
  </si>
  <si>
    <t>Energy consumption demand by type of car</t>
  </si>
  <si>
    <t>Energy consumption demand by type of car with speed limit and sustainable driving</t>
  </si>
  <si>
    <t>Modal shift</t>
  </si>
  <si>
    <t>Distance</t>
  </si>
  <si>
    <t>Car occupancy</t>
  </si>
  <si>
    <t>Car design</t>
  </si>
  <si>
    <t>Electrification</t>
  </si>
  <si>
    <t>Efficiency</t>
  </si>
  <si>
    <t>[Gpkm/year]</t>
  </si>
  <si>
    <t>Annual Industry production for cars</t>
  </si>
  <si>
    <t>Percentage to Belgian annual production</t>
  </si>
  <si>
    <t>Annual material gain</t>
  </si>
  <si>
    <t>Sufficiency</t>
  </si>
  <si>
    <t>Speed limit and behavior</t>
  </si>
  <si>
    <t>Tranport input</t>
  </si>
  <si>
    <t>Comment</t>
  </si>
  <si>
    <t>km/p/y</t>
  </si>
  <si>
    <t>people/car</t>
  </si>
  <si>
    <t>FEC diminushing by parameter in 2050</t>
  </si>
  <si>
    <t>Total</t>
  </si>
  <si>
    <t>Car fleet in 2050</t>
  </si>
  <si>
    <t>Number</t>
  </si>
  <si>
    <t xml:space="preserve">Car fleet </t>
  </si>
  <si>
    <t>https://plateforme-wallonne-giec.be/lettre-37</t>
  </si>
  <si>
    <t>We suppose that a car travelled 180,000 km during its entire life</t>
  </si>
  <si>
    <t>2050 global impact</t>
  </si>
  <si>
    <t>Delta (2019-2050)</t>
  </si>
  <si>
    <t/>
  </si>
  <si>
    <t>We suppose that all the other technologies maintain their same technology share between them</t>
  </si>
  <si>
    <t>All the other technologies maintain their efficiency since the constructors are investing only a the technology that is selled</t>
  </si>
  <si>
    <t>The Belgian production is taken from VGI-FIV-Rapport-2017</t>
  </si>
  <si>
    <t>The Belgian production is taken from https://www.expometals.net/fr/news/les-principaux-pays-producteurs-dacier-la-carte-du-monde-siderurgique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</si>
</sst>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5" x14ac:knownFonts="1">
    <font>
      <sz val="11"/>
      <color theme="1"/>
      <name val="Aptos Narrow"/>
      <family val="2"/>
      <scheme val="minor"/>
    </font>
    <font>
      <sz val="10"/>
      <name val="Arial"/>
      <family val="2"/>
      <charset val="1"/>
    </font>
    <font>
      <sz val="11"/>
      <color rgb="FF3F3F76"/>
      <name val="Calibri"/>
      <family val="2"/>
      <charset val="1"/>
    </font>
    <font>
      <sz val="8"/>
      <name val="Aptos Narrow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3F3F76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libri"/>
      <family val="2"/>
    </font>
    <font>
      <sz val="18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C"/>
        <bgColor rgb="FFFFD8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rgb="FFFFF2CC"/>
      </patternFill>
    </fill>
    <fill>
      <patternFill patternType="solid">
        <fgColor rgb="FFFFCC99"/>
        <bgColor rgb="FFFFC6AB"/>
      </patternFill>
    </fill>
    <fill>
      <patternFill patternType="solid">
        <fgColor rgb="FFF2F2F2"/>
        <bgColor rgb="FFF1F7F2"/>
      </patternFill>
    </fill>
    <fill>
      <patternFill patternType="solid">
        <fgColor theme="0"/>
        <bgColor rgb="FFFFF2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/>
      <right/>
      <top/>
      <bottom style="double">
        <color rgb="FFF67E0B"/>
      </bottom>
      <diagonal/>
    </border>
    <border>
      <left style="thin">
        <color rgb="FFB3B3B3"/>
      </left>
      <right/>
      <top/>
      <bottom/>
      <diagonal/>
    </border>
  </borders>
  <cellStyleXfs count="9">
    <xf numFmtId="0" fontId="0" fillId="0" borderId="0"/>
    <xf numFmtId="0" fontId="1" fillId="0" borderId="0"/>
    <xf numFmtId="0" fontId="2" fillId="2" borderId="1" applyProtection="0"/>
    <xf numFmtId="0" fontId="4" fillId="6" borderId="2" applyProtection="0"/>
    <xf numFmtId="0" fontId="6" fillId="7" borderId="1" applyProtection="0"/>
    <xf numFmtId="0" fontId="7" fillId="8" borderId="1" applyProtection="0"/>
    <xf numFmtId="0" fontId="8" fillId="0" borderId="3" applyProtection="0"/>
    <xf numFmtId="9" fontId="9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29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 vertical="center"/>
    </xf>
    <xf numFmtId="164" fontId="5" fillId="9" borderId="2" xfId="3" applyNumberFormat="1" applyFont="1" applyFill="1" applyAlignment="1" applyProtection="1">
      <alignment horizontal="center" vertical="center"/>
      <protection locked="0"/>
    </xf>
    <xf numFmtId="0" fontId="0" fillId="10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10" borderId="0" xfId="0" applyFill="1"/>
    <xf numFmtId="0" fontId="12" fillId="0" borderId="0" xfId="0" applyFont="1"/>
    <xf numFmtId="164" fontId="11" fillId="9" borderId="2" xfId="3" applyNumberFormat="1" applyFont="1" applyFill="1" applyAlignment="1" applyProtection="1">
      <alignment horizontal="center" vertical="center"/>
      <protection locked="0"/>
    </xf>
    <xf numFmtId="164" fontId="0" fillId="0" borderId="0" xfId="0" applyNumberFormat="1"/>
    <xf numFmtId="164" fontId="0" fillId="0" borderId="0" xfId="0" applyNumberFormat="1" applyAlignment="1">
      <alignment horizontal="left"/>
    </xf>
    <xf numFmtId="9" fontId="0" fillId="0" borderId="0" xfId="7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1" fillId="9" borderId="4" xfId="3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 vertical="center"/>
    </xf>
    <xf numFmtId="3" fontId="0" fillId="0" borderId="0" xfId="0" applyNumberFormat="1" applyAlignment="1">
      <alignment horizontal="left"/>
    </xf>
    <xf numFmtId="0" fontId="13" fillId="0" borderId="0" xfId="0" applyFont="1"/>
    <xf numFmtId="0" fontId="0" fillId="11" borderId="0" xfId="0" applyFill="1" applyAlignment="1">
      <alignment horizontal="center"/>
    </xf>
    <xf numFmtId="9" fontId="0" fillId="0" borderId="0" xfId="0" applyNumberFormat="1"/>
    <xf numFmtId="0" fontId="0" fillId="3" borderId="0" xfId="0" applyFill="1" applyAlignment="1">
      <alignment horizontal="right"/>
    </xf>
    <xf numFmtId="0" fontId="14" fillId="0" borderId="0" xfId="8"/>
    <xf numFmtId="9" fontId="0" fillId="3" borderId="0" xfId="7" applyFont="1" applyFill="1" applyAlignment="1">
      <alignment horizontal="center"/>
    </xf>
  </cellXfs>
  <cellStyles count="9">
    <cellStyle name="Excel Built-in Calculation 3" xfId="5" xr:uid="{E5A29CAF-5CB1-49BA-80A8-2E81B1C7687F}"/>
    <cellStyle name="Excel Built-in Input" xfId="2" xr:uid="{51C5257C-27FC-4C4D-83BB-DC973DE55197}"/>
    <cellStyle name="Excel Built-in Input 4" xfId="4" xr:uid="{84BBFD11-FFFE-412B-8D12-957D76D72EF9}"/>
    <cellStyle name="Excel Built-in Linked Cell" xfId="6" xr:uid="{3A8A8FBD-A242-4267-B11A-37DB7957F763}"/>
    <cellStyle name="Excel Built-in Note 5" xfId="3" xr:uid="{1426C8DF-2D09-4300-B38B-A750F59C7971}"/>
    <cellStyle name="Lien hypertexte" xfId="8" builtinId="8"/>
    <cellStyle name="Normal" xfId="0" builtinId="0"/>
    <cellStyle name="Normal 2" xfId="1" xr:uid="{8313DB9D-76A7-4AF5-8C1B-885077DF6A7F}"/>
    <cellStyle name="Pourcentage" xfId="7" builtinId="5"/>
  </cellStyles>
  <dxfs count="3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lateforme-wallonne-giec.be/lettre-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C54B-E395-4D99-93B8-3140D5918015}">
  <dimension ref="A2:S73"/>
  <sheetViews>
    <sheetView tabSelected="1" topLeftCell="A13" zoomScale="79" zoomScaleNormal="79" workbookViewId="0">
      <selection activeCell="H74" sqref="H74"/>
    </sheetView>
  </sheetViews>
  <sheetFormatPr baseColWidth="10" defaultRowHeight="14.5" x14ac:dyDescent="0.35"/>
  <cols>
    <col min="1" max="1" width="36.54296875" bestFit="1" customWidth="1"/>
    <col min="2" max="2" width="10.81640625" bestFit="1" customWidth="1"/>
    <col min="3" max="3" width="12.36328125" customWidth="1"/>
    <col min="4" max="4" width="11.54296875" customWidth="1"/>
    <col min="5" max="5" width="11.81640625" customWidth="1"/>
    <col min="6" max="6" width="11.7265625" customWidth="1"/>
    <col min="7" max="7" width="10.90625" customWidth="1"/>
    <col min="8" max="8" width="10.54296875" customWidth="1"/>
    <col min="9" max="9" width="9.36328125" customWidth="1"/>
    <col min="10" max="10" width="33" customWidth="1"/>
    <col min="11" max="11" width="66.90625" customWidth="1"/>
    <col min="14" max="14" width="13.81640625" bestFit="1" customWidth="1"/>
  </cols>
  <sheetData>
    <row r="2" spans="1:19" ht="23.5" x14ac:dyDescent="0.55000000000000004">
      <c r="A2" s="12" t="s">
        <v>42</v>
      </c>
    </row>
    <row r="3" spans="1:19" x14ac:dyDescent="0.35">
      <c r="A3" s="1" t="s">
        <v>5</v>
      </c>
      <c r="B3" s="20" t="s">
        <v>11</v>
      </c>
      <c r="C3" s="1" t="s">
        <v>7</v>
      </c>
      <c r="D3" s="1">
        <v>2025</v>
      </c>
      <c r="E3" s="1">
        <v>2030</v>
      </c>
      <c r="F3" s="1">
        <v>2035</v>
      </c>
      <c r="G3" s="1">
        <v>2040</v>
      </c>
      <c r="H3" s="1">
        <v>2045</v>
      </c>
      <c r="I3" s="1">
        <v>2050</v>
      </c>
      <c r="J3" s="1" t="s">
        <v>0</v>
      </c>
      <c r="K3" s="1" t="s">
        <v>10</v>
      </c>
    </row>
    <row r="4" spans="1:19" ht="16.5" customHeight="1" x14ac:dyDescent="0.35">
      <c r="A4" s="11" t="s">
        <v>82</v>
      </c>
      <c r="B4" s="10" t="s">
        <v>87</v>
      </c>
      <c r="C4" s="3">
        <v>141.71899999999999</v>
      </c>
      <c r="D4" s="3">
        <v>142.63</v>
      </c>
      <c r="E4" s="3">
        <v>133.15899999999999</v>
      </c>
      <c r="F4" s="3">
        <v>131.047</v>
      </c>
      <c r="G4" s="3">
        <v>121.634</v>
      </c>
      <c r="H4" s="3">
        <v>115.88500000000001</v>
      </c>
      <c r="I4" s="3">
        <v>110.655</v>
      </c>
      <c r="J4" t="s">
        <v>8</v>
      </c>
      <c r="K4" s="19" t="s">
        <v>59</v>
      </c>
      <c r="L4" s="3"/>
      <c r="M4" s="3"/>
      <c r="N4" s="3"/>
      <c r="O4" s="3"/>
      <c r="P4" s="3"/>
      <c r="Q4" s="3"/>
      <c r="R4" s="3"/>
      <c r="S4" s="3"/>
    </row>
    <row r="5" spans="1:19" x14ac:dyDescent="0.35">
      <c r="A5" s="11" t="s">
        <v>81</v>
      </c>
      <c r="B5" s="10" t="s">
        <v>1</v>
      </c>
      <c r="C5" s="16">
        <v>0.8011789924973205</v>
      </c>
      <c r="D5" s="16">
        <v>0.78347732181425489</v>
      </c>
      <c r="E5" s="16">
        <v>0.7472406181015453</v>
      </c>
      <c r="F5" s="16">
        <v>0.69966254218222723</v>
      </c>
      <c r="G5" s="16">
        <v>0.63729977116704806</v>
      </c>
      <c r="H5" s="16">
        <v>0.59756097560975618</v>
      </c>
      <c r="I5" s="16">
        <v>0.56823529411764706</v>
      </c>
      <c r="J5" t="s">
        <v>8</v>
      </c>
      <c r="K5" t="s">
        <v>59</v>
      </c>
      <c r="L5" s="16"/>
      <c r="M5" s="16"/>
      <c r="N5" s="16"/>
      <c r="O5" s="16"/>
      <c r="P5" s="16"/>
      <c r="Q5" s="16"/>
      <c r="R5" s="16"/>
      <c r="S5" s="16"/>
    </row>
    <row r="6" spans="1:19" x14ac:dyDescent="0.35">
      <c r="A6" s="11" t="s">
        <v>72</v>
      </c>
      <c r="B6" s="10" t="s">
        <v>73</v>
      </c>
      <c r="C6" s="3">
        <v>11.9</v>
      </c>
      <c r="D6" s="3">
        <v>11.9</v>
      </c>
      <c r="E6" s="3">
        <v>11.9</v>
      </c>
      <c r="F6" s="3">
        <v>11.9</v>
      </c>
      <c r="G6" s="3">
        <v>11.9</v>
      </c>
      <c r="H6" s="3">
        <v>11.9</v>
      </c>
      <c r="I6" s="3">
        <v>11.9</v>
      </c>
      <c r="J6" s="27" t="s">
        <v>102</v>
      </c>
      <c r="K6" t="s">
        <v>103</v>
      </c>
      <c r="L6" s="16"/>
      <c r="M6" s="16"/>
      <c r="N6" s="16"/>
      <c r="O6" s="16"/>
      <c r="P6" s="16"/>
      <c r="Q6" s="16"/>
      <c r="R6" s="16"/>
      <c r="S6" s="16"/>
    </row>
    <row r="7" spans="1:19" x14ac:dyDescent="0.35">
      <c r="A7" s="11" t="s">
        <v>2</v>
      </c>
      <c r="B7" s="10" t="s">
        <v>3</v>
      </c>
      <c r="C7" s="3">
        <v>15151</v>
      </c>
      <c r="D7" s="3">
        <v>15151</v>
      </c>
      <c r="E7" s="3">
        <v>15151</v>
      </c>
      <c r="F7" s="3">
        <v>15151</v>
      </c>
      <c r="G7" s="3">
        <v>15151</v>
      </c>
      <c r="H7" s="3">
        <v>15151</v>
      </c>
      <c r="I7" s="3">
        <v>15151</v>
      </c>
      <c r="J7" t="s">
        <v>9</v>
      </c>
      <c r="K7" t="s">
        <v>60</v>
      </c>
      <c r="L7" s="3"/>
      <c r="M7" s="3"/>
      <c r="N7" s="3"/>
      <c r="O7" s="3"/>
      <c r="P7" s="3"/>
      <c r="Q7" s="3"/>
      <c r="R7" s="3"/>
      <c r="S7" s="3"/>
    </row>
    <row r="8" spans="1:19" x14ac:dyDescent="0.35">
      <c r="A8" s="11" t="s">
        <v>83</v>
      </c>
      <c r="B8" s="10" t="s">
        <v>4</v>
      </c>
      <c r="C8" s="3">
        <v>1.25</v>
      </c>
      <c r="D8" s="3">
        <v>1.4</v>
      </c>
      <c r="E8" s="3">
        <v>1.72</v>
      </c>
      <c r="F8" s="3">
        <v>1.82</v>
      </c>
      <c r="G8" s="3">
        <v>1.9</v>
      </c>
      <c r="H8" s="3">
        <v>1.95</v>
      </c>
      <c r="I8" s="3">
        <v>2</v>
      </c>
      <c r="J8" t="s">
        <v>9</v>
      </c>
      <c r="L8" s="3"/>
      <c r="M8" s="3"/>
      <c r="N8" s="3"/>
      <c r="O8" s="3"/>
      <c r="P8" s="3"/>
      <c r="Q8" s="3"/>
      <c r="R8" s="3"/>
      <c r="S8" s="3"/>
    </row>
    <row r="9" spans="1:19" x14ac:dyDescent="0.35">
      <c r="A9" s="11" t="s">
        <v>63</v>
      </c>
      <c r="B9" s="10" t="s">
        <v>1</v>
      </c>
      <c r="C9" s="3">
        <v>0</v>
      </c>
      <c r="D9" s="3">
        <v>0</v>
      </c>
      <c r="E9" s="3">
        <v>-2</v>
      </c>
      <c r="F9" s="3">
        <v>-2</v>
      </c>
      <c r="G9" s="3">
        <v>-2</v>
      </c>
      <c r="H9" s="3">
        <v>-2</v>
      </c>
      <c r="I9" s="3">
        <v>-2</v>
      </c>
      <c r="J9" t="s">
        <v>40</v>
      </c>
      <c r="K9" t="s">
        <v>61</v>
      </c>
      <c r="L9" s="3"/>
      <c r="M9" s="3"/>
      <c r="N9" s="3"/>
      <c r="O9" s="3"/>
      <c r="P9" s="3"/>
      <c r="Q9" s="3"/>
      <c r="R9" s="3"/>
      <c r="S9" s="3"/>
    </row>
    <row r="10" spans="1:19" x14ac:dyDescent="0.35">
      <c r="A10" s="11" t="s">
        <v>84</v>
      </c>
      <c r="B10" s="10" t="s">
        <v>1</v>
      </c>
      <c r="C10" s="3">
        <v>0</v>
      </c>
      <c r="D10" s="3">
        <v>0</v>
      </c>
      <c r="E10" s="3">
        <v>0</v>
      </c>
      <c r="F10" s="3">
        <v>-0.5</v>
      </c>
      <c r="G10" s="3">
        <v>-1</v>
      </c>
      <c r="H10" s="3">
        <v>-1.5</v>
      </c>
      <c r="I10" s="3">
        <v>-2</v>
      </c>
      <c r="J10" t="s">
        <v>9</v>
      </c>
      <c r="K10" t="s">
        <v>62</v>
      </c>
      <c r="L10" s="3"/>
      <c r="M10" s="3"/>
      <c r="N10" s="3"/>
      <c r="O10" s="3"/>
      <c r="P10" s="17"/>
      <c r="Q10" s="3"/>
      <c r="R10" s="3"/>
      <c r="S10" s="3"/>
    </row>
    <row r="11" spans="1:19" x14ac:dyDescent="0.35">
      <c r="A11" s="1" t="s">
        <v>6</v>
      </c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5">
      <c r="A12" s="11" t="s">
        <v>85</v>
      </c>
      <c r="B12" s="10" t="s">
        <v>1</v>
      </c>
      <c r="C12" s="3">
        <v>0.5</v>
      </c>
      <c r="D12" s="3">
        <v>6</v>
      </c>
      <c r="E12" s="3">
        <v>18</v>
      </c>
      <c r="F12" s="3">
        <v>35</v>
      </c>
      <c r="G12" s="3">
        <v>56</v>
      </c>
      <c r="H12" s="3">
        <v>78</v>
      </c>
      <c r="I12" s="3">
        <v>99.5</v>
      </c>
      <c r="J12" t="s">
        <v>8</v>
      </c>
      <c r="K12" t="s">
        <v>107</v>
      </c>
      <c r="L12" s="3"/>
      <c r="M12" s="3"/>
      <c r="N12" s="3"/>
      <c r="O12" s="3"/>
      <c r="P12" s="3"/>
      <c r="Q12" s="3"/>
      <c r="R12" s="3"/>
      <c r="S12" s="3"/>
    </row>
    <row r="13" spans="1:19" x14ac:dyDescent="0.35">
      <c r="A13" s="11" t="s">
        <v>86</v>
      </c>
      <c r="B13" s="10" t="s">
        <v>41</v>
      </c>
      <c r="C13" s="3">
        <v>0.22</v>
      </c>
      <c r="D13" s="3">
        <v>0.21299999999999999</v>
      </c>
      <c r="E13" s="3">
        <v>0.19</v>
      </c>
      <c r="F13" s="3">
        <v>0.161</v>
      </c>
      <c r="G13" s="3">
        <v>0.14499999999999999</v>
      </c>
      <c r="H13" s="3">
        <v>0.128</v>
      </c>
      <c r="I13" s="3">
        <v>0.128</v>
      </c>
      <c r="J13" t="s">
        <v>39</v>
      </c>
      <c r="K13" t="s">
        <v>108</v>
      </c>
      <c r="L13" s="3"/>
      <c r="M13" s="3"/>
      <c r="N13" s="3"/>
      <c r="O13" s="3"/>
      <c r="P13" s="3"/>
      <c r="Q13" s="3"/>
      <c r="R13" s="3"/>
      <c r="S13" s="3"/>
    </row>
    <row r="14" spans="1:19" x14ac:dyDescent="0.35">
      <c r="A14" s="1" t="s">
        <v>68</v>
      </c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5">
      <c r="A15" s="11" t="s">
        <v>65</v>
      </c>
      <c r="B15" s="10" t="s">
        <v>70</v>
      </c>
      <c r="C15">
        <v>1250</v>
      </c>
      <c r="D15">
        <v>1250</v>
      </c>
      <c r="E15">
        <v>1250</v>
      </c>
      <c r="F15">
        <v>1250</v>
      </c>
      <c r="G15">
        <v>1250</v>
      </c>
      <c r="H15">
        <v>1250</v>
      </c>
      <c r="I15">
        <v>1250</v>
      </c>
      <c r="J15" t="s">
        <v>69</v>
      </c>
    </row>
    <row r="16" spans="1:19" x14ac:dyDescent="0.35">
      <c r="A16" s="11" t="s">
        <v>67</v>
      </c>
      <c r="B16" s="10" t="s">
        <v>1</v>
      </c>
      <c r="C16">
        <v>68</v>
      </c>
      <c r="D16">
        <v>68</v>
      </c>
      <c r="E16">
        <v>68</v>
      </c>
      <c r="F16">
        <v>68</v>
      </c>
      <c r="G16">
        <v>68</v>
      </c>
      <c r="H16">
        <v>68</v>
      </c>
      <c r="I16">
        <v>68</v>
      </c>
      <c r="J16" t="s">
        <v>69</v>
      </c>
    </row>
    <row r="17" spans="1:10" x14ac:dyDescent="0.35">
      <c r="A17" s="11" t="s">
        <v>66</v>
      </c>
      <c r="B17" s="10" t="s">
        <v>1</v>
      </c>
      <c r="C17">
        <v>1.9</v>
      </c>
      <c r="D17">
        <v>1.9</v>
      </c>
      <c r="E17">
        <v>1.9</v>
      </c>
      <c r="F17">
        <v>1.9</v>
      </c>
      <c r="G17">
        <v>1.9</v>
      </c>
      <c r="H17">
        <v>1.9</v>
      </c>
      <c r="I17">
        <v>1.9</v>
      </c>
      <c r="J17" t="s">
        <v>69</v>
      </c>
    </row>
    <row r="21" spans="1:10" ht="23.5" x14ac:dyDescent="0.55000000000000004">
      <c r="A21" s="12" t="s">
        <v>50</v>
      </c>
    </row>
    <row r="22" spans="1:10" x14ac:dyDescent="0.35">
      <c r="A22" s="1" t="s">
        <v>49</v>
      </c>
      <c r="B22" s="7" t="s">
        <v>20</v>
      </c>
      <c r="C22" s="1">
        <v>2020</v>
      </c>
      <c r="D22" s="1">
        <v>2025</v>
      </c>
      <c r="E22" s="1">
        <v>2030</v>
      </c>
      <c r="F22" s="1">
        <v>2035</v>
      </c>
      <c r="G22" s="1">
        <v>2040</v>
      </c>
      <c r="H22" s="1">
        <v>2045</v>
      </c>
      <c r="I22" s="1">
        <v>2050</v>
      </c>
      <c r="J22" s="1" t="s">
        <v>10</v>
      </c>
    </row>
    <row r="23" spans="1:10" x14ac:dyDescent="0.35">
      <c r="A23" s="11" t="s">
        <v>28</v>
      </c>
      <c r="B23" s="10" t="s">
        <v>45</v>
      </c>
      <c r="C23">
        <f>'Calculation-mobility'!C66</f>
        <v>21.116</v>
      </c>
      <c r="D23">
        <f>'Calculation-mobility'!D66</f>
        <v>17.53</v>
      </c>
      <c r="E23">
        <f>'Calculation-mobility'!E66</f>
        <v>10.862</v>
      </c>
      <c r="F23">
        <f>'Calculation-mobility'!F66</f>
        <v>7.46</v>
      </c>
      <c r="G23">
        <f>'Calculation-mobility'!G66</f>
        <v>4.069</v>
      </c>
      <c r="H23">
        <f>'Calculation-mobility'!H66</f>
        <v>1.762</v>
      </c>
      <c r="I23">
        <f>'Calculation-mobility'!I66</f>
        <v>3.5999999999999997E-2</v>
      </c>
    </row>
    <row r="24" spans="1:10" x14ac:dyDescent="0.35">
      <c r="A24" s="11" t="s">
        <v>29</v>
      </c>
      <c r="B24" s="10" t="s">
        <v>45</v>
      </c>
      <c r="C24">
        <f>'Calculation-mobility'!C67</f>
        <v>34.334000000000003</v>
      </c>
      <c r="D24">
        <f>'Calculation-mobility'!D67</f>
        <v>28.503</v>
      </c>
      <c r="E24">
        <f>'Calculation-mobility'!E67</f>
        <v>17.661000000000001</v>
      </c>
      <c r="F24">
        <f>'Calculation-mobility'!F67</f>
        <v>12.13</v>
      </c>
      <c r="G24">
        <f>'Calculation-mobility'!G67</f>
        <v>6.6159999999999997</v>
      </c>
      <c r="H24">
        <f>'Calculation-mobility'!H67</f>
        <v>2.8650000000000002</v>
      </c>
      <c r="I24">
        <f>'Calculation-mobility'!I67</f>
        <v>5.8000000000000003E-2</v>
      </c>
    </row>
    <row r="25" spans="1:10" x14ac:dyDescent="0.35">
      <c r="A25" s="11" t="s">
        <v>30</v>
      </c>
      <c r="B25" s="10" t="s">
        <v>45</v>
      </c>
      <c r="C25">
        <f>'Calculation-mobility'!C68</f>
        <v>0.114</v>
      </c>
      <c r="D25">
        <f>'Calculation-mobility'!D68</f>
        <v>9.5000000000000001E-2</v>
      </c>
      <c r="E25">
        <f>'Calculation-mobility'!E68</f>
        <v>5.8999999999999997E-2</v>
      </c>
      <c r="F25">
        <f>'Calculation-mobility'!F68</f>
        <v>0.04</v>
      </c>
      <c r="G25">
        <f>'Calculation-mobility'!G68</f>
        <v>2.1999999999999999E-2</v>
      </c>
      <c r="H25">
        <f>'Calculation-mobility'!H68</f>
        <v>0.01</v>
      </c>
      <c r="I25">
        <f>'Calculation-mobility'!I68</f>
        <v>0</v>
      </c>
    </row>
    <row r="26" spans="1:10" x14ac:dyDescent="0.35">
      <c r="A26" s="11" t="s">
        <v>31</v>
      </c>
      <c r="B26" s="10" t="s">
        <v>45</v>
      </c>
      <c r="C26">
        <f>'Calculation-mobility'!C69</f>
        <v>0.129</v>
      </c>
      <c r="D26">
        <f>'Calculation-mobility'!D69</f>
        <v>0.107</v>
      </c>
      <c r="E26">
        <f>'Calculation-mobility'!E69</f>
        <v>6.7000000000000004E-2</v>
      </c>
      <c r="F26">
        <f>'Calculation-mobility'!F69</f>
        <v>4.5999999999999999E-2</v>
      </c>
      <c r="G26">
        <f>'Calculation-mobility'!G69</f>
        <v>2.5000000000000001E-2</v>
      </c>
      <c r="H26">
        <f>'Calculation-mobility'!H69</f>
        <v>1.0999999999999999E-2</v>
      </c>
      <c r="I26">
        <f>'Calculation-mobility'!I69</f>
        <v>0</v>
      </c>
    </row>
    <row r="27" spans="1:10" x14ac:dyDescent="0.35">
      <c r="A27" s="11" t="s">
        <v>32</v>
      </c>
      <c r="B27" s="10" t="s">
        <v>45</v>
      </c>
      <c r="C27">
        <f>'Calculation-mobility'!C70</f>
        <v>0</v>
      </c>
      <c r="D27">
        <f>'Calculation-mobility'!D70</f>
        <v>0</v>
      </c>
      <c r="E27">
        <f>'Calculation-mobility'!E70</f>
        <v>0</v>
      </c>
      <c r="F27">
        <f>'Calculation-mobility'!F70</f>
        <v>0</v>
      </c>
      <c r="G27">
        <f>'Calculation-mobility'!G70</f>
        <v>0</v>
      </c>
      <c r="H27">
        <f>'Calculation-mobility'!H70</f>
        <v>0</v>
      </c>
      <c r="I27">
        <f>'Calculation-mobility'!I70</f>
        <v>0</v>
      </c>
    </row>
    <row r="28" spans="1:10" x14ac:dyDescent="0.35">
      <c r="A28" s="11" t="s">
        <v>33</v>
      </c>
      <c r="B28" s="10" t="s">
        <v>45</v>
      </c>
      <c r="C28">
        <f>'Calculation-mobility'!C71</f>
        <v>0.1</v>
      </c>
      <c r="D28">
        <f>'Calculation-mobility'!D71</f>
        <v>1.02</v>
      </c>
      <c r="E28">
        <f>'Calculation-mobility'!E71</f>
        <v>1.9379999999999999</v>
      </c>
      <c r="F28">
        <f>'Calculation-mobility'!F71</f>
        <v>2.7679999999999998</v>
      </c>
      <c r="G28">
        <f>'Calculation-mobility'!G71</f>
        <v>3.214</v>
      </c>
      <c r="H28">
        <f>'Calculation-mobility'!H71</f>
        <v>3.4220000000000002</v>
      </c>
      <c r="I28">
        <f>'Calculation-mobility'!I71</f>
        <v>3.8450000000000002</v>
      </c>
    </row>
    <row r="29" spans="1:10" x14ac:dyDescent="0.35">
      <c r="A29" s="11" t="s">
        <v>37</v>
      </c>
      <c r="B29" s="10" t="s">
        <v>45</v>
      </c>
      <c r="C29">
        <f>'Calculation-mobility'!C72</f>
        <v>0.35199999999999998</v>
      </c>
      <c r="D29">
        <f>'Calculation-mobility'!D72</f>
        <v>0.28799999999999998</v>
      </c>
      <c r="E29">
        <f>'Calculation-mobility'!E72</f>
        <v>0.17100000000000001</v>
      </c>
      <c r="F29">
        <f>'Calculation-mobility'!F72</f>
        <v>0.109</v>
      </c>
      <c r="G29">
        <f>'Calculation-mobility'!G72</f>
        <v>5.7000000000000002E-2</v>
      </c>
      <c r="H29">
        <f>'Calculation-mobility'!H72</f>
        <v>2.4E-2</v>
      </c>
      <c r="I29">
        <f>'Calculation-mobility'!I72</f>
        <v>0</v>
      </c>
    </row>
    <row r="30" spans="1:10" x14ac:dyDescent="0.35">
      <c r="A30" s="11" t="s">
        <v>36</v>
      </c>
      <c r="B30" s="10" t="s">
        <v>45</v>
      </c>
      <c r="C30">
        <f>'Calculation-mobility'!C73</f>
        <v>3.1E-2</v>
      </c>
      <c r="D30">
        <f>'Calculation-mobility'!D73</f>
        <v>2.5000000000000001E-2</v>
      </c>
      <c r="E30">
        <f>'Calculation-mobility'!E73</f>
        <v>1.4999999999999999E-2</v>
      </c>
      <c r="F30">
        <f>'Calculation-mobility'!F73</f>
        <v>0.01</v>
      </c>
      <c r="G30">
        <f>'Calculation-mobility'!G73</f>
        <v>5.0000000000000001E-3</v>
      </c>
      <c r="H30">
        <f>'Calculation-mobility'!H73</f>
        <v>2E-3</v>
      </c>
      <c r="I30">
        <f>'Calculation-mobility'!I73</f>
        <v>0</v>
      </c>
    </row>
    <row r="31" spans="1:10" x14ac:dyDescent="0.35">
      <c r="A31" s="11" t="s">
        <v>38</v>
      </c>
      <c r="B31" s="10" t="s">
        <v>45</v>
      </c>
      <c r="C31">
        <f>'Calculation-mobility'!C74</f>
        <v>0</v>
      </c>
      <c r="D31">
        <f>'Calculation-mobility'!D74</f>
        <v>0</v>
      </c>
      <c r="E31">
        <f>'Calculation-mobility'!E74</f>
        <v>0</v>
      </c>
      <c r="F31">
        <f>'Calculation-mobility'!F74</f>
        <v>0</v>
      </c>
      <c r="G31">
        <f>'Calculation-mobility'!G74</f>
        <v>0</v>
      </c>
      <c r="H31">
        <f>'Calculation-mobility'!H74</f>
        <v>0</v>
      </c>
      <c r="I31">
        <f>'Calculation-mobility'!I74</f>
        <v>0</v>
      </c>
    </row>
    <row r="32" spans="1:10" x14ac:dyDescent="0.35">
      <c r="A32" s="11" t="s">
        <v>46</v>
      </c>
      <c r="B32" s="10" t="s">
        <v>45</v>
      </c>
      <c r="C32">
        <f>'Calculation-mobility'!C75</f>
        <v>56.176000000000002</v>
      </c>
      <c r="D32">
        <f>'Calculation-mobility'!D75</f>
        <v>47.567999999999998</v>
      </c>
      <c r="E32">
        <f>'Calculation-mobility'!E75</f>
        <v>30.771999999999998</v>
      </c>
      <c r="F32">
        <f>'Calculation-mobility'!F75</f>
        <v>22.564</v>
      </c>
      <c r="G32">
        <f>'Calculation-mobility'!G75</f>
        <v>14.009</v>
      </c>
      <c r="H32">
        <f>'Calculation-mobility'!H75</f>
        <v>8.0950000000000006</v>
      </c>
      <c r="I32">
        <f>'Calculation-mobility'!I75</f>
        <v>3.9390000000000001</v>
      </c>
    </row>
    <row r="34" spans="1:12" x14ac:dyDescent="0.35">
      <c r="A34" s="1" t="s">
        <v>47</v>
      </c>
      <c r="B34" s="20" t="s">
        <v>20</v>
      </c>
      <c r="C34" s="1">
        <v>2020</v>
      </c>
      <c r="D34" s="1">
        <v>2025</v>
      </c>
      <c r="E34" s="1">
        <v>2030</v>
      </c>
      <c r="F34" s="1">
        <v>2035</v>
      </c>
      <c r="G34" s="1">
        <v>2040</v>
      </c>
      <c r="H34" s="1">
        <v>2045</v>
      </c>
      <c r="I34" s="1">
        <v>2050</v>
      </c>
      <c r="J34" s="1" t="s">
        <v>10</v>
      </c>
    </row>
    <row r="35" spans="1:12" x14ac:dyDescent="0.35">
      <c r="A35" s="11" t="s">
        <v>47</v>
      </c>
      <c r="B35" s="10" t="s">
        <v>48</v>
      </c>
      <c r="C35">
        <f t="shared" ref="C35:I35" si="0">ROUND(C4*C5/C7/C8*1000,3)</f>
        <v>5.9950000000000001</v>
      </c>
      <c r="D35">
        <f t="shared" si="0"/>
        <v>5.2679999999999998</v>
      </c>
      <c r="E35">
        <f t="shared" si="0"/>
        <v>3.8180000000000001</v>
      </c>
      <c r="F35">
        <f t="shared" si="0"/>
        <v>3.3250000000000002</v>
      </c>
      <c r="G35">
        <f t="shared" si="0"/>
        <v>2.6930000000000001</v>
      </c>
      <c r="H35">
        <f t="shared" si="0"/>
        <v>2.3439999999999999</v>
      </c>
      <c r="I35">
        <f t="shared" si="0"/>
        <v>2.0750000000000002</v>
      </c>
    </row>
    <row r="37" spans="1:12" x14ac:dyDescent="0.35">
      <c r="A37" s="1" t="s">
        <v>88</v>
      </c>
      <c r="B37" s="20" t="s">
        <v>20</v>
      </c>
      <c r="C37" s="1">
        <v>2020</v>
      </c>
      <c r="D37" s="1">
        <v>2025</v>
      </c>
      <c r="E37" s="1">
        <v>2030</v>
      </c>
      <c r="F37" s="1">
        <v>2035</v>
      </c>
      <c r="G37" s="1">
        <v>2040</v>
      </c>
      <c r="H37" s="1">
        <v>2045</v>
      </c>
      <c r="I37" s="1">
        <v>2050</v>
      </c>
      <c r="J37" s="1" t="s">
        <v>10</v>
      </c>
    </row>
    <row r="38" spans="1:12" x14ac:dyDescent="0.35">
      <c r="A38" s="11" t="s">
        <v>67</v>
      </c>
      <c r="B38" s="10" t="s">
        <v>71</v>
      </c>
      <c r="C38">
        <f>ROUND(C35*C15*C16/100/C6,3)</f>
        <v>428.214</v>
      </c>
      <c r="D38">
        <f t="shared" ref="D38:I38" si="1">ROUND(D35*D15*D16/100/D6,3)</f>
        <v>376.286</v>
      </c>
      <c r="E38">
        <f t="shared" si="1"/>
        <v>272.714</v>
      </c>
      <c r="F38">
        <f t="shared" si="1"/>
        <v>237.5</v>
      </c>
      <c r="G38">
        <f t="shared" si="1"/>
        <v>192.357</v>
      </c>
      <c r="H38">
        <f t="shared" si="1"/>
        <v>167.429</v>
      </c>
      <c r="I38">
        <f t="shared" si="1"/>
        <v>148.214</v>
      </c>
    </row>
    <row r="39" spans="1:12" ht="14" customHeight="1" x14ac:dyDescent="0.35">
      <c r="A39" s="11" t="s">
        <v>74</v>
      </c>
      <c r="B39" s="10" t="s">
        <v>71</v>
      </c>
      <c r="C39">
        <f>ROUND(C35*C15*C17/C6/100,3)</f>
        <v>11.965</v>
      </c>
      <c r="D39">
        <f t="shared" ref="D39:H39" si="2">ROUND(D35*D15*D17/D6/100,3)</f>
        <v>10.513999999999999</v>
      </c>
      <c r="E39">
        <f t="shared" si="2"/>
        <v>7.62</v>
      </c>
      <c r="F39">
        <f t="shared" si="2"/>
        <v>6.6360000000000001</v>
      </c>
      <c r="G39">
        <f t="shared" si="2"/>
        <v>5.375</v>
      </c>
      <c r="H39">
        <f t="shared" si="2"/>
        <v>4.6779999999999999</v>
      </c>
      <c r="I39">
        <f>ROUND(I35*I15*I17/I6/100,3)</f>
        <v>4.141</v>
      </c>
    </row>
    <row r="40" spans="1:12" ht="14" customHeight="1" x14ac:dyDescent="0.35"/>
    <row r="42" spans="1:12" ht="23.5" x14ac:dyDescent="0.55000000000000004">
      <c r="A42" s="12" t="s">
        <v>51</v>
      </c>
    </row>
    <row r="43" spans="1:12" x14ac:dyDescent="0.35">
      <c r="A43" s="1" t="s">
        <v>75</v>
      </c>
      <c r="B43" s="20" t="s">
        <v>20</v>
      </c>
      <c r="C43" s="1">
        <v>2020</v>
      </c>
      <c r="D43" s="1">
        <v>2025</v>
      </c>
      <c r="E43" s="1">
        <v>2030</v>
      </c>
      <c r="F43" s="1">
        <v>2035</v>
      </c>
      <c r="G43" s="1">
        <v>2040</v>
      </c>
      <c r="H43" s="1">
        <v>2045</v>
      </c>
      <c r="I43" s="1">
        <v>2050</v>
      </c>
      <c r="J43" s="1" t="s">
        <v>10</v>
      </c>
    </row>
    <row r="44" spans="1:12" x14ac:dyDescent="0.35">
      <c r="A44" s="11" t="s">
        <v>82</v>
      </c>
      <c r="B44" s="10" t="s">
        <v>16</v>
      </c>
      <c r="C44">
        <f t="shared" ref="C44:I44" si="3">ROUND(C4/$C$4*100 -100,2)</f>
        <v>0</v>
      </c>
      <c r="D44">
        <f t="shared" si="3"/>
        <v>0.64</v>
      </c>
      <c r="E44">
        <f t="shared" si="3"/>
        <v>-6.04</v>
      </c>
      <c r="F44">
        <f t="shared" si="3"/>
        <v>-7.53</v>
      </c>
      <c r="G44">
        <f t="shared" si="3"/>
        <v>-14.17</v>
      </c>
      <c r="H44">
        <f t="shared" si="3"/>
        <v>-18.23</v>
      </c>
      <c r="I44">
        <f t="shared" si="3"/>
        <v>-21.92</v>
      </c>
      <c r="L44">
        <f>1-K44</f>
        <v>1</v>
      </c>
    </row>
    <row r="45" spans="1:12" x14ac:dyDescent="0.35">
      <c r="A45" s="11" t="s">
        <v>81</v>
      </c>
      <c r="B45" s="10" t="s">
        <v>16</v>
      </c>
      <c r="C45">
        <f t="shared" ref="C45:I45" si="4">ROUND(C5/$C$5*100 -100,2)</f>
        <v>0</v>
      </c>
      <c r="D45">
        <f t="shared" si="4"/>
        <v>-2.21</v>
      </c>
      <c r="E45">
        <f t="shared" si="4"/>
        <v>-6.73</v>
      </c>
      <c r="F45">
        <f t="shared" si="4"/>
        <v>-12.67</v>
      </c>
      <c r="G45">
        <f t="shared" si="4"/>
        <v>-20.45</v>
      </c>
      <c r="H45">
        <f t="shared" si="4"/>
        <v>-25.41</v>
      </c>
      <c r="I45">
        <f t="shared" si="4"/>
        <v>-29.08</v>
      </c>
    </row>
    <row r="46" spans="1:12" x14ac:dyDescent="0.35">
      <c r="A46" s="11" t="s">
        <v>83</v>
      </c>
      <c r="B46" s="10" t="s">
        <v>16</v>
      </c>
      <c r="C46">
        <f t="shared" ref="C46:I46" si="5">ROUND($C$8/C8*100-100,2)</f>
        <v>0</v>
      </c>
      <c r="D46">
        <f t="shared" si="5"/>
        <v>-10.71</v>
      </c>
      <c r="E46">
        <f t="shared" si="5"/>
        <v>-27.33</v>
      </c>
      <c r="F46">
        <f t="shared" si="5"/>
        <v>-31.32</v>
      </c>
      <c r="G46">
        <f t="shared" si="5"/>
        <v>-34.21</v>
      </c>
      <c r="H46">
        <f t="shared" si="5"/>
        <v>-35.9</v>
      </c>
      <c r="I46">
        <f t="shared" si="5"/>
        <v>-37.5</v>
      </c>
    </row>
    <row r="47" spans="1:12" x14ac:dyDescent="0.35">
      <c r="A47" s="11" t="s">
        <v>63</v>
      </c>
      <c r="B47" s="10" t="s">
        <v>16</v>
      </c>
      <c r="C47">
        <f>C9</f>
        <v>0</v>
      </c>
      <c r="D47">
        <f t="shared" ref="D47:I47" si="6">D9</f>
        <v>0</v>
      </c>
      <c r="E47">
        <f t="shared" si="6"/>
        <v>-2</v>
      </c>
      <c r="F47">
        <f t="shared" si="6"/>
        <v>-2</v>
      </c>
      <c r="G47">
        <f t="shared" si="6"/>
        <v>-2</v>
      </c>
      <c r="H47">
        <f t="shared" si="6"/>
        <v>-2</v>
      </c>
      <c r="I47">
        <f t="shared" si="6"/>
        <v>-2</v>
      </c>
    </row>
    <row r="48" spans="1:12" x14ac:dyDescent="0.35">
      <c r="A48" s="11" t="s">
        <v>84</v>
      </c>
      <c r="B48" s="10" t="s">
        <v>16</v>
      </c>
      <c r="C48">
        <f>C10</f>
        <v>0</v>
      </c>
      <c r="D48">
        <f t="shared" ref="D48:I48" si="7">D10</f>
        <v>0</v>
      </c>
      <c r="E48">
        <f t="shared" si="7"/>
        <v>0</v>
      </c>
      <c r="F48">
        <f t="shared" si="7"/>
        <v>-0.5</v>
      </c>
      <c r="G48">
        <f t="shared" si="7"/>
        <v>-1</v>
      </c>
      <c r="H48">
        <f t="shared" si="7"/>
        <v>-1.5</v>
      </c>
      <c r="I48">
        <f t="shared" si="7"/>
        <v>-2</v>
      </c>
    </row>
    <row r="49" spans="1:11" x14ac:dyDescent="0.35">
      <c r="A49" s="11" t="s">
        <v>85</v>
      </c>
      <c r="B49" s="10" t="s">
        <v>16</v>
      </c>
      <c r="C49">
        <f>'Calculation-mobility'!C79</f>
        <v>0</v>
      </c>
      <c r="D49">
        <f>'Calculation-mobility'!D79</f>
        <v>-3.57</v>
      </c>
      <c r="E49">
        <f>'Calculation-mobility'!E79</f>
        <v>-11.37</v>
      </c>
      <c r="F49">
        <f>'Calculation-mobility'!F79</f>
        <v>-22.39</v>
      </c>
      <c r="G49">
        <f>'Calculation-mobility'!G79</f>
        <v>-35.979999999999997</v>
      </c>
      <c r="H49">
        <f>'Calculation-mobility'!H79</f>
        <v>-50.21</v>
      </c>
      <c r="I49">
        <f>'Calculation-mobility'!I79</f>
        <v>-64.099999999999994</v>
      </c>
    </row>
    <row r="50" spans="1:11" ht="16" customHeight="1" x14ac:dyDescent="0.35">
      <c r="A50" s="11" t="s">
        <v>86</v>
      </c>
      <c r="B50" s="10" t="s">
        <v>16</v>
      </c>
      <c r="C50">
        <f>ROUND(((100+C51)/100/((100+C44)/100*(100+C45)/100*(100+C49)/100*(100+C47)/100*(100+C48)/100))*100-100,2)</f>
        <v>0</v>
      </c>
      <c r="D50">
        <f t="shared" ref="D50:H50" si="8">ROUND(((100+D51)/100/((100+D44)/100*(100+D45)/100*(100+D49)/100*(100+D46)/100*(100+D47)/100*(100+D48)/100))*100-100,2)</f>
        <v>-7.0000000000000007E-2</v>
      </c>
      <c r="E50">
        <f t="shared" si="8"/>
        <v>-0.97</v>
      </c>
      <c r="F50">
        <f t="shared" si="8"/>
        <v>-4.29</v>
      </c>
      <c r="G50">
        <f t="shared" si="8"/>
        <v>-10.61</v>
      </c>
      <c r="H50">
        <f t="shared" si="8"/>
        <v>-23.31</v>
      </c>
      <c r="I50">
        <f>ROUND(((100+I51)/100/((100+I44)/100*(100+I45)/100*(100+I49)/100*(100+I46)/100*(100+I47)/100*(100+I48)/100))*100-100,2)</f>
        <v>-41.25</v>
      </c>
    </row>
    <row r="51" spans="1:11" x14ac:dyDescent="0.35">
      <c r="A51" s="11" t="s">
        <v>54</v>
      </c>
      <c r="B51" s="10" t="s">
        <v>16</v>
      </c>
      <c r="C51">
        <f t="shared" ref="C51:I51" si="9">ROUND(C32/$C$32*100-100,2)</f>
        <v>0</v>
      </c>
      <c r="D51">
        <f t="shared" si="9"/>
        <v>-15.32</v>
      </c>
      <c r="E51">
        <f t="shared" si="9"/>
        <v>-45.22</v>
      </c>
      <c r="F51">
        <f t="shared" si="9"/>
        <v>-59.83</v>
      </c>
      <c r="G51">
        <f t="shared" si="9"/>
        <v>-75.06</v>
      </c>
      <c r="H51">
        <f t="shared" si="9"/>
        <v>-85.59</v>
      </c>
      <c r="I51">
        <f t="shared" si="9"/>
        <v>-92.99</v>
      </c>
    </row>
    <row r="54" spans="1:11" x14ac:dyDescent="0.35">
      <c r="A54" s="1" t="s">
        <v>76</v>
      </c>
      <c r="B54" s="20" t="s">
        <v>20</v>
      </c>
      <c r="C54" s="1">
        <v>2020</v>
      </c>
      <c r="D54" s="1">
        <v>2025</v>
      </c>
      <c r="E54" s="1">
        <v>2030</v>
      </c>
      <c r="F54" s="1">
        <v>2035</v>
      </c>
      <c r="G54" s="1">
        <v>2040</v>
      </c>
      <c r="H54" s="1">
        <v>2045</v>
      </c>
      <c r="I54" s="1">
        <v>2050</v>
      </c>
      <c r="J54" s="1" t="s">
        <v>10</v>
      </c>
    </row>
    <row r="55" spans="1:11" x14ac:dyDescent="0.35">
      <c r="A55" s="11" t="s">
        <v>52</v>
      </c>
      <c r="B55" s="10" t="s">
        <v>16</v>
      </c>
      <c r="C55">
        <f t="shared" ref="C55:I55" si="10">ROUND(C4/$C$4*100 -100,2)</f>
        <v>0</v>
      </c>
      <c r="D55">
        <f t="shared" si="10"/>
        <v>0.64</v>
      </c>
      <c r="E55">
        <f t="shared" si="10"/>
        <v>-6.04</v>
      </c>
      <c r="F55">
        <f t="shared" si="10"/>
        <v>-7.53</v>
      </c>
      <c r="G55">
        <f t="shared" si="10"/>
        <v>-14.17</v>
      </c>
      <c r="H55">
        <f t="shared" si="10"/>
        <v>-18.23</v>
      </c>
      <c r="I55">
        <f t="shared" si="10"/>
        <v>-21.92</v>
      </c>
    </row>
    <row r="56" spans="1:11" x14ac:dyDescent="0.35">
      <c r="A56" s="11" t="s">
        <v>64</v>
      </c>
      <c r="B56" s="10" t="s">
        <v>16</v>
      </c>
      <c r="C56">
        <f t="shared" ref="C56:I56" si="11">ROUND(C5/$C$5*100-100,2)</f>
        <v>0</v>
      </c>
      <c r="D56">
        <f t="shared" si="11"/>
        <v>-2.21</v>
      </c>
      <c r="E56">
        <f t="shared" si="11"/>
        <v>-6.73</v>
      </c>
      <c r="F56">
        <f t="shared" si="11"/>
        <v>-12.67</v>
      </c>
      <c r="G56">
        <f t="shared" si="11"/>
        <v>-20.45</v>
      </c>
      <c r="H56">
        <f t="shared" si="11"/>
        <v>-25.41</v>
      </c>
      <c r="I56">
        <f t="shared" si="11"/>
        <v>-29.08</v>
      </c>
    </row>
    <row r="57" spans="1:11" x14ac:dyDescent="0.35">
      <c r="A57" s="11" t="s">
        <v>2</v>
      </c>
      <c r="B57" s="10" t="s">
        <v>16</v>
      </c>
      <c r="C57">
        <f>ROUND(100-C7/$C$7*100,2)</f>
        <v>0</v>
      </c>
      <c r="D57">
        <f t="shared" ref="D57:I57" si="12">ROUND(100-D7/$C$7*100,2)</f>
        <v>0</v>
      </c>
      <c r="E57">
        <f t="shared" si="12"/>
        <v>0</v>
      </c>
      <c r="F57">
        <f t="shared" si="12"/>
        <v>0</v>
      </c>
      <c r="G57">
        <f t="shared" si="12"/>
        <v>0</v>
      </c>
      <c r="H57">
        <f t="shared" si="12"/>
        <v>0</v>
      </c>
      <c r="I57">
        <f t="shared" si="12"/>
        <v>0</v>
      </c>
    </row>
    <row r="58" spans="1:11" x14ac:dyDescent="0.35">
      <c r="A58" s="11" t="s">
        <v>53</v>
      </c>
      <c r="B58" s="10" t="s">
        <v>16</v>
      </c>
      <c r="C58">
        <f t="shared" ref="C58:I58" si="13">ROUND($C$8/C8*100-100,2)</f>
        <v>0</v>
      </c>
      <c r="D58">
        <f t="shared" si="13"/>
        <v>-10.71</v>
      </c>
      <c r="E58">
        <f t="shared" si="13"/>
        <v>-27.33</v>
      </c>
      <c r="F58">
        <f t="shared" si="13"/>
        <v>-31.32</v>
      </c>
      <c r="G58">
        <f t="shared" si="13"/>
        <v>-34.21</v>
      </c>
      <c r="H58">
        <f t="shared" si="13"/>
        <v>-35.9</v>
      </c>
      <c r="I58">
        <f t="shared" si="13"/>
        <v>-37.5</v>
      </c>
    </row>
    <row r="59" spans="1:11" x14ac:dyDescent="0.35">
      <c r="A59" s="11" t="s">
        <v>54</v>
      </c>
      <c r="B59" s="10" t="s">
        <v>16</v>
      </c>
      <c r="C59">
        <f>ROUND(((100+C55)/100*(100+C56)/100*(100+C57)/100*(100+C58)/100)*100-100,2)</f>
        <v>0</v>
      </c>
      <c r="D59">
        <f t="shared" ref="D59:H59" si="14">ROUND(((100+D55)/100*(100+D56)/100*(100+D57)/100*(100+D58)/100)*100-100,2)</f>
        <v>-12.12</v>
      </c>
      <c r="E59">
        <f t="shared" si="14"/>
        <v>-36.31</v>
      </c>
      <c r="F59">
        <f t="shared" si="14"/>
        <v>-44.54</v>
      </c>
      <c r="G59">
        <f t="shared" si="14"/>
        <v>-55.08</v>
      </c>
      <c r="H59">
        <f t="shared" si="14"/>
        <v>-60.9</v>
      </c>
      <c r="I59">
        <f>ROUND(((100+I55)/100*(100+I56)/100*(100+I57)/100*(100+I58)/100)*100-100,2)</f>
        <v>-65.39</v>
      </c>
    </row>
    <row r="61" spans="1:11" x14ac:dyDescent="0.35">
      <c r="A61" s="1" t="s">
        <v>89</v>
      </c>
      <c r="B61" s="20" t="s">
        <v>20</v>
      </c>
      <c r="C61" s="1">
        <v>2020</v>
      </c>
      <c r="D61" s="1">
        <v>2025</v>
      </c>
      <c r="E61" s="1">
        <v>2030</v>
      </c>
      <c r="F61" s="1">
        <v>2035</v>
      </c>
      <c r="G61" s="1">
        <v>2040</v>
      </c>
      <c r="H61" s="1">
        <v>2045</v>
      </c>
      <c r="I61" s="1">
        <v>2050</v>
      </c>
      <c r="J61" s="1" t="s">
        <v>10</v>
      </c>
    </row>
    <row r="62" spans="1:11" x14ac:dyDescent="0.35">
      <c r="A62" s="11" t="s">
        <v>67</v>
      </c>
      <c r="B62" s="10" t="s">
        <v>16</v>
      </c>
      <c r="C62">
        <f>ROUND(C38/(7888-$C$38+C38)*100,2)</f>
        <v>5.43</v>
      </c>
      <c r="D62">
        <f t="shared" ref="D62:I62" si="15">ROUND(D38/(7888-$C$38+D38)*100,2)</f>
        <v>4.8</v>
      </c>
      <c r="E62">
        <f t="shared" si="15"/>
        <v>3.53</v>
      </c>
      <c r="F62">
        <f t="shared" si="15"/>
        <v>3.09</v>
      </c>
      <c r="G62">
        <f t="shared" si="15"/>
        <v>2.5099999999999998</v>
      </c>
      <c r="H62">
        <f t="shared" si="15"/>
        <v>2.2000000000000002</v>
      </c>
      <c r="I62">
        <f t="shared" si="15"/>
        <v>1.95</v>
      </c>
      <c r="J62" t="s">
        <v>110</v>
      </c>
      <c r="K62" s="22"/>
    </row>
    <row r="63" spans="1:11" x14ac:dyDescent="0.35">
      <c r="A63" s="11" t="s">
        <v>74</v>
      </c>
      <c r="B63" s="10" t="s">
        <v>16</v>
      </c>
      <c r="C63">
        <f>ROUND(C39/(1394.233-$C$39+C39)*100,2)</f>
        <v>0.86</v>
      </c>
      <c r="D63">
        <f t="shared" ref="D63:I63" si="16">ROUND(D39/(1394.233-$C$39+D39)*100,2)</f>
        <v>0.75</v>
      </c>
      <c r="E63">
        <f t="shared" si="16"/>
        <v>0.55000000000000004</v>
      </c>
      <c r="F63">
        <f t="shared" si="16"/>
        <v>0.48</v>
      </c>
      <c r="G63">
        <f t="shared" si="16"/>
        <v>0.39</v>
      </c>
      <c r="H63">
        <f t="shared" si="16"/>
        <v>0.34</v>
      </c>
      <c r="I63">
        <f t="shared" si="16"/>
        <v>0.3</v>
      </c>
      <c r="J63" t="s">
        <v>109</v>
      </c>
    </row>
    <row r="65" spans="1:10" x14ac:dyDescent="0.35">
      <c r="A65" s="1" t="s">
        <v>90</v>
      </c>
      <c r="B65" s="20" t="s">
        <v>20</v>
      </c>
      <c r="C65" s="1">
        <v>2020</v>
      </c>
      <c r="D65" s="1">
        <v>2025</v>
      </c>
      <c r="E65" s="1">
        <v>2030</v>
      </c>
      <c r="F65" s="1">
        <v>2035</v>
      </c>
      <c r="G65" s="1">
        <v>2040</v>
      </c>
      <c r="H65" s="1">
        <v>2045</v>
      </c>
      <c r="I65" s="1">
        <v>2050</v>
      </c>
      <c r="J65" s="1" t="s">
        <v>10</v>
      </c>
    </row>
    <row r="66" spans="1:10" x14ac:dyDescent="0.35">
      <c r="A66" s="11" t="s">
        <v>67</v>
      </c>
      <c r="B66" s="10" t="s">
        <v>71</v>
      </c>
      <c r="C66">
        <f>-($C$38-C38)</f>
        <v>0</v>
      </c>
      <c r="D66">
        <f t="shared" ref="D66:I66" si="17">-($C$38-D38)</f>
        <v>-51.927999999999997</v>
      </c>
      <c r="E66">
        <f t="shared" si="17"/>
        <v>-155.5</v>
      </c>
      <c r="F66">
        <f t="shared" si="17"/>
        <v>-190.714</v>
      </c>
      <c r="G66">
        <f t="shared" si="17"/>
        <v>-235.857</v>
      </c>
      <c r="H66">
        <f t="shared" si="17"/>
        <v>-260.78499999999997</v>
      </c>
      <c r="I66">
        <f t="shared" si="17"/>
        <v>-280</v>
      </c>
    </row>
    <row r="67" spans="1:10" x14ac:dyDescent="0.35">
      <c r="A67" s="11" t="s">
        <v>74</v>
      </c>
      <c r="B67" s="10" t="s">
        <v>71</v>
      </c>
      <c r="C67">
        <f>-($C$39-C39)</f>
        <v>0</v>
      </c>
      <c r="D67">
        <f t="shared" ref="D67:I67" si="18">-($C$39-D39)</f>
        <v>-1.4510000000000005</v>
      </c>
      <c r="E67">
        <f t="shared" si="18"/>
        <v>-4.3449999999999998</v>
      </c>
      <c r="F67">
        <f t="shared" si="18"/>
        <v>-5.3289999999999997</v>
      </c>
      <c r="G67">
        <f t="shared" si="18"/>
        <v>-6.59</v>
      </c>
      <c r="H67">
        <f t="shared" si="18"/>
        <v>-7.2869999999999999</v>
      </c>
      <c r="I67">
        <f t="shared" si="18"/>
        <v>-7.8239999999999998</v>
      </c>
    </row>
    <row r="73" spans="1:10" ht="15.5" customHeight="1" x14ac:dyDescent="0.35"/>
  </sheetData>
  <phoneticPr fontId="3" type="noConversion"/>
  <hyperlinks>
    <hyperlink ref="J6" r:id="rId1" xr:uid="{157630DE-5D8F-411D-8AE9-26FD597E8FB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75FD8-FF15-47D7-9E37-B71DBE6A9D79}">
  <dimension ref="A1:K79"/>
  <sheetViews>
    <sheetView topLeftCell="A66" zoomScale="97" zoomScaleNormal="115" workbookViewId="0">
      <selection activeCell="J12" sqref="J12"/>
    </sheetView>
  </sheetViews>
  <sheetFormatPr baseColWidth="10" defaultRowHeight="14.5" x14ac:dyDescent="0.35"/>
  <cols>
    <col min="1" max="1" width="50.453125" bestFit="1" customWidth="1"/>
    <col min="10" max="10" width="16.36328125" customWidth="1"/>
  </cols>
  <sheetData>
    <row r="1" spans="1:10" x14ac:dyDescent="0.35">
      <c r="A1" s="1" t="s">
        <v>17</v>
      </c>
      <c r="B1" s="1" t="s">
        <v>20</v>
      </c>
      <c r="C1" s="1" t="s">
        <v>21</v>
      </c>
    </row>
    <row r="2" spans="1:10" x14ac:dyDescent="0.35">
      <c r="A2" s="9" t="s">
        <v>18</v>
      </c>
      <c r="B2" s="10" t="s">
        <v>22</v>
      </c>
      <c r="C2" s="4">
        <v>9.2100000000000009</v>
      </c>
    </row>
    <row r="3" spans="1:10" x14ac:dyDescent="0.35">
      <c r="A3" s="9" t="s">
        <v>19</v>
      </c>
      <c r="B3" s="10" t="s">
        <v>22</v>
      </c>
      <c r="C3" s="4">
        <v>10.17</v>
      </c>
    </row>
    <row r="4" spans="1:10" x14ac:dyDescent="0.35">
      <c r="A4" s="9" t="s">
        <v>24</v>
      </c>
      <c r="B4" s="10" t="s">
        <v>22</v>
      </c>
      <c r="C4" s="4">
        <v>6.69</v>
      </c>
    </row>
    <row r="5" spans="1:10" x14ac:dyDescent="0.35">
      <c r="A5" s="9" t="s">
        <v>25</v>
      </c>
      <c r="B5" s="10" t="s">
        <v>23</v>
      </c>
      <c r="C5" s="4">
        <v>11.3</v>
      </c>
    </row>
    <row r="6" spans="1:10" x14ac:dyDescent="0.35">
      <c r="A6" s="9" t="s">
        <v>26</v>
      </c>
      <c r="B6" s="10" t="s">
        <v>22</v>
      </c>
      <c r="C6" s="4">
        <v>33.299999999999997</v>
      </c>
    </row>
    <row r="7" spans="1:10" x14ac:dyDescent="0.35">
      <c r="A7" s="5"/>
      <c r="B7" s="3"/>
    </row>
    <row r="8" spans="1:10" x14ac:dyDescent="0.35">
      <c r="A8" s="5"/>
      <c r="B8" s="3"/>
    </row>
    <row r="9" spans="1:10" x14ac:dyDescent="0.35">
      <c r="A9" s="6" t="s">
        <v>27</v>
      </c>
      <c r="B9" s="7" t="s">
        <v>34</v>
      </c>
      <c r="C9" s="1">
        <v>2020</v>
      </c>
      <c r="D9" s="1">
        <v>2025</v>
      </c>
      <c r="E9" s="1">
        <v>2030</v>
      </c>
      <c r="F9" s="1">
        <v>2035</v>
      </c>
      <c r="G9" s="1">
        <v>2040</v>
      </c>
      <c r="H9" s="1">
        <v>2045</v>
      </c>
      <c r="I9" s="1">
        <v>2050</v>
      </c>
      <c r="J9" s="1" t="s">
        <v>10</v>
      </c>
    </row>
    <row r="10" spans="1:10" x14ac:dyDescent="0.35">
      <c r="A10" s="11" t="s">
        <v>28</v>
      </c>
      <c r="B10" s="10" t="s">
        <v>12</v>
      </c>
      <c r="C10" s="8">
        <v>7.1506072101809401</v>
      </c>
      <c r="D10" s="8">
        <v>7.1506072101809401</v>
      </c>
      <c r="E10" s="8">
        <v>7.1506072101809401</v>
      </c>
      <c r="F10" s="8">
        <v>7.1506072101809401</v>
      </c>
      <c r="G10" s="8">
        <v>7.1506072101809401</v>
      </c>
      <c r="H10" s="8">
        <v>7.1506072101809401</v>
      </c>
      <c r="I10" s="8">
        <v>7.1506072101809401</v>
      </c>
      <c r="J10" t="s">
        <v>106</v>
      </c>
    </row>
    <row r="11" spans="1:10" x14ac:dyDescent="0.35">
      <c r="A11" s="11" t="s">
        <v>29</v>
      </c>
      <c r="B11" s="10" t="s">
        <v>12</v>
      </c>
      <c r="C11" s="8">
        <v>5.9467042870661704</v>
      </c>
      <c r="D11" s="8">
        <v>5.9467042870661704</v>
      </c>
      <c r="E11" s="8">
        <v>5.9467042870661704</v>
      </c>
      <c r="F11" s="8">
        <v>5.9467042870661704</v>
      </c>
      <c r="G11" s="8">
        <v>5.9467042870661704</v>
      </c>
      <c r="H11" s="8">
        <v>5.9467042870661704</v>
      </c>
      <c r="I11" s="8">
        <v>5.9467042870661704</v>
      </c>
    </row>
    <row r="12" spans="1:10" x14ac:dyDescent="0.35">
      <c r="A12" s="11" t="s">
        <v>30</v>
      </c>
      <c r="B12" s="10" t="s">
        <v>12</v>
      </c>
      <c r="C12" s="8">
        <v>9.4020547796914098</v>
      </c>
      <c r="D12" s="8">
        <v>9.4020547796914098</v>
      </c>
      <c r="E12" s="8">
        <v>9.4020547796914098</v>
      </c>
      <c r="F12" s="8">
        <v>9.4020547796914098</v>
      </c>
      <c r="G12" s="8">
        <v>9.4020547796914098</v>
      </c>
      <c r="H12" s="8">
        <v>9.4020547796914098</v>
      </c>
      <c r="I12" s="8">
        <v>9.4020547796914098</v>
      </c>
    </row>
    <row r="13" spans="1:10" x14ac:dyDescent="0.35">
      <c r="A13" s="11" t="s">
        <v>31</v>
      </c>
      <c r="B13" s="10" t="s">
        <v>13</v>
      </c>
      <c r="C13" s="8">
        <v>4.1823412259349402</v>
      </c>
      <c r="D13" s="8">
        <v>4.1823412259349402</v>
      </c>
      <c r="E13" s="8">
        <v>4.1823412259349402</v>
      </c>
      <c r="F13" s="8">
        <v>4.1823412259349402</v>
      </c>
      <c r="G13" s="8">
        <v>4.1823412259349402</v>
      </c>
      <c r="H13" s="8">
        <v>4.1823412259349402</v>
      </c>
      <c r="I13" s="8">
        <v>4.1823412259349402</v>
      </c>
    </row>
    <row r="14" spans="1:10" x14ac:dyDescent="0.35">
      <c r="A14" s="11" t="s">
        <v>32</v>
      </c>
      <c r="B14" s="10" t="s">
        <v>13</v>
      </c>
      <c r="C14" s="8">
        <v>1.1267864600331901</v>
      </c>
      <c r="D14" s="8">
        <v>1.1267864600331901</v>
      </c>
      <c r="E14" s="8">
        <v>1.1267864600331901</v>
      </c>
      <c r="F14" s="8">
        <v>1.1267864600331901</v>
      </c>
      <c r="G14" s="8">
        <v>1.1267864600331901</v>
      </c>
      <c r="H14" s="8">
        <v>1.1267864600331901</v>
      </c>
      <c r="I14" s="8">
        <v>1.1267864600331901</v>
      </c>
    </row>
    <row r="15" spans="1:10" x14ac:dyDescent="0.35">
      <c r="A15" s="11" t="s">
        <v>33</v>
      </c>
      <c r="B15" s="10" t="s">
        <v>14</v>
      </c>
      <c r="C15" s="8">
        <f>'InputOutput-mobility'!C13</f>
        <v>0.22</v>
      </c>
      <c r="D15" s="8">
        <f>'InputOutput-mobility'!D13</f>
        <v>0.21299999999999999</v>
      </c>
      <c r="E15" s="8">
        <f>'InputOutput-mobility'!E13</f>
        <v>0.19</v>
      </c>
      <c r="F15" s="8">
        <f>'InputOutput-mobility'!F13</f>
        <v>0.161</v>
      </c>
      <c r="G15" s="8">
        <f>'InputOutput-mobility'!G13</f>
        <v>0.14499999999999999</v>
      </c>
      <c r="H15" s="8">
        <f>'InputOutput-mobility'!H13</f>
        <v>0.128</v>
      </c>
      <c r="I15" s="8">
        <f>'InputOutput-mobility'!I13</f>
        <v>0.128</v>
      </c>
    </row>
    <row r="16" spans="1:10" x14ac:dyDescent="0.35">
      <c r="A16" s="11" t="s">
        <v>15</v>
      </c>
      <c r="B16" s="10" t="s">
        <v>16</v>
      </c>
      <c r="C16">
        <v>70</v>
      </c>
      <c r="D16">
        <v>70</v>
      </c>
      <c r="E16">
        <v>70</v>
      </c>
      <c r="F16">
        <v>70</v>
      </c>
      <c r="G16">
        <v>70</v>
      </c>
      <c r="H16">
        <v>70</v>
      </c>
      <c r="I16">
        <v>70</v>
      </c>
    </row>
    <row r="19" spans="1:11" x14ac:dyDescent="0.35">
      <c r="A19" s="6" t="s">
        <v>27</v>
      </c>
      <c r="B19" s="7" t="s">
        <v>35</v>
      </c>
      <c r="C19" s="1">
        <v>2020</v>
      </c>
      <c r="D19" s="1">
        <v>2025</v>
      </c>
      <c r="E19" s="1">
        <v>2030</v>
      </c>
      <c r="F19" s="1">
        <v>2035</v>
      </c>
      <c r="G19" s="1">
        <v>2040</v>
      </c>
      <c r="H19" s="1">
        <v>2045</v>
      </c>
      <c r="I19" s="1">
        <v>2050</v>
      </c>
      <c r="J19" s="1" t="s">
        <v>10</v>
      </c>
    </row>
    <row r="20" spans="1:11" x14ac:dyDescent="0.35">
      <c r="A20" s="11" t="s">
        <v>28</v>
      </c>
      <c r="B20" s="10" t="s">
        <v>14</v>
      </c>
      <c r="C20" s="8">
        <f>C10*$C$2/100</f>
        <v>0.65857092405766471</v>
      </c>
      <c r="D20" s="8">
        <f t="shared" ref="D20:I20" si="0">D10*$C$2/100</f>
        <v>0.65857092405766471</v>
      </c>
      <c r="E20" s="8">
        <f t="shared" si="0"/>
        <v>0.65857092405766471</v>
      </c>
      <c r="F20" s="8">
        <f t="shared" si="0"/>
        <v>0.65857092405766471</v>
      </c>
      <c r="G20" s="8">
        <f t="shared" si="0"/>
        <v>0.65857092405766471</v>
      </c>
      <c r="H20" s="8">
        <f t="shared" si="0"/>
        <v>0.65857092405766471</v>
      </c>
      <c r="I20" s="8">
        <f t="shared" si="0"/>
        <v>0.65857092405766471</v>
      </c>
      <c r="K20" s="18"/>
    </row>
    <row r="21" spans="1:11" x14ac:dyDescent="0.35">
      <c r="A21" s="11" t="s">
        <v>29</v>
      </c>
      <c r="B21" s="10" t="s">
        <v>14</v>
      </c>
      <c r="C21" s="8">
        <f>C11*$C$3/100</f>
        <v>0.60477982599462954</v>
      </c>
      <c r="D21" s="8">
        <f t="shared" ref="D21:I21" si="1">D11*$C$3/100</f>
        <v>0.60477982599462954</v>
      </c>
      <c r="E21" s="8">
        <f t="shared" si="1"/>
        <v>0.60477982599462954</v>
      </c>
      <c r="F21" s="8">
        <f t="shared" si="1"/>
        <v>0.60477982599462954</v>
      </c>
      <c r="G21" s="8">
        <f t="shared" si="1"/>
        <v>0.60477982599462954</v>
      </c>
      <c r="H21" s="8">
        <f t="shared" si="1"/>
        <v>0.60477982599462954</v>
      </c>
      <c r="I21" s="8">
        <f t="shared" si="1"/>
        <v>0.60477982599462954</v>
      </c>
      <c r="K21" s="18"/>
    </row>
    <row r="22" spans="1:11" x14ac:dyDescent="0.35">
      <c r="A22" s="11" t="s">
        <v>30</v>
      </c>
      <c r="B22" s="10" t="s">
        <v>14</v>
      </c>
      <c r="C22" s="8">
        <f>C12*$C$4/100</f>
        <v>0.62899746476135532</v>
      </c>
      <c r="D22" s="8">
        <f t="shared" ref="D22:I22" si="2">D12*$C$4/100</f>
        <v>0.62899746476135532</v>
      </c>
      <c r="E22" s="8">
        <f t="shared" si="2"/>
        <v>0.62899746476135532</v>
      </c>
      <c r="F22" s="8">
        <f t="shared" si="2"/>
        <v>0.62899746476135532</v>
      </c>
      <c r="G22" s="8">
        <f t="shared" si="2"/>
        <v>0.62899746476135532</v>
      </c>
      <c r="H22" s="8">
        <f t="shared" si="2"/>
        <v>0.62899746476135532</v>
      </c>
      <c r="I22" s="8">
        <f t="shared" si="2"/>
        <v>0.62899746476135532</v>
      </c>
      <c r="K22" s="18"/>
    </row>
    <row r="23" spans="1:11" x14ac:dyDescent="0.35">
      <c r="A23" s="11" t="s">
        <v>31</v>
      </c>
      <c r="B23" s="10" t="s">
        <v>14</v>
      </c>
      <c r="C23" s="8">
        <f>C13*$C$5/100</f>
        <v>0.47260455853064826</v>
      </c>
      <c r="D23" s="8">
        <f t="shared" ref="D23:I23" si="3">D13*$C$5/100</f>
        <v>0.47260455853064826</v>
      </c>
      <c r="E23" s="8">
        <f t="shared" si="3"/>
        <v>0.47260455853064826</v>
      </c>
      <c r="F23" s="8">
        <f t="shared" si="3"/>
        <v>0.47260455853064826</v>
      </c>
      <c r="G23" s="8">
        <f t="shared" si="3"/>
        <v>0.47260455853064826</v>
      </c>
      <c r="H23" s="8">
        <f t="shared" si="3"/>
        <v>0.47260455853064826</v>
      </c>
      <c r="I23" s="8">
        <f t="shared" si="3"/>
        <v>0.47260455853064826</v>
      </c>
      <c r="K23" s="18"/>
    </row>
    <row r="24" spans="1:11" x14ac:dyDescent="0.35">
      <c r="A24" s="11" t="s">
        <v>32</v>
      </c>
      <c r="B24" s="10" t="s">
        <v>14</v>
      </c>
      <c r="C24" s="8">
        <f>C14*$C$6/100</f>
        <v>0.37521989119105226</v>
      </c>
      <c r="D24" s="8">
        <f t="shared" ref="D24:I24" si="4">D14*$C$6/100</f>
        <v>0.37521989119105226</v>
      </c>
      <c r="E24" s="8">
        <f t="shared" si="4"/>
        <v>0.37521989119105226</v>
      </c>
      <c r="F24" s="8">
        <f t="shared" si="4"/>
        <v>0.37521989119105226</v>
      </c>
      <c r="G24" s="8">
        <f t="shared" si="4"/>
        <v>0.37521989119105226</v>
      </c>
      <c r="H24" s="8">
        <f t="shared" si="4"/>
        <v>0.37521989119105226</v>
      </c>
      <c r="I24" s="8">
        <f t="shared" si="4"/>
        <v>0.37521989119105226</v>
      </c>
      <c r="K24" s="18"/>
    </row>
    <row r="25" spans="1:11" x14ac:dyDescent="0.35">
      <c r="A25" s="11" t="s">
        <v>33</v>
      </c>
      <c r="B25" s="10" t="s">
        <v>14</v>
      </c>
      <c r="C25" s="8">
        <f>'InputOutput-mobility'!C13</f>
        <v>0.22</v>
      </c>
      <c r="D25" s="8">
        <f>'InputOutput-mobility'!D13</f>
        <v>0.21299999999999999</v>
      </c>
      <c r="E25" s="8">
        <f>'InputOutput-mobility'!E13</f>
        <v>0.19</v>
      </c>
      <c r="F25" s="8">
        <f>'InputOutput-mobility'!F13</f>
        <v>0.161</v>
      </c>
      <c r="G25" s="8">
        <f>'InputOutput-mobility'!G13</f>
        <v>0.14499999999999999</v>
      </c>
      <c r="H25" s="8">
        <f>'InputOutput-mobility'!H13</f>
        <v>0.128</v>
      </c>
      <c r="I25" s="8">
        <f>'InputOutput-mobility'!I13</f>
        <v>0.128</v>
      </c>
      <c r="K25" s="18"/>
    </row>
    <row r="26" spans="1:11" x14ac:dyDescent="0.35">
      <c r="A26" s="11" t="s">
        <v>37</v>
      </c>
      <c r="B26" s="10" t="s">
        <v>14</v>
      </c>
      <c r="C26" s="4">
        <f>ROUND(C20*(1-$C$16/100)+C25*$C$16/100,3)</f>
        <v>0.35199999999999998</v>
      </c>
      <c r="D26" s="4">
        <f t="shared" ref="D26:I26" si="5">ROUND(D20*(1-$C$16/100)+D25*$C$16/100,3)</f>
        <v>0.34699999999999998</v>
      </c>
      <c r="E26" s="4">
        <f t="shared" si="5"/>
        <v>0.33100000000000002</v>
      </c>
      <c r="F26" s="4">
        <f t="shared" si="5"/>
        <v>0.31</v>
      </c>
      <c r="G26" s="4">
        <f t="shared" si="5"/>
        <v>0.29899999999999999</v>
      </c>
      <c r="H26" s="4">
        <f t="shared" si="5"/>
        <v>0.28699999999999998</v>
      </c>
      <c r="I26" s="4">
        <f t="shared" si="5"/>
        <v>0.28699999999999998</v>
      </c>
      <c r="K26" s="18"/>
    </row>
    <row r="27" spans="1:11" x14ac:dyDescent="0.35">
      <c r="A27" s="11" t="s">
        <v>36</v>
      </c>
      <c r="B27" s="10" t="s">
        <v>14</v>
      </c>
      <c r="C27" s="4">
        <f>ROUND(C21*(1-$C$16/100)+C25*$C$16/100,3)</f>
        <v>0.33500000000000002</v>
      </c>
      <c r="D27" s="4">
        <f t="shared" ref="D27:I27" si="6">ROUND(D21*(1-$C$16/100)+D25*$C$16/100,3)</f>
        <v>0.33100000000000002</v>
      </c>
      <c r="E27" s="4">
        <f t="shared" si="6"/>
        <v>0.314</v>
      </c>
      <c r="F27" s="4">
        <f t="shared" si="6"/>
        <v>0.29399999999999998</v>
      </c>
      <c r="G27" s="4">
        <f t="shared" si="6"/>
        <v>0.28299999999999997</v>
      </c>
      <c r="H27" s="4">
        <f t="shared" si="6"/>
        <v>0.27100000000000002</v>
      </c>
      <c r="I27" s="4">
        <f t="shared" si="6"/>
        <v>0.27100000000000002</v>
      </c>
      <c r="K27" s="18"/>
    </row>
    <row r="28" spans="1:11" x14ac:dyDescent="0.35">
      <c r="A28" s="11" t="s">
        <v>38</v>
      </c>
      <c r="B28" s="10" t="s">
        <v>14</v>
      </c>
      <c r="C28" s="4">
        <f>ROUND(C22*(1-$C$16/100)+C25*$C$16/100,3)</f>
        <v>0.34300000000000003</v>
      </c>
      <c r="D28" s="4">
        <f t="shared" ref="D28:I28" si="7">ROUND(D22*(1-$C$16/100)+D25*$C$16/100,3)</f>
        <v>0.33800000000000002</v>
      </c>
      <c r="E28" s="4">
        <f t="shared" si="7"/>
        <v>0.32200000000000001</v>
      </c>
      <c r="F28" s="4">
        <f t="shared" si="7"/>
        <v>0.30099999999999999</v>
      </c>
      <c r="G28" s="4">
        <f t="shared" si="7"/>
        <v>0.28999999999999998</v>
      </c>
      <c r="H28" s="4">
        <f t="shared" si="7"/>
        <v>0.27800000000000002</v>
      </c>
      <c r="I28" s="4">
        <f t="shared" si="7"/>
        <v>0.27800000000000002</v>
      </c>
      <c r="K28" s="18"/>
    </row>
    <row r="29" spans="1:11" x14ac:dyDescent="0.35">
      <c r="K29" s="14"/>
    </row>
    <row r="30" spans="1:11" x14ac:dyDescent="0.35">
      <c r="A30" s="6" t="s">
        <v>77</v>
      </c>
      <c r="B30" s="7" t="s">
        <v>20</v>
      </c>
      <c r="C30" s="1">
        <v>2020</v>
      </c>
      <c r="D30" s="1">
        <v>2025</v>
      </c>
      <c r="E30" s="1">
        <v>2030</v>
      </c>
      <c r="F30" s="1">
        <v>2035</v>
      </c>
      <c r="G30" s="1">
        <v>2040</v>
      </c>
      <c r="H30" s="1">
        <v>2045</v>
      </c>
      <c r="I30" s="1">
        <v>2050</v>
      </c>
      <c r="J30" s="1" t="s">
        <v>10</v>
      </c>
    </row>
    <row r="31" spans="1:11" x14ac:dyDescent="0.35">
      <c r="A31" s="11" t="s">
        <v>28</v>
      </c>
      <c r="B31" s="10" t="s">
        <v>16</v>
      </c>
      <c r="C31" s="4">
        <v>35.299999999999997</v>
      </c>
      <c r="D31" s="13">
        <f>C31/99.5*(100-$D$36)</f>
        <v>33.348743718592964</v>
      </c>
      <c r="E31" s="13">
        <f>C31/99.5*(100-$E$36)</f>
        <v>29.09145728643216</v>
      </c>
      <c r="F31" s="13">
        <f>C31/99.5*(100-$F$36)</f>
        <v>23.060301507537687</v>
      </c>
      <c r="G31" s="13">
        <f>C31/99.5*(100-$G$36)</f>
        <v>15.610050251256281</v>
      </c>
      <c r="H31" s="13">
        <f>C31/99.5*(100-$H$36)</f>
        <v>7.8050251256281404</v>
      </c>
      <c r="I31" s="13">
        <f>$C$31/99.5*(100-I36)</f>
        <v>0.17738693467336683</v>
      </c>
      <c r="J31" s="15"/>
    </row>
    <row r="32" spans="1:11" x14ac:dyDescent="0.35">
      <c r="A32" s="11" t="s">
        <v>29</v>
      </c>
      <c r="B32" s="10" t="s">
        <v>16</v>
      </c>
      <c r="C32" s="4">
        <v>62.5</v>
      </c>
      <c r="D32" s="13">
        <f t="shared" ref="D32:D39" si="8">C32/99.5*(100-$D$36)</f>
        <v>59.045226130653269</v>
      </c>
      <c r="E32" s="13">
        <f t="shared" ref="E32:E39" si="9">C32/99.5*(100-$E$36)</f>
        <v>51.507537688442213</v>
      </c>
      <c r="F32" s="13">
        <f t="shared" ref="F32:F39" si="10">C32/99.5*(100-$F$36)</f>
        <v>40.829145728643219</v>
      </c>
      <c r="G32" s="13">
        <f t="shared" ref="G32:G39" si="11">C32/99.5*(100-$G$36)</f>
        <v>27.638190954773872</v>
      </c>
      <c r="H32" s="13">
        <f t="shared" ref="H32:H39" si="12">C32/99.5*(100-$H$36)</f>
        <v>13.819095477386936</v>
      </c>
      <c r="I32" s="13">
        <f t="shared" ref="I32:I39" si="13">C32/99.5*(100-$I$36)</f>
        <v>0.314070351758794</v>
      </c>
      <c r="J32" s="15"/>
    </row>
    <row r="33" spans="1:10" x14ac:dyDescent="0.35">
      <c r="A33" s="11" t="s">
        <v>30</v>
      </c>
      <c r="B33" s="10" t="s">
        <v>16</v>
      </c>
      <c r="C33" s="4">
        <v>0.2</v>
      </c>
      <c r="D33" s="13">
        <f t="shared" si="8"/>
        <v>0.18894472361809048</v>
      </c>
      <c r="E33" s="13">
        <f t="shared" si="9"/>
        <v>0.1648241206030151</v>
      </c>
      <c r="F33" s="13">
        <f t="shared" si="10"/>
        <v>0.1306532663316583</v>
      </c>
      <c r="G33" s="13">
        <f t="shared" si="11"/>
        <v>8.8442211055276387E-2</v>
      </c>
      <c r="H33" s="13">
        <f t="shared" si="12"/>
        <v>4.4221105527638194E-2</v>
      </c>
      <c r="I33" s="13">
        <f t="shared" si="13"/>
        <v>1.0050251256281408E-3</v>
      </c>
      <c r="J33" s="15"/>
    </row>
    <row r="34" spans="1:10" x14ac:dyDescent="0.35">
      <c r="A34" s="11" t="s">
        <v>31</v>
      </c>
      <c r="B34" s="10" t="s">
        <v>16</v>
      </c>
      <c r="C34" s="4">
        <v>0.3</v>
      </c>
      <c r="D34" s="13">
        <f t="shared" si="8"/>
        <v>0.28341708542713567</v>
      </c>
      <c r="E34" s="13">
        <f t="shared" si="9"/>
        <v>0.2472361809045226</v>
      </c>
      <c r="F34" s="13">
        <f t="shared" si="10"/>
        <v>0.19597989949748743</v>
      </c>
      <c r="G34" s="13">
        <f t="shared" si="11"/>
        <v>0.13266331658291458</v>
      </c>
      <c r="H34" s="13">
        <f t="shared" si="12"/>
        <v>6.6331658291457291E-2</v>
      </c>
      <c r="I34" s="13">
        <f t="shared" si="13"/>
        <v>1.507537688442211E-3</v>
      </c>
      <c r="J34" s="15"/>
    </row>
    <row r="35" spans="1:10" x14ac:dyDescent="0.35">
      <c r="A35" s="11" t="s">
        <v>32</v>
      </c>
      <c r="B35" s="10" t="s">
        <v>16</v>
      </c>
      <c r="C35" s="4">
        <v>0</v>
      </c>
      <c r="D35" s="13">
        <f t="shared" si="8"/>
        <v>0</v>
      </c>
      <c r="E35" s="13">
        <f t="shared" si="9"/>
        <v>0</v>
      </c>
      <c r="F35" s="13">
        <f t="shared" si="10"/>
        <v>0</v>
      </c>
      <c r="G35" s="13">
        <f t="shared" si="11"/>
        <v>0</v>
      </c>
      <c r="H35" s="13">
        <f t="shared" si="12"/>
        <v>0</v>
      </c>
      <c r="I35" s="13">
        <f t="shared" si="13"/>
        <v>0</v>
      </c>
      <c r="J35" s="15"/>
    </row>
    <row r="36" spans="1:10" x14ac:dyDescent="0.35">
      <c r="A36" s="11" t="s">
        <v>33</v>
      </c>
      <c r="B36" s="10" t="s">
        <v>16</v>
      </c>
      <c r="C36" s="4">
        <f>'InputOutput-mobility'!C12</f>
        <v>0.5</v>
      </c>
      <c r="D36" s="4">
        <f>'InputOutput-mobility'!D12</f>
        <v>6</v>
      </c>
      <c r="E36" s="4">
        <f>'InputOutput-mobility'!E12</f>
        <v>18</v>
      </c>
      <c r="F36" s="4">
        <f>'InputOutput-mobility'!F12</f>
        <v>35</v>
      </c>
      <c r="G36" s="4">
        <f>'InputOutput-mobility'!G12</f>
        <v>56</v>
      </c>
      <c r="H36" s="4">
        <f>'InputOutput-mobility'!H12</f>
        <v>78</v>
      </c>
      <c r="I36" s="4">
        <f>'InputOutput-mobility'!I12</f>
        <v>99.5</v>
      </c>
      <c r="J36" s="15"/>
    </row>
    <row r="37" spans="1:10" x14ac:dyDescent="0.35">
      <c r="A37" s="11" t="s">
        <v>37</v>
      </c>
      <c r="B37" s="10" t="s">
        <v>16</v>
      </c>
      <c r="C37" s="4">
        <v>1.1000000000000001</v>
      </c>
      <c r="D37" s="13">
        <f t="shared" si="8"/>
        <v>1.0391959798994976</v>
      </c>
      <c r="E37" s="13">
        <f t="shared" si="9"/>
        <v>0.906532663316583</v>
      </c>
      <c r="F37" s="13">
        <f t="shared" si="10"/>
        <v>0.71859296482412061</v>
      </c>
      <c r="G37" s="13">
        <f t="shared" si="11"/>
        <v>0.48643216080402013</v>
      </c>
      <c r="H37" s="13">
        <f t="shared" si="12"/>
        <v>0.24321608040201007</v>
      </c>
      <c r="I37" s="13">
        <f t="shared" si="13"/>
        <v>5.5276381909547742E-3</v>
      </c>
      <c r="J37" s="15"/>
    </row>
    <row r="38" spans="1:10" x14ac:dyDescent="0.35">
      <c r="A38" s="11" t="s">
        <v>36</v>
      </c>
      <c r="B38" s="10" t="s">
        <v>16</v>
      </c>
      <c r="C38" s="4">
        <v>0.1</v>
      </c>
      <c r="D38" s="13">
        <f t="shared" si="8"/>
        <v>9.4472361809045238E-2</v>
      </c>
      <c r="E38" s="13">
        <f t="shared" si="9"/>
        <v>8.241206030150755E-2</v>
      </c>
      <c r="F38" s="13">
        <f t="shared" si="10"/>
        <v>6.5326633165829151E-2</v>
      </c>
      <c r="G38" s="13">
        <f t="shared" si="11"/>
        <v>4.4221105527638194E-2</v>
      </c>
      <c r="H38" s="13">
        <f t="shared" si="12"/>
        <v>2.2110552763819097E-2</v>
      </c>
      <c r="I38" s="13">
        <f t="shared" si="13"/>
        <v>5.025125628140704E-4</v>
      </c>
      <c r="J38" s="15"/>
    </row>
    <row r="39" spans="1:10" x14ac:dyDescent="0.35">
      <c r="A39" s="11" t="s">
        <v>38</v>
      </c>
      <c r="B39" s="10" t="s">
        <v>16</v>
      </c>
      <c r="C39" s="4">
        <v>0</v>
      </c>
      <c r="D39" s="13">
        <f t="shared" si="8"/>
        <v>0</v>
      </c>
      <c r="E39" s="13">
        <f t="shared" si="9"/>
        <v>0</v>
      </c>
      <c r="F39" s="13">
        <f t="shared" si="10"/>
        <v>0</v>
      </c>
      <c r="G39" s="13">
        <f t="shared" si="11"/>
        <v>0</v>
      </c>
      <c r="H39" s="13">
        <f t="shared" si="12"/>
        <v>0</v>
      </c>
      <c r="I39" s="13">
        <f t="shared" si="13"/>
        <v>0</v>
      </c>
      <c r="J39" s="15"/>
    </row>
    <row r="40" spans="1:10" x14ac:dyDescent="0.35">
      <c r="E40" s="14"/>
      <c r="F40" s="14"/>
      <c r="G40" s="14"/>
      <c r="H40" s="14"/>
      <c r="I40" s="14"/>
      <c r="J40" s="15"/>
    </row>
    <row r="41" spans="1:10" x14ac:dyDescent="0.35">
      <c r="A41" s="6" t="s">
        <v>78</v>
      </c>
      <c r="B41" s="7" t="s">
        <v>20</v>
      </c>
      <c r="C41" s="1">
        <v>2020</v>
      </c>
      <c r="D41" s="1">
        <v>2025</v>
      </c>
      <c r="E41" s="1">
        <v>2030</v>
      </c>
      <c r="F41" s="1">
        <v>2035</v>
      </c>
      <c r="G41" s="1">
        <v>2040</v>
      </c>
      <c r="H41" s="1">
        <v>2045</v>
      </c>
      <c r="I41" s="1">
        <v>2050</v>
      </c>
      <c r="J41" s="1" t="s">
        <v>10</v>
      </c>
    </row>
    <row r="42" spans="1:10" x14ac:dyDescent="0.35">
      <c r="A42" s="11" t="s">
        <v>43</v>
      </c>
      <c r="B42" s="10" t="s">
        <v>44</v>
      </c>
      <c r="C42">
        <f>ROUND('InputOutput-mobility'!C4*'InputOutput-mobility'!C5,3)</f>
        <v>113.542</v>
      </c>
      <c r="D42">
        <f>ROUND('InputOutput-mobility'!D4*'InputOutput-mobility'!D5,3)</f>
        <v>111.747</v>
      </c>
      <c r="E42">
        <f>ROUND('InputOutput-mobility'!E4*'InputOutput-mobility'!E5,3)</f>
        <v>99.501999999999995</v>
      </c>
      <c r="F42">
        <f>ROUND('InputOutput-mobility'!F4*'InputOutput-mobility'!F5,3)</f>
        <v>91.688999999999993</v>
      </c>
      <c r="G42">
        <f>ROUND('InputOutput-mobility'!G4*'InputOutput-mobility'!G5,3)</f>
        <v>77.516999999999996</v>
      </c>
      <c r="H42">
        <f>ROUND('InputOutput-mobility'!H4*'InputOutput-mobility'!H5,3)</f>
        <v>69.248000000000005</v>
      </c>
      <c r="I42">
        <f>ROUND('InputOutput-mobility'!I4*'InputOutput-mobility'!I5,3)</f>
        <v>62.878</v>
      </c>
    </row>
    <row r="43" spans="1:10" x14ac:dyDescent="0.35">
      <c r="A43" s="11" t="s">
        <v>28</v>
      </c>
      <c r="B43" s="10" t="s">
        <v>44</v>
      </c>
      <c r="C43">
        <f>ROUND(C31*$C$42/100,3)</f>
        <v>40.08</v>
      </c>
      <c r="D43">
        <f t="shared" ref="D43:D51" si="14">ROUND(D31*$D$42/100,3)</f>
        <v>37.265999999999998</v>
      </c>
      <c r="E43">
        <f t="shared" ref="E43:E51" si="15">ROUND(E31*$E$42/100,3)</f>
        <v>28.946999999999999</v>
      </c>
      <c r="F43">
        <f t="shared" ref="F43:F51" si="16">ROUND(F31*$F$42/100,3)</f>
        <v>21.143999999999998</v>
      </c>
      <c r="G43">
        <f t="shared" ref="G43:G51" si="17">ROUND(G31*$G$42/100,3)</f>
        <v>12.1</v>
      </c>
      <c r="H43">
        <f t="shared" ref="H43:H51" si="18">ROUND(H31*$H$42/100,3)</f>
        <v>5.4050000000000002</v>
      </c>
      <c r="I43">
        <f t="shared" ref="I43:I51" si="19">ROUND(I31*$I$42/100,3)</f>
        <v>0.112</v>
      </c>
    </row>
    <row r="44" spans="1:10" x14ac:dyDescent="0.35">
      <c r="A44" s="11" t="s">
        <v>29</v>
      </c>
      <c r="B44" s="10" t="s">
        <v>44</v>
      </c>
      <c r="C44">
        <f t="shared" ref="C44:C51" si="20">ROUND(C32*$C$42/100,3)</f>
        <v>70.963999999999999</v>
      </c>
      <c r="D44">
        <f t="shared" si="14"/>
        <v>65.980999999999995</v>
      </c>
      <c r="E44">
        <f t="shared" si="15"/>
        <v>51.250999999999998</v>
      </c>
      <c r="F44">
        <f t="shared" si="16"/>
        <v>37.436</v>
      </c>
      <c r="G44">
        <f t="shared" si="17"/>
        <v>21.423999999999999</v>
      </c>
      <c r="H44">
        <f t="shared" si="18"/>
        <v>9.5690000000000008</v>
      </c>
      <c r="I44">
        <f t="shared" si="19"/>
        <v>0.19700000000000001</v>
      </c>
    </row>
    <row r="45" spans="1:10" x14ac:dyDescent="0.35">
      <c r="A45" s="11" t="s">
        <v>30</v>
      </c>
      <c r="B45" s="10" t="s">
        <v>44</v>
      </c>
      <c r="C45">
        <f t="shared" si="20"/>
        <v>0.22700000000000001</v>
      </c>
      <c r="D45">
        <f t="shared" si="14"/>
        <v>0.21099999999999999</v>
      </c>
      <c r="E45">
        <f t="shared" si="15"/>
        <v>0.16400000000000001</v>
      </c>
      <c r="F45">
        <f t="shared" si="16"/>
        <v>0.12</v>
      </c>
      <c r="G45">
        <f t="shared" si="17"/>
        <v>6.9000000000000006E-2</v>
      </c>
      <c r="H45">
        <f t="shared" si="18"/>
        <v>3.1E-2</v>
      </c>
      <c r="I45">
        <f t="shared" si="19"/>
        <v>1E-3</v>
      </c>
    </row>
    <row r="46" spans="1:10" x14ac:dyDescent="0.35">
      <c r="A46" s="11" t="s">
        <v>31</v>
      </c>
      <c r="B46" s="10" t="s">
        <v>44</v>
      </c>
      <c r="C46">
        <f t="shared" si="20"/>
        <v>0.34100000000000003</v>
      </c>
      <c r="D46">
        <f t="shared" si="14"/>
        <v>0.317</v>
      </c>
      <c r="E46">
        <f t="shared" si="15"/>
        <v>0.246</v>
      </c>
      <c r="F46">
        <f t="shared" si="16"/>
        <v>0.18</v>
      </c>
      <c r="G46">
        <f t="shared" si="17"/>
        <v>0.10299999999999999</v>
      </c>
      <c r="H46">
        <f t="shared" si="18"/>
        <v>4.5999999999999999E-2</v>
      </c>
      <c r="I46">
        <f t="shared" si="19"/>
        <v>1E-3</v>
      </c>
    </row>
    <row r="47" spans="1:10" x14ac:dyDescent="0.35">
      <c r="A47" s="11" t="s">
        <v>32</v>
      </c>
      <c r="B47" s="10" t="s">
        <v>44</v>
      </c>
      <c r="C47">
        <f t="shared" si="20"/>
        <v>0</v>
      </c>
      <c r="D47">
        <f t="shared" si="14"/>
        <v>0</v>
      </c>
      <c r="E47">
        <f t="shared" si="15"/>
        <v>0</v>
      </c>
      <c r="F47">
        <f t="shared" si="16"/>
        <v>0</v>
      </c>
      <c r="G47">
        <f t="shared" si="17"/>
        <v>0</v>
      </c>
      <c r="H47">
        <f t="shared" si="18"/>
        <v>0</v>
      </c>
      <c r="I47">
        <f t="shared" si="19"/>
        <v>0</v>
      </c>
    </row>
    <row r="48" spans="1:10" x14ac:dyDescent="0.35">
      <c r="A48" s="11" t="s">
        <v>33</v>
      </c>
      <c r="B48" s="10" t="s">
        <v>44</v>
      </c>
      <c r="C48">
        <f t="shared" si="20"/>
        <v>0.56799999999999995</v>
      </c>
      <c r="D48">
        <f t="shared" si="14"/>
        <v>6.7050000000000001</v>
      </c>
      <c r="E48">
        <f t="shared" si="15"/>
        <v>17.91</v>
      </c>
      <c r="F48">
        <f t="shared" si="16"/>
        <v>32.091000000000001</v>
      </c>
      <c r="G48">
        <f t="shared" si="17"/>
        <v>43.41</v>
      </c>
      <c r="H48">
        <f t="shared" si="18"/>
        <v>54.012999999999998</v>
      </c>
      <c r="I48">
        <f>ROUND(I36*$I$42/100,3)</f>
        <v>62.564</v>
      </c>
    </row>
    <row r="49" spans="1:10" x14ac:dyDescent="0.35">
      <c r="A49" s="11" t="s">
        <v>37</v>
      </c>
      <c r="B49" s="10" t="s">
        <v>44</v>
      </c>
      <c r="C49">
        <f t="shared" si="20"/>
        <v>1.2490000000000001</v>
      </c>
      <c r="D49">
        <f t="shared" si="14"/>
        <v>1.161</v>
      </c>
      <c r="E49">
        <f t="shared" si="15"/>
        <v>0.90200000000000002</v>
      </c>
      <c r="F49">
        <f t="shared" si="16"/>
        <v>0.65900000000000003</v>
      </c>
      <c r="G49">
        <f t="shared" si="17"/>
        <v>0.377</v>
      </c>
      <c r="H49">
        <f t="shared" si="18"/>
        <v>0.16800000000000001</v>
      </c>
      <c r="I49">
        <f t="shared" si="19"/>
        <v>3.0000000000000001E-3</v>
      </c>
    </row>
    <row r="50" spans="1:10" x14ac:dyDescent="0.35">
      <c r="A50" s="11" t="s">
        <v>36</v>
      </c>
      <c r="B50" s="10" t="s">
        <v>44</v>
      </c>
      <c r="C50">
        <f t="shared" si="20"/>
        <v>0.114</v>
      </c>
      <c r="D50">
        <f t="shared" si="14"/>
        <v>0.106</v>
      </c>
      <c r="E50">
        <f t="shared" si="15"/>
        <v>8.2000000000000003E-2</v>
      </c>
      <c r="F50">
        <f t="shared" si="16"/>
        <v>0.06</v>
      </c>
      <c r="G50">
        <f t="shared" si="17"/>
        <v>3.4000000000000002E-2</v>
      </c>
      <c r="H50">
        <f t="shared" si="18"/>
        <v>1.4999999999999999E-2</v>
      </c>
      <c r="I50">
        <f t="shared" si="19"/>
        <v>0</v>
      </c>
    </row>
    <row r="51" spans="1:10" x14ac:dyDescent="0.35">
      <c r="A51" s="11" t="s">
        <v>38</v>
      </c>
      <c r="B51" s="10" t="s">
        <v>44</v>
      </c>
      <c r="C51">
        <f t="shared" si="20"/>
        <v>0</v>
      </c>
      <c r="D51">
        <f t="shared" si="14"/>
        <v>0</v>
      </c>
      <c r="E51">
        <f t="shared" si="15"/>
        <v>0</v>
      </c>
      <c r="F51">
        <f t="shared" si="16"/>
        <v>0</v>
      </c>
      <c r="G51">
        <f t="shared" si="17"/>
        <v>0</v>
      </c>
      <c r="H51">
        <f t="shared" si="18"/>
        <v>0</v>
      </c>
      <c r="I51">
        <f t="shared" si="19"/>
        <v>0</v>
      </c>
    </row>
    <row r="53" spans="1:10" x14ac:dyDescent="0.35">
      <c r="A53" s="6" t="s">
        <v>79</v>
      </c>
      <c r="B53" s="7" t="s">
        <v>20</v>
      </c>
      <c r="C53" s="1">
        <v>2020</v>
      </c>
      <c r="D53" s="1">
        <v>2025</v>
      </c>
      <c r="E53" s="1">
        <v>2030</v>
      </c>
      <c r="F53" s="1">
        <v>2035</v>
      </c>
      <c r="G53" s="1">
        <v>2040</v>
      </c>
      <c r="H53" s="1">
        <v>2045</v>
      </c>
      <c r="I53" s="1">
        <v>2050</v>
      </c>
      <c r="J53" s="1" t="s">
        <v>10</v>
      </c>
    </row>
    <row r="54" spans="1:10" x14ac:dyDescent="0.35">
      <c r="A54" s="11" t="s">
        <v>28</v>
      </c>
      <c r="B54" s="10" t="s">
        <v>45</v>
      </c>
      <c r="C54">
        <f>ROUND(C43*C20/'InputOutput-mobility'!C8,3)</f>
        <v>21.116</v>
      </c>
      <c r="D54">
        <f>ROUND(D43*D20/'InputOutput-mobility'!D8,3)</f>
        <v>17.53</v>
      </c>
      <c r="E54">
        <f>ROUND(E43*E20/'InputOutput-mobility'!E8,3)</f>
        <v>11.084</v>
      </c>
      <c r="F54">
        <f>ROUND(F43*F20/'InputOutput-mobility'!F8,3)</f>
        <v>7.6509999999999998</v>
      </c>
      <c r="G54">
        <f>ROUND(G43*G20/'InputOutput-mobility'!G8,3)</f>
        <v>4.194</v>
      </c>
      <c r="H54">
        <f>ROUND(H43*H20/'InputOutput-mobility'!H8,3)</f>
        <v>1.825</v>
      </c>
      <c r="I54">
        <f>ROUND(I43*I20/'InputOutput-mobility'!I$8,3)</f>
        <v>3.6999999999999998E-2</v>
      </c>
    </row>
    <row r="55" spans="1:10" x14ac:dyDescent="0.35">
      <c r="A55" s="11" t="s">
        <v>29</v>
      </c>
      <c r="B55" s="10" t="s">
        <v>45</v>
      </c>
      <c r="C55">
        <f>ROUND(C44*C21/'InputOutput-mobility'!C8,3)</f>
        <v>34.334000000000003</v>
      </c>
      <c r="D55">
        <f>ROUND(D44*D21/'InputOutput-mobility'!D$8,3)</f>
        <v>28.503</v>
      </c>
      <c r="E55">
        <f>ROUND(E44*E21/'InputOutput-mobility'!E$8,3)</f>
        <v>18.021000000000001</v>
      </c>
      <c r="F55">
        <f>ROUND(F44*F21/'InputOutput-mobility'!F$8,3)</f>
        <v>12.44</v>
      </c>
      <c r="G55">
        <f>ROUND(G44*G21/'InputOutput-mobility'!G$8,3)</f>
        <v>6.819</v>
      </c>
      <c r="H55">
        <f>ROUND(H44*H21/'InputOutput-mobility'!H$8,3)</f>
        <v>2.968</v>
      </c>
      <c r="I55">
        <f>ROUND(I44*I21/'InputOutput-mobility'!I$8,3)</f>
        <v>0.06</v>
      </c>
    </row>
    <row r="56" spans="1:10" x14ac:dyDescent="0.35">
      <c r="A56" s="11" t="s">
        <v>30</v>
      </c>
      <c r="B56" s="10" t="s">
        <v>45</v>
      </c>
      <c r="C56">
        <f>ROUND(C45*C22/'InputOutput-mobility'!C$8,3)</f>
        <v>0.114</v>
      </c>
      <c r="D56">
        <f>ROUND(D45*D22/'InputOutput-mobility'!D$8,3)</f>
        <v>9.5000000000000001E-2</v>
      </c>
      <c r="E56">
        <f>ROUND(E45*E22/'InputOutput-mobility'!E$8,3)</f>
        <v>0.06</v>
      </c>
      <c r="F56">
        <f>ROUND(F45*F22/'InputOutput-mobility'!F$8,3)</f>
        <v>4.1000000000000002E-2</v>
      </c>
      <c r="G56">
        <f>ROUND(G45*G22/'InputOutput-mobility'!G$8,3)</f>
        <v>2.3E-2</v>
      </c>
      <c r="H56">
        <f>ROUND(H45*H22/'InputOutput-mobility'!H$8,3)</f>
        <v>0.01</v>
      </c>
      <c r="I56">
        <f>ROUND(I45*I22/'InputOutput-mobility'!I$8,3)</f>
        <v>0</v>
      </c>
    </row>
    <row r="57" spans="1:10" x14ac:dyDescent="0.35">
      <c r="A57" s="11" t="s">
        <v>31</v>
      </c>
      <c r="B57" s="10" t="s">
        <v>45</v>
      </c>
      <c r="C57">
        <f>ROUND(C46*C23/'InputOutput-mobility'!C$8,3)</f>
        <v>0.129</v>
      </c>
      <c r="D57">
        <f>ROUND(D46*D23/'InputOutput-mobility'!D$8,3)</f>
        <v>0.107</v>
      </c>
      <c r="E57">
        <f>ROUND(E46*E23/'InputOutput-mobility'!E$8,3)</f>
        <v>6.8000000000000005E-2</v>
      </c>
      <c r="F57">
        <f>ROUND(F46*F23/'InputOutput-mobility'!F$8,3)</f>
        <v>4.7E-2</v>
      </c>
      <c r="G57">
        <f>ROUND(G46*G23/'InputOutput-mobility'!G$8,3)</f>
        <v>2.5999999999999999E-2</v>
      </c>
      <c r="H57">
        <f>ROUND(H46*H23/'InputOutput-mobility'!H$8,3)</f>
        <v>1.0999999999999999E-2</v>
      </c>
      <c r="I57">
        <f>ROUND(I46*I23/'InputOutput-mobility'!I$8,3)</f>
        <v>0</v>
      </c>
    </row>
    <row r="58" spans="1:10" x14ac:dyDescent="0.35">
      <c r="A58" s="11" t="s">
        <v>32</v>
      </c>
      <c r="B58" s="10" t="s">
        <v>45</v>
      </c>
      <c r="C58">
        <f>ROUND(C47*C24/'InputOutput-mobility'!C$8,3)</f>
        <v>0</v>
      </c>
      <c r="D58">
        <f>ROUND(D47*D24/'InputOutput-mobility'!D$8,3)</f>
        <v>0</v>
      </c>
      <c r="E58">
        <f>ROUND(E47*E24/'InputOutput-mobility'!E$8,3)</f>
        <v>0</v>
      </c>
      <c r="F58">
        <f>ROUND(F47*F24/'InputOutput-mobility'!F$8,3)</f>
        <v>0</v>
      </c>
      <c r="G58">
        <f>ROUND(G47*G24/'InputOutput-mobility'!G$8,3)</f>
        <v>0</v>
      </c>
      <c r="H58">
        <f>ROUND(H47*H24/'InputOutput-mobility'!H$8,3)</f>
        <v>0</v>
      </c>
      <c r="I58">
        <f>ROUND(I47*I24/'InputOutput-mobility'!I$8,3)</f>
        <v>0</v>
      </c>
    </row>
    <row r="59" spans="1:10" x14ac:dyDescent="0.35">
      <c r="A59" s="11" t="s">
        <v>33</v>
      </c>
      <c r="B59" s="10" t="s">
        <v>45</v>
      </c>
      <c r="C59">
        <f>ROUND(C48*C25/'InputOutput-mobility'!C$8,3)</f>
        <v>0.1</v>
      </c>
      <c r="D59">
        <f>ROUND(D48*D25/'InputOutput-mobility'!D$8,3)</f>
        <v>1.02</v>
      </c>
      <c r="E59">
        <f>ROUND(E48*E25/'InputOutput-mobility'!E$8,3)</f>
        <v>1.978</v>
      </c>
      <c r="F59">
        <f>ROUND(F48*F25/'InputOutput-mobility'!F$8,3)</f>
        <v>2.839</v>
      </c>
      <c r="G59">
        <f>ROUND(G48*G25/'InputOutput-mobility'!G$8,3)</f>
        <v>3.3130000000000002</v>
      </c>
      <c r="H59">
        <f>ROUND(H48*H25/'InputOutput-mobility'!H$8,3)</f>
        <v>3.5449999999999999</v>
      </c>
      <c r="I59">
        <f>ROUND(I48*I25/'InputOutput-mobility'!I$8,3)</f>
        <v>4.0039999999999996</v>
      </c>
    </row>
    <row r="60" spans="1:10" x14ac:dyDescent="0.35">
      <c r="A60" s="11" t="s">
        <v>37</v>
      </c>
      <c r="B60" s="10" t="s">
        <v>45</v>
      </c>
      <c r="C60">
        <f>ROUND(C49*C26/'InputOutput-mobility'!C$8,3)</f>
        <v>0.35199999999999998</v>
      </c>
      <c r="D60">
        <f>ROUND(D49*D26/'InputOutput-mobility'!D$8,3)</f>
        <v>0.28799999999999998</v>
      </c>
      <c r="E60">
        <f>ROUND(E49*E26/'InputOutput-mobility'!E$8,3)</f>
        <v>0.17399999999999999</v>
      </c>
      <c r="F60">
        <f>ROUND(F49*F26/'InputOutput-mobility'!F$8,3)</f>
        <v>0.112</v>
      </c>
      <c r="G60">
        <f>ROUND(G49*G26/'InputOutput-mobility'!G$8,3)</f>
        <v>5.8999999999999997E-2</v>
      </c>
      <c r="H60">
        <f>ROUND(H49*H26/'InputOutput-mobility'!H$8,3)</f>
        <v>2.5000000000000001E-2</v>
      </c>
      <c r="I60">
        <f>ROUND(I49*I26/'InputOutput-mobility'!I$8,3)</f>
        <v>0</v>
      </c>
    </row>
    <row r="61" spans="1:10" x14ac:dyDescent="0.35">
      <c r="A61" s="11" t="s">
        <v>36</v>
      </c>
      <c r="B61" s="10" t="s">
        <v>45</v>
      </c>
      <c r="C61">
        <f>ROUND(C50*C27/'InputOutput-mobility'!C$8,3)</f>
        <v>3.1E-2</v>
      </c>
      <c r="D61">
        <f>ROUND(D50*D27/'InputOutput-mobility'!D$8,3)</f>
        <v>2.5000000000000001E-2</v>
      </c>
      <c r="E61">
        <f>ROUND(E50*E27/'InputOutput-mobility'!E$8,3)</f>
        <v>1.4999999999999999E-2</v>
      </c>
      <c r="F61">
        <f>ROUND(F50*F27/'InputOutput-mobility'!F$8,3)</f>
        <v>0.01</v>
      </c>
      <c r="G61">
        <f>ROUND(G50*G27/'InputOutput-mobility'!G$8,3)</f>
        <v>5.0000000000000001E-3</v>
      </c>
      <c r="H61">
        <f>ROUND(H50*H27/'InputOutput-mobility'!H$8,3)</f>
        <v>2E-3</v>
      </c>
      <c r="I61">
        <f>ROUND(I50*I27/'InputOutput-mobility'!I$8,3)</f>
        <v>0</v>
      </c>
    </row>
    <row r="62" spans="1:10" x14ac:dyDescent="0.35">
      <c r="A62" s="11" t="s">
        <v>38</v>
      </c>
      <c r="B62" s="10" t="s">
        <v>45</v>
      </c>
      <c r="C62">
        <f>ROUND(C51*C28/'InputOutput-mobility'!C$8,3)</f>
        <v>0</v>
      </c>
      <c r="D62">
        <f>ROUND(D51*D28/'InputOutput-mobility'!D$8,3)</f>
        <v>0</v>
      </c>
      <c r="E62">
        <f>ROUND(E51*E28/'InputOutput-mobility'!E$8,3)</f>
        <v>0</v>
      </c>
      <c r="F62">
        <f>ROUND(F51*F28/'InputOutput-mobility'!F$8,3)</f>
        <v>0</v>
      </c>
      <c r="G62">
        <f>ROUND(G51*G28/'InputOutput-mobility'!G$8,3)</f>
        <v>0</v>
      </c>
      <c r="H62">
        <f>ROUND(H51*H28/'InputOutput-mobility'!H$8,3)</f>
        <v>0</v>
      </c>
      <c r="I62">
        <f>ROUND(I51*I28/'InputOutput-mobility'!I$8,3)</f>
        <v>0</v>
      </c>
    </row>
    <row r="63" spans="1:10" x14ac:dyDescent="0.35">
      <c r="A63" s="11" t="s">
        <v>46</v>
      </c>
      <c r="B63" s="10" t="s">
        <v>45</v>
      </c>
      <c r="C63">
        <f>SUM(C54:C62)</f>
        <v>56.175999999999995</v>
      </c>
      <c r="D63">
        <f t="shared" ref="D63:H63" si="21">SUM(D54:D62)</f>
        <v>47.567999999999998</v>
      </c>
      <c r="E63">
        <f t="shared" si="21"/>
        <v>31.400000000000002</v>
      </c>
      <c r="F63">
        <f t="shared" si="21"/>
        <v>23.14</v>
      </c>
      <c r="G63">
        <f t="shared" si="21"/>
        <v>14.439</v>
      </c>
      <c r="H63">
        <f t="shared" si="21"/>
        <v>8.386000000000001</v>
      </c>
      <c r="I63">
        <f>SUM(I54:I62)</f>
        <v>4.101</v>
      </c>
    </row>
    <row r="65" spans="1:10" x14ac:dyDescent="0.35">
      <c r="A65" s="6" t="s">
        <v>80</v>
      </c>
      <c r="B65" s="7" t="s">
        <v>20</v>
      </c>
      <c r="C65" s="1">
        <v>2020</v>
      </c>
      <c r="D65" s="1">
        <v>2025</v>
      </c>
      <c r="E65" s="1">
        <v>2030</v>
      </c>
      <c r="F65" s="1">
        <v>2035</v>
      </c>
      <c r="G65" s="1">
        <v>2040</v>
      </c>
      <c r="H65" s="1">
        <v>2045</v>
      </c>
      <c r="I65" s="1">
        <v>2050</v>
      </c>
      <c r="J65" s="1" t="s">
        <v>10</v>
      </c>
    </row>
    <row r="66" spans="1:10" x14ac:dyDescent="0.35">
      <c r="A66" s="11" t="s">
        <v>28</v>
      </c>
      <c r="B66" s="10" t="s">
        <v>45</v>
      </c>
      <c r="C66">
        <f>ROUND(C54*(100+'InputOutput-mobility'!$C$9)/100*(100+'InputOutput-mobility'!$C$10)/100,3)</f>
        <v>21.116</v>
      </c>
      <c r="D66">
        <f>ROUND(D54*(100 +'InputOutput-mobility'!$D$9)/100*(100 +'InputOutput-mobility'!$D$10)/100,3)</f>
        <v>17.53</v>
      </c>
      <c r="E66">
        <f>ROUND(E54*(100+'InputOutput-mobility'!$E$9)/100*(100+'InputOutput-mobility'!$E$10)/100,3)</f>
        <v>10.862</v>
      </c>
      <c r="F66">
        <f>ROUND(F54*(100+'InputOutput-mobility'!$F$9)/100*(100+'InputOutput-mobility'!$F$10)/100,3)</f>
        <v>7.46</v>
      </c>
      <c r="G66">
        <f>ROUND(G54*(100+'InputOutput-mobility'!$G$9)/100*(100+'InputOutput-mobility'!$G$10)/100,3)</f>
        <v>4.069</v>
      </c>
      <c r="H66">
        <f>ROUND(H54*(100+'InputOutput-mobility'!$H$9)/100*(100+'InputOutput-mobility'!$H$10)/100,3)</f>
        <v>1.762</v>
      </c>
      <c r="I66">
        <f>ROUND(I54*(100+'InputOutput-mobility'!$I$9)/100*(100+'InputOutput-mobility'!$I$10)/100,3)</f>
        <v>3.5999999999999997E-2</v>
      </c>
    </row>
    <row r="67" spans="1:10" x14ac:dyDescent="0.35">
      <c r="A67" s="11" t="s">
        <v>29</v>
      </c>
      <c r="B67" s="10" t="s">
        <v>45</v>
      </c>
      <c r="C67">
        <f>ROUND(C55*(100+'InputOutput-mobility'!$C$9)/100*(100+'InputOutput-mobility'!$C$10)/100,3)</f>
        <v>34.334000000000003</v>
      </c>
      <c r="D67">
        <f>ROUND(D55*(100 +'InputOutput-mobility'!$D$9)/100*(100 +'InputOutput-mobility'!$D$10)/100,3)</f>
        <v>28.503</v>
      </c>
      <c r="E67">
        <f>ROUND(E55*(100+'InputOutput-mobility'!$E$9)/100*(100+'InputOutput-mobility'!$E$10)/100,3)</f>
        <v>17.661000000000001</v>
      </c>
      <c r="F67">
        <f>ROUND(F55*(100+'InputOutput-mobility'!$F$9)/100*(100+'InputOutput-mobility'!$F$10)/100,3)</f>
        <v>12.13</v>
      </c>
      <c r="G67">
        <f>ROUND(G55*(100+'InputOutput-mobility'!$G$9)/100*(100+'InputOutput-mobility'!$G$10)/100,3)</f>
        <v>6.6159999999999997</v>
      </c>
      <c r="H67">
        <f>ROUND(H55*(100+'InputOutput-mobility'!$H$9)/100*(100+'InputOutput-mobility'!$H$10)/100,3)</f>
        <v>2.8650000000000002</v>
      </c>
      <c r="I67">
        <f>ROUND(I55*(100+'InputOutput-mobility'!$I$9)/100*(100+'InputOutput-mobility'!$I$10)/100,3)</f>
        <v>5.8000000000000003E-2</v>
      </c>
    </row>
    <row r="68" spans="1:10" x14ac:dyDescent="0.35">
      <c r="A68" s="11" t="s">
        <v>30</v>
      </c>
      <c r="B68" s="10" t="s">
        <v>45</v>
      </c>
      <c r="C68">
        <f>ROUND(C56*(100+'InputOutput-mobility'!$C$9)/100*(100+'InputOutput-mobility'!$C$10)/100,3)</f>
        <v>0.114</v>
      </c>
      <c r="D68">
        <f>ROUND(D56*(100 +'InputOutput-mobility'!$D$9)/100*(100 +'InputOutput-mobility'!$D$10)/100,3)</f>
        <v>9.5000000000000001E-2</v>
      </c>
      <c r="E68">
        <f>ROUND(E56*(100+'InputOutput-mobility'!$E$9)/100*(100+'InputOutput-mobility'!$E$10)/100,3)</f>
        <v>5.8999999999999997E-2</v>
      </c>
      <c r="F68">
        <f>ROUND(F56*(100+'InputOutput-mobility'!$F$9)/100*(100+'InputOutput-mobility'!$F$10)/100,3)</f>
        <v>0.04</v>
      </c>
      <c r="G68">
        <f>ROUND(G56*(100+'InputOutput-mobility'!$G$9)/100*(100+'InputOutput-mobility'!$G$10)/100,3)</f>
        <v>2.1999999999999999E-2</v>
      </c>
      <c r="H68">
        <f>ROUND(H56*(100+'InputOutput-mobility'!$H$9)/100*(100+'InputOutput-mobility'!$H$10)/100,3)</f>
        <v>0.01</v>
      </c>
      <c r="I68">
        <f>ROUND(I56*(100+'InputOutput-mobility'!$I$9)/100*(100+'InputOutput-mobility'!$I$10)/100,3)</f>
        <v>0</v>
      </c>
    </row>
    <row r="69" spans="1:10" x14ac:dyDescent="0.35">
      <c r="A69" s="11" t="s">
        <v>31</v>
      </c>
      <c r="B69" s="10" t="s">
        <v>45</v>
      </c>
      <c r="C69">
        <f>ROUND(C57*(100+'InputOutput-mobility'!$C$9)/100*(100+'InputOutput-mobility'!$C$10)/100,3)</f>
        <v>0.129</v>
      </c>
      <c r="D69">
        <f>ROUND(D57*(100 +'InputOutput-mobility'!$D$9)/100*(100 +'InputOutput-mobility'!$D$10)/100,3)</f>
        <v>0.107</v>
      </c>
      <c r="E69">
        <f>ROUND(E57*(100+'InputOutput-mobility'!$E$9)/100*(100+'InputOutput-mobility'!$E$10)/100,3)</f>
        <v>6.7000000000000004E-2</v>
      </c>
      <c r="F69">
        <f>ROUND(F57*(100+'InputOutput-mobility'!$F$9)/100*(100+'InputOutput-mobility'!$F$10)/100,3)</f>
        <v>4.5999999999999999E-2</v>
      </c>
      <c r="G69">
        <f>ROUND(G57*(100+'InputOutput-mobility'!$G$9)/100*(100+'InputOutput-mobility'!$G$10)/100,3)</f>
        <v>2.5000000000000001E-2</v>
      </c>
      <c r="H69">
        <f>ROUND(H57*(100+'InputOutput-mobility'!$H$9)/100*(100+'InputOutput-mobility'!$H$10)/100,3)</f>
        <v>1.0999999999999999E-2</v>
      </c>
      <c r="I69">
        <f>ROUND(I57*(100+'InputOutput-mobility'!$I$9)/100*(100+'InputOutput-mobility'!$I$10)/100,3)</f>
        <v>0</v>
      </c>
    </row>
    <row r="70" spans="1:10" x14ac:dyDescent="0.35">
      <c r="A70" s="11" t="s">
        <v>32</v>
      </c>
      <c r="B70" s="10" t="s">
        <v>45</v>
      </c>
      <c r="C70">
        <f>ROUND(C58*(100+'InputOutput-mobility'!$C$9)/100*(100+'InputOutput-mobility'!$C$10)/100,3)</f>
        <v>0</v>
      </c>
      <c r="D70">
        <f>ROUND(D58*(100 +'InputOutput-mobility'!$D$9)/100*(100 +'InputOutput-mobility'!$D$10)/100,3)</f>
        <v>0</v>
      </c>
      <c r="E70">
        <f>ROUND(E58*(100+'InputOutput-mobility'!$E$9)/100*(100+'InputOutput-mobility'!$E$10)/100,3)</f>
        <v>0</v>
      </c>
      <c r="F70">
        <f>ROUND(F58*(100+'InputOutput-mobility'!$F$9)/100*(100+'InputOutput-mobility'!$F$10)/100,3)</f>
        <v>0</v>
      </c>
      <c r="G70">
        <f>ROUND(G58*(100+'InputOutput-mobility'!$G$9)/100*(100+'InputOutput-mobility'!$G$10)/100,3)</f>
        <v>0</v>
      </c>
      <c r="H70">
        <f>ROUND(H58*(100+'InputOutput-mobility'!$H$9)/100*(100+'InputOutput-mobility'!$H$10)/100,3)</f>
        <v>0</v>
      </c>
      <c r="I70">
        <f>ROUND(I58*(100+'InputOutput-mobility'!$I$9)/100*(100+'InputOutput-mobility'!$I$10)/100,3)</f>
        <v>0</v>
      </c>
    </row>
    <row r="71" spans="1:10" x14ac:dyDescent="0.35">
      <c r="A71" s="11" t="s">
        <v>33</v>
      </c>
      <c r="B71" s="10" t="s">
        <v>45</v>
      </c>
      <c r="C71">
        <f>ROUND(C59*(100+'InputOutput-mobility'!$C$9)/100*(100+'InputOutput-mobility'!$C$10)/100,3)</f>
        <v>0.1</v>
      </c>
      <c r="D71">
        <f>ROUND(D59*(100 +'InputOutput-mobility'!$D$9)/100*(100 +'InputOutput-mobility'!$D$10)/100,3)</f>
        <v>1.02</v>
      </c>
      <c r="E71">
        <f>ROUND(E59*(100+'InputOutput-mobility'!$E$9)/100*(100+'InputOutput-mobility'!$E$10)/100,3)</f>
        <v>1.9379999999999999</v>
      </c>
      <c r="F71">
        <f>ROUND(F59*(100+'InputOutput-mobility'!$F$9)/100*(100+'InputOutput-mobility'!$F$10)/100,3)</f>
        <v>2.7679999999999998</v>
      </c>
      <c r="G71">
        <f>ROUND(G59*(100+'InputOutput-mobility'!$G$9)/100*(100+'InputOutput-mobility'!$G$10)/100,3)</f>
        <v>3.214</v>
      </c>
      <c r="H71">
        <f>ROUND(H59*(100+'InputOutput-mobility'!$H$9)/100*(100+'InputOutput-mobility'!$H$10)/100,3)</f>
        <v>3.4220000000000002</v>
      </c>
      <c r="I71">
        <f>ROUND(I59*(100+'InputOutput-mobility'!$I$9)/100*(100+'InputOutput-mobility'!$I$10)/100,3)</f>
        <v>3.8450000000000002</v>
      </c>
    </row>
    <row r="72" spans="1:10" x14ac:dyDescent="0.35">
      <c r="A72" s="11" t="s">
        <v>37</v>
      </c>
      <c r="B72" s="10" t="s">
        <v>45</v>
      </c>
      <c r="C72">
        <f>ROUND(C60*(100+'InputOutput-mobility'!$C$9)/100*(100+'InputOutput-mobility'!$C$10)/100,3)</f>
        <v>0.35199999999999998</v>
      </c>
      <c r="D72">
        <f>ROUND(D60*(100 +'InputOutput-mobility'!$D$9)/100*(100 +'InputOutput-mobility'!$D$10)/100,3)</f>
        <v>0.28799999999999998</v>
      </c>
      <c r="E72">
        <f>ROUND(E60*(100+'InputOutput-mobility'!$E$9)/100*(100+'InputOutput-mobility'!$E$10)/100,3)</f>
        <v>0.17100000000000001</v>
      </c>
      <c r="F72">
        <f>ROUND(F60*(100+'InputOutput-mobility'!$F$9)/100*(100+'InputOutput-mobility'!$F$10)/100,3)</f>
        <v>0.109</v>
      </c>
      <c r="G72">
        <f>ROUND(G60*(100+'InputOutput-mobility'!$G$9)/100*(100+'InputOutput-mobility'!$G$10)/100,3)</f>
        <v>5.7000000000000002E-2</v>
      </c>
      <c r="H72">
        <f>ROUND(H60*(100+'InputOutput-mobility'!$H$9)/100*(100+'InputOutput-mobility'!$H$10)/100,3)</f>
        <v>2.4E-2</v>
      </c>
      <c r="I72">
        <f>ROUND(I60*(100+'InputOutput-mobility'!$I$9)/100*(100+'InputOutput-mobility'!$I$10)/100,3)</f>
        <v>0</v>
      </c>
    </row>
    <row r="73" spans="1:10" x14ac:dyDescent="0.35">
      <c r="A73" s="11" t="s">
        <v>36</v>
      </c>
      <c r="B73" s="10" t="s">
        <v>45</v>
      </c>
      <c r="C73">
        <f>ROUND(C61*(100+'InputOutput-mobility'!$C$9)/100*(100+'InputOutput-mobility'!$C$10)/100,3)</f>
        <v>3.1E-2</v>
      </c>
      <c r="D73">
        <f>ROUND(D61*(100 +'InputOutput-mobility'!$D$9)/100*(100 +'InputOutput-mobility'!$D$10)/100,3)</f>
        <v>2.5000000000000001E-2</v>
      </c>
      <c r="E73">
        <f>ROUND(E61*(100+'InputOutput-mobility'!$E$9)/100*(100+'InputOutput-mobility'!$E$10)/100,3)</f>
        <v>1.4999999999999999E-2</v>
      </c>
      <c r="F73">
        <f>ROUND(F61*(100+'InputOutput-mobility'!$F$9)/100*(100+'InputOutput-mobility'!$F$10)/100,3)</f>
        <v>0.01</v>
      </c>
      <c r="G73">
        <f>ROUND(G61*(100+'InputOutput-mobility'!$G$9)/100*(100+'InputOutput-mobility'!$G$10)/100,3)</f>
        <v>5.0000000000000001E-3</v>
      </c>
      <c r="H73">
        <f>ROUND(H61*(100+'InputOutput-mobility'!$H$9)/100*(100+'InputOutput-mobility'!$H$10)/100,3)</f>
        <v>2E-3</v>
      </c>
      <c r="I73">
        <f>ROUND(I61*(100+'InputOutput-mobility'!$I$9)/100*(100+'InputOutput-mobility'!$I$10)/100,3)</f>
        <v>0</v>
      </c>
    </row>
    <row r="74" spans="1:10" x14ac:dyDescent="0.35">
      <c r="A74" s="11" t="s">
        <v>38</v>
      </c>
      <c r="B74" s="10" t="s">
        <v>45</v>
      </c>
      <c r="C74">
        <f>ROUND(C62*(100+'InputOutput-mobility'!$C$9)/100*(100+'InputOutput-mobility'!$C$10)/100,3)</f>
        <v>0</v>
      </c>
      <c r="D74">
        <f>ROUND(D62*(100 +'InputOutput-mobility'!$D$9)/100*(100 +'InputOutput-mobility'!$D$10)/100,3)</f>
        <v>0</v>
      </c>
      <c r="E74">
        <f>ROUND(E62*(100+'InputOutput-mobility'!$E$9)/100*(100+'InputOutput-mobility'!$E$10)/100,3)</f>
        <v>0</v>
      </c>
      <c r="F74">
        <f>ROUND(F62*(100+'InputOutput-mobility'!$F$9)/100*(100+'InputOutput-mobility'!$F$10)/100,3)</f>
        <v>0</v>
      </c>
      <c r="G74">
        <f>ROUND(G62*(100+'InputOutput-mobility'!$G$9)/100*(100+'InputOutput-mobility'!$G$10)/100,3)</f>
        <v>0</v>
      </c>
      <c r="H74">
        <f>ROUND(H62*(100+'InputOutput-mobility'!$H$9)/100*(100+'InputOutput-mobility'!$H$10)/100,3)</f>
        <v>0</v>
      </c>
      <c r="I74">
        <f>ROUND(I62*(100+'InputOutput-mobility'!$I$9)/100*(100+'InputOutput-mobility'!$I$10)/100,3)</f>
        <v>0</v>
      </c>
    </row>
    <row r="75" spans="1:10" x14ac:dyDescent="0.35">
      <c r="A75" s="11" t="s">
        <v>46</v>
      </c>
      <c r="B75" s="10" t="s">
        <v>45</v>
      </c>
      <c r="C75">
        <f>ROUND(C63*(100+'InputOutput-mobility'!$C$9)/100*(100+'InputOutput-mobility'!$C$10)/100,3)</f>
        <v>56.176000000000002</v>
      </c>
      <c r="D75">
        <f>ROUND(D63*(100 +'InputOutput-mobility'!$D$9)/100*(100 +'InputOutput-mobility'!$D$10)/100,3)</f>
        <v>47.567999999999998</v>
      </c>
      <c r="E75">
        <f>ROUND(E63*(100+'InputOutput-mobility'!$E$9)/100*(100+'InputOutput-mobility'!$E$10)/100,3)</f>
        <v>30.771999999999998</v>
      </c>
      <c r="F75">
        <f>ROUND(F63*(100+'InputOutput-mobility'!$F$9)/100*(100+'InputOutput-mobility'!$F$10)/100,3)</f>
        <v>22.564</v>
      </c>
      <c r="G75">
        <f>ROUND(G63*(100+'InputOutput-mobility'!$G$9)/100*(100+'InputOutput-mobility'!$G$10)/100,3)</f>
        <v>14.009</v>
      </c>
      <c r="H75">
        <f>ROUND(H63*(100+'InputOutput-mobility'!$H$9)/100*(100+'InputOutput-mobility'!$H$10)/100,3)</f>
        <v>8.0950000000000006</v>
      </c>
      <c r="I75">
        <f>ROUND(I63*(100+'InputOutput-mobility'!$I$9)/100*(100+'InputOutput-mobility'!$I$10)/100,3)</f>
        <v>3.9390000000000001</v>
      </c>
    </row>
    <row r="77" spans="1:10" x14ac:dyDescent="0.35">
      <c r="A77" s="21" t="s">
        <v>55</v>
      </c>
      <c r="B77" s="7" t="s">
        <v>20</v>
      </c>
      <c r="C77" s="1">
        <v>2020</v>
      </c>
      <c r="D77" s="1">
        <v>2025</v>
      </c>
      <c r="E77" s="1">
        <v>2030</v>
      </c>
      <c r="F77" s="1">
        <v>2035</v>
      </c>
      <c r="G77" s="1">
        <v>2040</v>
      </c>
      <c r="H77" s="1">
        <v>2045</v>
      </c>
      <c r="I77" s="1">
        <v>2050</v>
      </c>
      <c r="J77" s="1" t="s">
        <v>10</v>
      </c>
    </row>
    <row r="78" spans="1:10" x14ac:dyDescent="0.35">
      <c r="A78" s="11" t="s">
        <v>57</v>
      </c>
      <c r="B78" s="10" t="s">
        <v>56</v>
      </c>
      <c r="C78">
        <f>ROUND((C20*C31+C21*C32+C22*C33+C23*C34+C24*C35+$C$25*C36+C26*C37+C27*C38+C28*C39)/100,5)</f>
        <v>0.61845000000000006</v>
      </c>
      <c r="D78">
        <f>ROUND((D20*D31+D21*D32+D22*D33+D23*D34+D24*D35+$C$25*D36+D26*D37+D27*D38+D28*D39)/100,5)</f>
        <v>0.59636999999999996</v>
      </c>
      <c r="E78">
        <f t="shared" ref="E78:I78" si="22">ROUND((E20*E31+E21*E32+E22*E33+E23*E34+E24*E35+$C$25*E36+E26*E37+E27*E38+E28*E39)/100,5)</f>
        <v>0.54815999999999998</v>
      </c>
      <c r="F78">
        <f t="shared" si="22"/>
        <v>0.47996</v>
      </c>
      <c r="G78">
        <f t="shared" si="22"/>
        <v>0.39591999999999999</v>
      </c>
      <c r="H78">
        <f t="shared" si="22"/>
        <v>0.30792999999999998</v>
      </c>
      <c r="I78">
        <f t="shared" si="22"/>
        <v>0.222</v>
      </c>
    </row>
    <row r="79" spans="1:10" x14ac:dyDescent="0.35">
      <c r="A79" s="11" t="s">
        <v>58</v>
      </c>
      <c r="B79" s="10" t="s">
        <v>16</v>
      </c>
      <c r="C79">
        <f>ROUND((C78/$C$78-1)*100,2)</f>
        <v>0</v>
      </c>
      <c r="D79">
        <f>ROUND((D78/$C$78-1)*100,2)</f>
        <v>-3.57</v>
      </c>
      <c r="E79">
        <f t="shared" ref="E79:H79" si="23">ROUND((E78/$C$78-1)*100,2)</f>
        <v>-11.37</v>
      </c>
      <c r="F79">
        <f t="shared" si="23"/>
        <v>-22.39</v>
      </c>
      <c r="G79">
        <f t="shared" si="23"/>
        <v>-35.979999999999997</v>
      </c>
      <c r="H79">
        <f t="shared" si="23"/>
        <v>-50.21</v>
      </c>
      <c r="I79">
        <f>ROUND((I78/$C$78-1)*100,2)</f>
        <v>-64.099999999999994</v>
      </c>
    </row>
  </sheetData>
  <conditionalFormatting sqref="C10:I15">
    <cfRule type="expression" dxfId="2" priority="10">
      <formula>NOT(ISERROR(SEARCH("warning",C10)))</formula>
    </cfRule>
  </conditionalFormatting>
  <conditionalFormatting sqref="C20:I25 K20:K28">
    <cfRule type="expression" dxfId="1" priority="2">
      <formula>NOT(ISERROR(SEARCH("warning",C20)))</formula>
    </cfRule>
  </conditionalFormatting>
  <conditionalFormatting sqref="D31:I35 D37:I39">
    <cfRule type="expression" dxfId="0" priority="1">
      <formula>NOT(ISERROR(SEARCH("warning",D31)))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6F09E-8E89-4A20-B9D2-9F1A5E98189F}">
  <dimension ref="A1:E35"/>
  <sheetViews>
    <sheetView topLeftCell="A17" zoomScale="66" workbookViewId="0">
      <selection activeCell="C22" sqref="C22"/>
    </sheetView>
  </sheetViews>
  <sheetFormatPr baseColWidth="10" defaultRowHeight="14.5" x14ac:dyDescent="0.35"/>
  <cols>
    <col min="1" max="1" width="32.90625" customWidth="1"/>
    <col min="2" max="2" width="13.54296875" style="4" customWidth="1"/>
    <col min="4" max="4" width="16.90625" bestFit="1" customWidth="1"/>
    <col min="5" max="5" width="15.54296875" bestFit="1" customWidth="1"/>
  </cols>
  <sheetData>
    <row r="1" spans="1:5" ht="21" x14ac:dyDescent="0.5">
      <c r="A1" s="23" t="s">
        <v>93</v>
      </c>
    </row>
    <row r="2" spans="1:5" x14ac:dyDescent="0.35">
      <c r="A2" s="6" t="s">
        <v>91</v>
      </c>
      <c r="B2" s="20" t="s">
        <v>20</v>
      </c>
      <c r="C2" s="20">
        <v>2019</v>
      </c>
      <c r="D2" s="20">
        <v>2050</v>
      </c>
      <c r="E2" s="20" t="s">
        <v>94</v>
      </c>
    </row>
    <row r="3" spans="1:5" x14ac:dyDescent="0.35">
      <c r="A3" s="11" t="s">
        <v>82</v>
      </c>
      <c r="B3" s="24" t="s">
        <v>95</v>
      </c>
      <c r="C3">
        <f>ROUND('InputOutput-mobility'!C4*1000/11.2,0)</f>
        <v>12653</v>
      </c>
      <c r="D3">
        <f>ROUND('InputOutput-mobility'!I4/11.9*1000,0)</f>
        <v>9299</v>
      </c>
    </row>
    <row r="4" spans="1:5" x14ac:dyDescent="0.35">
      <c r="A4" s="11" t="s">
        <v>81</v>
      </c>
      <c r="B4" s="24" t="s">
        <v>16</v>
      </c>
      <c r="C4" s="25">
        <f>'InputOutput-mobility'!C5</f>
        <v>0.8011789924973205</v>
      </c>
      <c r="D4" s="25">
        <f>'InputOutput-mobility'!I5</f>
        <v>0.56823529411764706</v>
      </c>
    </row>
    <row r="5" spans="1:5" x14ac:dyDescent="0.35">
      <c r="A5" s="11" t="s">
        <v>83</v>
      </c>
      <c r="B5" s="24" t="s">
        <v>96</v>
      </c>
      <c r="C5">
        <f>'InputOutput-mobility'!C8</f>
        <v>1.25</v>
      </c>
      <c r="D5">
        <f>'InputOutput-mobility'!I8</f>
        <v>2</v>
      </c>
    </row>
    <row r="6" spans="1:5" x14ac:dyDescent="0.35">
      <c r="A6" s="11" t="s">
        <v>92</v>
      </c>
      <c r="B6" s="24" t="s">
        <v>16</v>
      </c>
      <c r="C6">
        <f>'InputOutput-mobility'!C9</f>
        <v>0</v>
      </c>
      <c r="D6">
        <f>'InputOutput-mobility'!I9</f>
        <v>-2</v>
      </c>
    </row>
    <row r="7" spans="1:5" x14ac:dyDescent="0.35">
      <c r="A7" s="11" t="s">
        <v>84</v>
      </c>
      <c r="B7" s="24" t="s">
        <v>16</v>
      </c>
      <c r="C7">
        <f>'InputOutput-mobility'!C10</f>
        <v>0</v>
      </c>
      <c r="D7">
        <f>'InputOutput-mobility'!I10</f>
        <v>-2</v>
      </c>
    </row>
    <row r="8" spans="1:5" x14ac:dyDescent="0.35">
      <c r="A8" s="6" t="s">
        <v>86</v>
      </c>
      <c r="B8" s="6"/>
      <c r="C8" s="6"/>
      <c r="D8" s="6"/>
      <c r="E8" s="6"/>
    </row>
    <row r="9" spans="1:5" x14ac:dyDescent="0.35">
      <c r="A9" s="11" t="s">
        <v>85</v>
      </c>
      <c r="B9" s="24" t="s">
        <v>16</v>
      </c>
      <c r="C9">
        <f>'InputOutput-mobility'!C12</f>
        <v>0.5</v>
      </c>
      <c r="D9">
        <f>'InputOutput-mobility'!I12</f>
        <v>99.5</v>
      </c>
    </row>
    <row r="10" spans="1:5" x14ac:dyDescent="0.35">
      <c r="A10" s="11" t="s">
        <v>86</v>
      </c>
      <c r="B10" s="24" t="s">
        <v>14</v>
      </c>
      <c r="C10">
        <f>'InputOutput-mobility'!C13</f>
        <v>0.22</v>
      </c>
      <c r="D10">
        <f>'InputOutput-mobility'!I13</f>
        <v>0.128</v>
      </c>
    </row>
    <row r="12" spans="1:5" ht="21" x14ac:dyDescent="0.5">
      <c r="A12" s="23" t="s">
        <v>97</v>
      </c>
    </row>
    <row r="13" spans="1:5" x14ac:dyDescent="0.35">
      <c r="A13" s="6" t="s">
        <v>91</v>
      </c>
      <c r="B13" s="20" t="s">
        <v>20</v>
      </c>
      <c r="C13" s="20">
        <v>2050</v>
      </c>
      <c r="D13" s="20" t="s">
        <v>104</v>
      </c>
    </row>
    <row r="14" spans="1:5" x14ac:dyDescent="0.35">
      <c r="A14" s="11" t="s">
        <v>82</v>
      </c>
      <c r="B14" s="24" t="s">
        <v>16</v>
      </c>
      <c r="C14">
        <f>'InputOutput-mobility'!I44</f>
        <v>-21.92</v>
      </c>
      <c r="D14" s="16">
        <f>ROUND(C14/SUM($C$20:$C$21,$C$14:$C$18),2)</f>
        <v>0.11</v>
      </c>
    </row>
    <row r="15" spans="1:5" x14ac:dyDescent="0.35">
      <c r="A15" s="11" t="s">
        <v>81</v>
      </c>
      <c r="B15" s="24" t="s">
        <v>16</v>
      </c>
      <c r="C15">
        <f>'InputOutput-mobility'!I45</f>
        <v>-29.08</v>
      </c>
      <c r="D15" s="16">
        <f t="shared" ref="D15:D21" si="0">ROUND(C15/SUM($C$20:$C$21,$C$14:$C$18),2)</f>
        <v>0.15</v>
      </c>
    </row>
    <row r="16" spans="1:5" x14ac:dyDescent="0.35">
      <c r="A16" s="11" t="s">
        <v>83</v>
      </c>
      <c r="B16" s="24" t="s">
        <v>16</v>
      </c>
      <c r="C16">
        <f>'InputOutput-mobility'!I46</f>
        <v>-37.5</v>
      </c>
      <c r="D16" s="16">
        <f t="shared" si="0"/>
        <v>0.19</v>
      </c>
    </row>
    <row r="17" spans="1:5" x14ac:dyDescent="0.35">
      <c r="A17" s="11" t="s">
        <v>92</v>
      </c>
      <c r="B17" s="24" t="s">
        <v>16</v>
      </c>
      <c r="C17">
        <f>'InputOutput-mobility'!I47</f>
        <v>-2</v>
      </c>
      <c r="D17" s="16">
        <f t="shared" si="0"/>
        <v>0.01</v>
      </c>
    </row>
    <row r="18" spans="1:5" x14ac:dyDescent="0.35">
      <c r="A18" s="11" t="s">
        <v>84</v>
      </c>
      <c r="B18" s="24" t="s">
        <v>16</v>
      </c>
      <c r="C18">
        <f>'InputOutput-mobility'!I48</f>
        <v>-2</v>
      </c>
      <c r="D18" s="16">
        <f t="shared" si="0"/>
        <v>0.01</v>
      </c>
    </row>
    <row r="19" spans="1:5" x14ac:dyDescent="0.35">
      <c r="A19" s="6" t="s">
        <v>86</v>
      </c>
      <c r="B19" s="6"/>
      <c r="C19" s="6"/>
      <c r="D19" s="6"/>
    </row>
    <row r="20" spans="1:5" x14ac:dyDescent="0.35">
      <c r="A20" s="11" t="s">
        <v>85</v>
      </c>
      <c r="B20" s="24" t="s">
        <v>16</v>
      </c>
      <c r="C20">
        <f>'InputOutput-mobility'!I49</f>
        <v>-64.099999999999994</v>
      </c>
      <c r="D20" s="16">
        <f t="shared" si="0"/>
        <v>0.32</v>
      </c>
    </row>
    <row r="21" spans="1:5" x14ac:dyDescent="0.35">
      <c r="A21" s="11" t="s">
        <v>86</v>
      </c>
      <c r="B21" s="24" t="s">
        <v>16</v>
      </c>
      <c r="C21">
        <f>'InputOutput-mobility'!I50</f>
        <v>-41.25</v>
      </c>
      <c r="D21" s="16">
        <f t="shared" si="0"/>
        <v>0.21</v>
      </c>
    </row>
    <row r="22" spans="1:5" x14ac:dyDescent="0.35">
      <c r="A22" s="6" t="s">
        <v>98</v>
      </c>
      <c r="B22" s="20" t="s">
        <v>16</v>
      </c>
      <c r="C22" s="26">
        <f>'InputOutput-mobility'!I51</f>
        <v>-92.99</v>
      </c>
      <c r="D22" s="28">
        <v>1</v>
      </c>
    </row>
    <row r="24" spans="1:5" ht="21" x14ac:dyDescent="0.5">
      <c r="A24" s="23" t="s">
        <v>99</v>
      </c>
    </row>
    <row r="25" spans="1:5" x14ac:dyDescent="0.35">
      <c r="A25" s="6" t="s">
        <v>101</v>
      </c>
      <c r="B25" s="20" t="s">
        <v>20</v>
      </c>
      <c r="C25" s="20">
        <v>2050</v>
      </c>
      <c r="D25" s="20" t="s">
        <v>94</v>
      </c>
    </row>
    <row r="26" spans="1:5" x14ac:dyDescent="0.35">
      <c r="A26" s="11" t="s">
        <v>100</v>
      </c>
      <c r="B26" s="24" t="s">
        <v>48</v>
      </c>
      <c r="C26">
        <f>'InputOutput-mobility'!I35</f>
        <v>2.0750000000000002</v>
      </c>
    </row>
    <row r="28" spans="1:5" ht="21" x14ac:dyDescent="0.5">
      <c r="A28" s="23" t="s">
        <v>88</v>
      </c>
    </row>
    <row r="29" spans="1:5" x14ac:dyDescent="0.35">
      <c r="A29" s="6" t="s">
        <v>88</v>
      </c>
      <c r="B29" s="20" t="s">
        <v>20</v>
      </c>
      <c r="C29" s="20">
        <v>2019</v>
      </c>
      <c r="D29" s="20">
        <v>2050</v>
      </c>
      <c r="E29" s="20" t="s">
        <v>105</v>
      </c>
    </row>
    <row r="30" spans="1:5" x14ac:dyDescent="0.35">
      <c r="A30" s="11" t="s">
        <v>67</v>
      </c>
      <c r="B30" s="10" t="s">
        <v>71</v>
      </c>
      <c r="C30">
        <f>'InputOutput-mobility'!C38</f>
        <v>428.214</v>
      </c>
      <c r="D30">
        <f>'InputOutput-mobility'!I38</f>
        <v>148.214</v>
      </c>
      <c r="E30">
        <f>C30-D30</f>
        <v>280</v>
      </c>
    </row>
    <row r="31" spans="1:5" x14ac:dyDescent="0.35">
      <c r="A31" s="11" t="s">
        <v>74</v>
      </c>
      <c r="B31" s="10" t="s">
        <v>71</v>
      </c>
      <c r="C31">
        <f>'InputOutput-mobility'!C39</f>
        <v>11.965</v>
      </c>
      <c r="D31">
        <f>'InputOutput-mobility'!I39</f>
        <v>4.141</v>
      </c>
      <c r="E31">
        <f>C31-D31</f>
        <v>7.8239999999999998</v>
      </c>
    </row>
    <row r="33" spans="1:5" x14ac:dyDescent="0.35">
      <c r="A33" s="1" t="s">
        <v>89</v>
      </c>
      <c r="B33" s="20" t="s">
        <v>20</v>
      </c>
      <c r="C33" s="20">
        <v>2019</v>
      </c>
      <c r="D33" s="20">
        <v>2050</v>
      </c>
      <c r="E33" s="20" t="s">
        <v>105</v>
      </c>
    </row>
    <row r="34" spans="1:5" x14ac:dyDescent="0.35">
      <c r="A34" s="11" t="s">
        <v>67</v>
      </c>
      <c r="B34" s="10" t="s">
        <v>16</v>
      </c>
      <c r="C34">
        <f>'InputOutput-mobility'!C62</f>
        <v>5.43</v>
      </c>
      <c r="D34">
        <f>'InputOutput-mobility'!I62</f>
        <v>1.95</v>
      </c>
      <c r="E34">
        <f>C34-D34</f>
        <v>3.4799999999999995</v>
      </c>
    </row>
    <row r="35" spans="1:5" x14ac:dyDescent="0.35">
      <c r="A35" s="11" t="s">
        <v>74</v>
      </c>
      <c r="B35" s="10" t="s">
        <v>16</v>
      </c>
      <c r="C35">
        <f>'InputOutput-mobility'!C63</f>
        <v>0.86</v>
      </c>
      <c r="D35">
        <f>'InputOutput-mobility'!I63</f>
        <v>0.3</v>
      </c>
      <c r="E35">
        <f>C35-D35</f>
        <v>0.56000000000000005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8</vt:i4>
      </vt:variant>
    </vt:vector>
  </HeadingPairs>
  <TitlesOfParts>
    <vt:vector size="11" baseType="lpstr">
      <vt:lpstr>InputOutput-mobility</vt:lpstr>
      <vt:lpstr>Calculation-mobility</vt:lpstr>
      <vt:lpstr>Output_Keyfindings</vt:lpstr>
      <vt:lpstr>calcskelevpc</vt:lpstr>
      <vt:lpstr>calcsklqfvpc</vt:lpstr>
      <vt:lpstr>calcskngvvpc</vt:lpstr>
      <vt:lpstr>prmcebvpcess</vt:lpstr>
      <vt:lpstr>prmcebvpcgzl</vt:lpstr>
      <vt:lpstr>prmcenvpcess</vt:lpstr>
      <vt:lpstr>prmcenvpcgzl</vt:lpstr>
      <vt:lpstr>prmcenvpcngv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Carbonnelle</dc:creator>
  <cp:lastModifiedBy>Damien Carbonnelle</cp:lastModifiedBy>
  <dcterms:created xsi:type="dcterms:W3CDTF">2025-05-22T12:20:26Z</dcterms:created>
  <dcterms:modified xsi:type="dcterms:W3CDTF">2025-06-03T12:56:12Z</dcterms:modified>
</cp:coreProperties>
</file>