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.xml" ContentType="application/vnd.openxmlformats-officedocument.themeOverrid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eriotwatt.sharepoint.com/sites/OiluminatiFDP/Shared Documents/General/FDP Folder/DRILLING DESIGN/"/>
    </mc:Choice>
  </mc:AlternateContent>
  <xr:revisionPtr revIDLastSave="1229" documentId="120_S{025BBCEC-BF57-528B-9C71-1FEE6BCAC868}" xr6:coauthVersionLast="47" xr6:coauthVersionMax="47" xr10:uidLastSave="{AE91A83C-89F6-40A5-94DC-43ADDEBBF158}"/>
  <bookViews>
    <workbookView xWindow="-120" yWindow="-120" windowWidth="29040" windowHeight="15720" firstSheet="7" activeTab="8" xr2:uid="{00000000-000D-0000-FFFF-FFFF00000000}"/>
  </bookViews>
  <sheets>
    <sheet name="formation coleration (2)" sheetId="20" r:id="rId1"/>
    <sheet name="pressure interpretation" sheetId="2" r:id="rId2"/>
    <sheet name="fracture coleration " sheetId="16" r:id="rId3"/>
    <sheet name="updated pressures" sheetId="15" r:id="rId4"/>
    <sheet name="formation coleration" sheetId="4" r:id="rId5"/>
    <sheet name="pressure coleration" sheetId="5" r:id="rId6"/>
    <sheet name="casing calculation" sheetId="1" r:id="rId7"/>
    <sheet name="lost file" sheetId="17" r:id="rId8"/>
    <sheet name="DRILLING RES" sheetId="8" r:id="rId9"/>
    <sheet name="casing design" sheetId="19" r:id="rId10"/>
    <sheet name="casing string cement design " sheetId="11" r:id="rId11"/>
    <sheet name="directional drilling" sheetId="12" r:id="rId12"/>
    <sheet name="liner calc" sheetId="13" r:id="rId13"/>
    <sheet name="CEMENT CALCULATION" sheetId="10" r:id="rId14"/>
    <sheet name="well control" sheetId="18" r:id="rId15"/>
    <sheet name="true cement" sheetId="14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9" i="10" l="1"/>
  <c r="I62" i="10"/>
  <c r="J90" i="10"/>
  <c r="E72" i="10"/>
  <c r="E76" i="10"/>
  <c r="G52" i="10"/>
  <c r="F52" i="10"/>
  <c r="L56" i="10"/>
  <c r="Q57" i="8"/>
  <c r="Q58" i="8" s="1"/>
  <c r="N65" i="8"/>
  <c r="R49" i="8"/>
  <c r="K10" i="10"/>
  <c r="K9" i="10"/>
  <c r="E37" i="10" s="1"/>
  <c r="K8" i="10"/>
  <c r="M59" i="8"/>
  <c r="J86" i="17"/>
  <c r="C60" i="17"/>
  <c r="C65" i="17"/>
  <c r="D42" i="17"/>
  <c r="L48" i="17"/>
  <c r="G14" i="17"/>
  <c r="R342" i="8" l="1"/>
  <c r="Q162" i="8"/>
  <c r="L202" i="8"/>
  <c r="N207" i="8" s="1"/>
  <c r="M212" i="8"/>
  <c r="M110" i="4" l="1"/>
  <c r="M78" i="4"/>
  <c r="P127" i="8"/>
  <c r="D124" i="20"/>
  <c r="D123" i="20"/>
  <c r="D122" i="20"/>
  <c r="D121" i="20"/>
  <c r="D120" i="20"/>
  <c r="D119" i="20"/>
  <c r="D118" i="20"/>
  <c r="D117" i="20"/>
  <c r="D116" i="20"/>
  <c r="D115" i="20"/>
  <c r="D114" i="20"/>
  <c r="D113" i="20"/>
  <c r="D112" i="20"/>
  <c r="D111" i="20"/>
  <c r="D110" i="20"/>
  <c r="D109" i="20"/>
  <c r="D108" i="20"/>
  <c r="D107" i="20"/>
  <c r="D106" i="20"/>
  <c r="D105" i="20"/>
  <c r="D104" i="20"/>
  <c r="D103" i="20"/>
  <c r="D102" i="20"/>
  <c r="D101" i="20"/>
  <c r="D100" i="20"/>
  <c r="D99" i="20"/>
  <c r="D98" i="20"/>
  <c r="D97" i="20"/>
  <c r="D96" i="20"/>
  <c r="D95" i="20"/>
  <c r="D94" i="20"/>
  <c r="D93" i="20"/>
  <c r="D92" i="20"/>
  <c r="D91" i="20"/>
  <c r="J15" i="20"/>
  <c r="M13" i="20"/>
  <c r="F53" i="10"/>
  <c r="G53" i="10"/>
  <c r="F57" i="10"/>
  <c r="F58" i="10"/>
  <c r="E187" i="17"/>
  <c r="E185" i="17"/>
  <c r="G120" i="14"/>
  <c r="E100" i="14"/>
  <c r="B170" i="17"/>
  <c r="L162" i="17"/>
  <c r="L163" i="17"/>
  <c r="D165" i="17"/>
  <c r="D164" i="17"/>
  <c r="C88" i="17"/>
  <c r="M13" i="17"/>
  <c r="F352" i="8"/>
  <c r="N210" i="8"/>
  <c r="N209" i="8"/>
  <c r="L209" i="8"/>
  <c r="N208" i="8"/>
  <c r="L208" i="8"/>
  <c r="L207" i="8"/>
  <c r="O208" i="8"/>
  <c r="M207" i="8"/>
  <c r="R199" i="8"/>
  <c r="O195" i="8"/>
  <c r="N194" i="8"/>
  <c r="L185" i="8"/>
  <c r="Q155" i="8"/>
  <c r="P155" i="8"/>
  <c r="P162" i="8" s="1"/>
  <c r="O162" i="8"/>
  <c r="L189" i="8"/>
  <c r="L187" i="8"/>
  <c r="Q159" i="8"/>
  <c r="Q160" i="8" s="1"/>
  <c r="Q151" i="8"/>
  <c r="Q152" i="8" s="1"/>
  <c r="Q153" i="8" s="1"/>
  <c r="R164" i="8"/>
  <c r="O160" i="8"/>
  <c r="O159" i="8"/>
  <c r="O158" i="8"/>
  <c r="O157" i="8"/>
  <c r="O153" i="8"/>
  <c r="O152" i="8"/>
  <c r="O151" i="8"/>
  <c r="O155" i="8"/>
  <c r="R132" i="8"/>
  <c r="Q132" i="8"/>
  <c r="R128" i="8"/>
  <c r="R127" i="8"/>
  <c r="R126" i="8"/>
  <c r="R131" i="8"/>
  <c r="R122" i="8"/>
  <c r="R129" i="8" s="1"/>
  <c r="R120" i="8"/>
  <c r="R119" i="8"/>
  <c r="G55" i="10" l="1"/>
  <c r="G56" i="10" s="1"/>
  <c r="Q121" i="8"/>
  <c r="Q128" i="8" s="1"/>
  <c r="Q120" i="8"/>
  <c r="Q127" i="8" s="1"/>
  <c r="P126" i="8"/>
  <c r="Q122" i="8"/>
  <c r="Q129" i="8" s="1"/>
  <c r="I3" i="18"/>
  <c r="J41" i="13"/>
  <c r="J44" i="13"/>
  <c r="J42" i="13"/>
  <c r="E105" i="14"/>
  <c r="E75" i="14"/>
  <c r="E45" i="14"/>
  <c r="D37" i="13"/>
  <c r="O54" i="8"/>
  <c r="O55" i="8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91" i="4"/>
  <c r="R20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5" i="2"/>
  <c r="E59" i="12"/>
  <c r="D6" i="18"/>
  <c r="D7" i="18" s="1"/>
  <c r="R70" i="8"/>
  <c r="C11" i="17"/>
  <c r="L24" i="17" s="1"/>
  <c r="C13" i="17"/>
  <c r="C23" i="17" s="1"/>
  <c r="P24" i="17"/>
  <c r="C47" i="17"/>
  <c r="C61" i="17"/>
  <c r="P86" i="17"/>
  <c r="C102" i="17"/>
  <c r="C104" i="17"/>
  <c r="C114" i="17" s="1"/>
  <c r="M115" i="17"/>
  <c r="Q133" i="17"/>
  <c r="D158" i="17"/>
  <c r="D159" i="17" s="1"/>
  <c r="M155" i="17" s="1"/>
  <c r="O155" i="17" s="1"/>
  <c r="P155" i="17" s="1"/>
  <c r="J153" i="17"/>
  <c r="J154" i="17"/>
  <c r="N156" i="17" s="1"/>
  <c r="N163" i="17"/>
  <c r="O163" i="17" s="1"/>
  <c r="P163" i="17" s="1"/>
  <c r="M35" i="8"/>
  <c r="M36" i="8" s="1"/>
  <c r="M39" i="8"/>
  <c r="M46" i="8"/>
  <c r="N28" i="2"/>
  <c r="H6" i="2"/>
  <c r="H7" i="2"/>
  <c r="H8" i="2"/>
  <c r="H9" i="2"/>
  <c r="H12" i="2"/>
  <c r="H17" i="2"/>
  <c r="H18" i="2"/>
  <c r="H19" i="2"/>
  <c r="H20" i="2"/>
  <c r="L18" i="2"/>
  <c r="L19" i="2"/>
  <c r="L20" i="2"/>
  <c r="K18" i="2"/>
  <c r="K19" i="2"/>
  <c r="K20" i="2"/>
  <c r="K13" i="2"/>
  <c r="L13" i="2"/>
  <c r="Q13" i="2"/>
  <c r="P13" i="2" s="1"/>
  <c r="E6" i="2"/>
  <c r="E7" i="2"/>
  <c r="E8" i="2"/>
  <c r="E9" i="2"/>
  <c r="E10" i="2"/>
  <c r="H10" i="2" s="1"/>
  <c r="E11" i="2"/>
  <c r="H11" i="2" s="1"/>
  <c r="E12" i="2"/>
  <c r="E13" i="2"/>
  <c r="H13" i="2" s="1"/>
  <c r="E14" i="2"/>
  <c r="H14" i="2" s="1"/>
  <c r="E15" i="2"/>
  <c r="H15" i="2" s="1"/>
  <c r="E16" i="2"/>
  <c r="H16" i="2" s="1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5" i="2"/>
  <c r="L17" i="2"/>
  <c r="P18" i="2"/>
  <c r="Q18" i="2"/>
  <c r="Q19" i="2"/>
  <c r="P19" i="2" s="1"/>
  <c r="I18" i="2"/>
  <c r="N162" i="17" l="1"/>
  <c r="O162" i="17" s="1"/>
  <c r="P162" i="17" s="1"/>
  <c r="M88" i="17"/>
  <c r="N88" i="17" s="1"/>
  <c r="O88" i="17" s="1"/>
  <c r="C89" i="17"/>
  <c r="C118" i="17"/>
  <c r="L116" i="17" s="1"/>
  <c r="I116" i="17"/>
  <c r="M116" i="17" s="1"/>
  <c r="C115" i="17"/>
  <c r="L115" i="17" s="1"/>
  <c r="N115" i="17" s="1"/>
  <c r="O115" i="17" s="1"/>
  <c r="C116" i="17"/>
  <c r="C24" i="17"/>
  <c r="O24" i="17" s="1"/>
  <c r="Q24" i="17" s="1"/>
  <c r="R24" i="17" s="1"/>
  <c r="C25" i="17"/>
  <c r="L25" i="17" s="1"/>
  <c r="D160" i="17"/>
  <c r="M156" i="17" s="1"/>
  <c r="O156" i="17" s="1"/>
  <c r="P156" i="17" s="1"/>
  <c r="D161" i="17"/>
  <c r="C62" i="17"/>
  <c r="M25" i="17"/>
  <c r="I42" i="17"/>
  <c r="M43" i="17" s="1"/>
  <c r="N43" i="17" s="1"/>
  <c r="O43" i="17" s="1"/>
  <c r="J46" i="16"/>
  <c r="E44" i="16"/>
  <c r="F43" i="16"/>
  <c r="E43" i="16"/>
  <c r="N116" i="17" l="1"/>
  <c r="O116" i="17" s="1"/>
  <c r="J134" i="17"/>
  <c r="N134" i="17" s="1"/>
  <c r="O134" i="17" s="1"/>
  <c r="P134" i="17" s="1"/>
  <c r="N25" i="17"/>
  <c r="O25" i="17" s="1"/>
  <c r="P42" i="15"/>
  <c r="P40" i="15"/>
  <c r="O43" i="15"/>
  <c r="O42" i="15"/>
  <c r="C12" i="2"/>
  <c r="D11" i="15"/>
  <c r="F11" i="15"/>
  <c r="G11" i="15" s="1"/>
  <c r="D12" i="15"/>
  <c r="F12" i="15"/>
  <c r="G12" i="15"/>
  <c r="S39" i="15" s="1"/>
  <c r="S41" i="15" s="1"/>
  <c r="S40" i="15" s="1"/>
  <c r="S42" i="15" s="1"/>
  <c r="D13" i="15"/>
  <c r="F13" i="15"/>
  <c r="G13" i="15" s="1"/>
  <c r="D14" i="15"/>
  <c r="S48" i="15" s="1"/>
  <c r="F14" i="15"/>
  <c r="G14" i="15"/>
  <c r="D15" i="15"/>
  <c r="F15" i="15"/>
  <c r="G15" i="15"/>
  <c r="D16" i="15"/>
  <c r="F16" i="15"/>
  <c r="G16" i="15"/>
  <c r="D17" i="15"/>
  <c r="S49" i="15" s="1"/>
  <c r="F17" i="15"/>
  <c r="G17" i="15"/>
  <c r="D18" i="15"/>
  <c r="F18" i="15"/>
  <c r="G18" i="15" s="1"/>
  <c r="D19" i="15"/>
  <c r="S47" i="15" s="1"/>
  <c r="F19" i="15"/>
  <c r="G19" i="15" s="1"/>
  <c r="D20" i="15"/>
  <c r="F20" i="15"/>
  <c r="G20" i="15" s="1"/>
  <c r="D21" i="15"/>
  <c r="F21" i="15"/>
  <c r="G21" i="15" s="1"/>
  <c r="D22" i="15"/>
  <c r="F22" i="15"/>
  <c r="G22" i="15" s="1"/>
  <c r="D23" i="15"/>
  <c r="F23" i="15"/>
  <c r="G23" i="15" s="1"/>
  <c r="D24" i="15"/>
  <c r="F24" i="15"/>
  <c r="G24" i="15"/>
  <c r="D25" i="15"/>
  <c r="F25" i="15"/>
  <c r="G25" i="15"/>
  <c r="D26" i="15"/>
  <c r="F26" i="15"/>
  <c r="G26" i="15" s="1"/>
  <c r="D27" i="15"/>
  <c r="F27" i="15"/>
  <c r="G27" i="15" s="1"/>
  <c r="D28" i="15"/>
  <c r="F28" i="15"/>
  <c r="G28" i="15" s="1"/>
  <c r="D29" i="15"/>
  <c r="F29" i="15"/>
  <c r="G29" i="15" s="1"/>
  <c r="D30" i="15"/>
  <c r="F30" i="15"/>
  <c r="G30" i="15" s="1"/>
  <c r="D31" i="15"/>
  <c r="F31" i="15"/>
  <c r="G31" i="15" s="1"/>
  <c r="D32" i="15"/>
  <c r="F32" i="15"/>
  <c r="G32" i="15"/>
  <c r="D33" i="15"/>
  <c r="F33" i="15"/>
  <c r="G33" i="15"/>
  <c r="D34" i="15"/>
  <c r="F34" i="15"/>
  <c r="G34" i="15"/>
  <c r="D35" i="15"/>
  <c r="F35" i="15"/>
  <c r="G35" i="15" s="1"/>
  <c r="D36" i="15"/>
  <c r="F36" i="15"/>
  <c r="G36" i="15" s="1"/>
  <c r="F4" i="15"/>
  <c r="G4" i="15" s="1"/>
  <c r="F5" i="15"/>
  <c r="G5" i="15" s="1"/>
  <c r="F6" i="15"/>
  <c r="G6" i="15" s="1"/>
  <c r="F7" i="15"/>
  <c r="G7" i="15" s="1"/>
  <c r="F8" i="15"/>
  <c r="G8" i="15" s="1"/>
  <c r="F9" i="15"/>
  <c r="G9" i="15" s="1"/>
  <c r="F10" i="15"/>
  <c r="F3" i="15"/>
  <c r="G3" i="15" s="1"/>
  <c r="D4" i="15"/>
  <c r="D5" i="15"/>
  <c r="X37" i="15" s="1"/>
  <c r="D6" i="15"/>
  <c r="D7" i="15"/>
  <c r="D8" i="15"/>
  <c r="D9" i="15"/>
  <c r="D3" i="15"/>
  <c r="R38" i="15"/>
  <c r="R42" i="15"/>
  <c r="R43" i="15" s="1"/>
  <c r="R45" i="15" s="1"/>
  <c r="Y36" i="15" s="1"/>
  <c r="V43" i="15" s="1"/>
  <c r="V44" i="15" s="1" a="1"/>
  <c r="V44" i="15" s="1"/>
  <c r="R47" i="15"/>
  <c r="R48" i="15"/>
  <c r="R39" i="15"/>
  <c r="S37" i="15"/>
  <c r="R37" i="15"/>
  <c r="AA36" i="15" s="1"/>
  <c r="R35" i="15"/>
  <c r="R34" i="15"/>
  <c r="X38" i="15"/>
  <c r="S32" i="15"/>
  <c r="S34" i="15" s="1"/>
  <c r="Z36" i="15"/>
  <c r="V47" i="15" s="1"/>
  <c r="AB36" i="15"/>
  <c r="Y52" i="15" s="1"/>
  <c r="H40" i="2"/>
  <c r="I40" i="2"/>
  <c r="K40" i="2"/>
  <c r="L40" i="2"/>
  <c r="Q40" i="2"/>
  <c r="P40" i="2" s="1"/>
  <c r="H41" i="2"/>
  <c r="I41" i="2"/>
  <c r="K41" i="2"/>
  <c r="L41" i="2"/>
  <c r="Q41" i="2"/>
  <c r="P41" i="2" s="1"/>
  <c r="C41" i="2"/>
  <c r="C40" i="2"/>
  <c r="H5" i="2"/>
  <c r="I5" i="2"/>
  <c r="K5" i="2"/>
  <c r="L5" i="2"/>
  <c r="Q5" i="2"/>
  <c r="P5" i="2" s="1"/>
  <c r="S45" i="15" l="1"/>
  <c r="S44" i="15"/>
  <c r="S36" i="15"/>
  <c r="S38" i="15" s="1"/>
  <c r="V42" i="15" a="1"/>
  <c r="V42" i="15" s="1"/>
  <c r="W42" i="15" s="1"/>
  <c r="V46" i="15" a="1"/>
  <c r="V46" i="15" s="1"/>
  <c r="V48" i="15" a="1"/>
  <c r="V48" i="15" s="1"/>
  <c r="W44" i="15"/>
  <c r="X44" i="15"/>
  <c r="AA37" i="15"/>
  <c r="Y51" i="15" a="1"/>
  <c r="Y51" i="15" s="1"/>
  <c r="Y53" i="15" a="1"/>
  <c r="Y53" i="15" s="1"/>
  <c r="X42" i="15" l="1"/>
  <c r="X43" i="15" s="1"/>
  <c r="Y38" i="15" s="1"/>
  <c r="AA51" i="15"/>
  <c r="Z51" i="15"/>
  <c r="X48" i="15"/>
  <c r="W48" i="15"/>
  <c r="Z53" i="15"/>
  <c r="AA53" i="15"/>
  <c r="W46" i="15"/>
  <c r="X46" i="15"/>
  <c r="X47" i="15" s="1"/>
  <c r="Z38" i="15" s="1"/>
  <c r="AA38" i="15"/>
  <c r="W43" i="15"/>
  <c r="Y37" i="15" s="1"/>
  <c r="W47" i="15" l="1"/>
  <c r="Z37" i="15" s="1"/>
  <c r="Z52" i="15"/>
  <c r="AB37" i="15" s="1"/>
  <c r="AA52" i="15"/>
  <c r="AB38" i="15" s="1"/>
  <c r="D69" i="12" l="1"/>
  <c r="I72" i="12"/>
  <c r="H72" i="12"/>
  <c r="G73" i="12"/>
  <c r="F73" i="12"/>
  <c r="F72" i="12"/>
  <c r="H69" i="12"/>
  <c r="F69" i="12"/>
  <c r="G68" i="12"/>
  <c r="G69" i="12" s="1"/>
  <c r="F68" i="12"/>
  <c r="I65" i="12"/>
  <c r="H65" i="12"/>
  <c r="F64" i="12"/>
  <c r="G59" i="12"/>
  <c r="I59" i="12" s="1"/>
  <c r="G60" i="12"/>
  <c r="F59" i="12"/>
  <c r="F60" i="12" s="1"/>
  <c r="H60" i="12" s="1"/>
  <c r="E60" i="12"/>
  <c r="E61" i="12" s="1"/>
  <c r="E62" i="12" s="1"/>
  <c r="E64" i="12" l="1"/>
  <c r="E65" i="12" s="1"/>
  <c r="E66" i="12" s="1"/>
  <c r="E67" i="12" s="1"/>
  <c r="E68" i="12" s="1"/>
  <c r="E69" i="12" s="1"/>
  <c r="E63" i="12"/>
  <c r="H59" i="12"/>
  <c r="G7" i="14"/>
  <c r="K7" i="14"/>
  <c r="E113" i="14" s="1"/>
  <c r="K8" i="14"/>
  <c r="E27" i="14" s="1"/>
  <c r="K9" i="14"/>
  <c r="E37" i="14" s="1"/>
  <c r="K10" i="14"/>
  <c r="E67" i="14" s="1"/>
  <c r="K11" i="14"/>
  <c r="E98" i="14" s="1"/>
  <c r="E15" i="14"/>
  <c r="E17" i="14"/>
  <c r="K17" i="14"/>
  <c r="G18" i="14"/>
  <c r="G39" i="14" s="1"/>
  <c r="E23" i="14"/>
  <c r="K23" i="14"/>
  <c r="F27" i="14"/>
  <c r="F28" i="14"/>
  <c r="G28" i="14" s="1"/>
  <c r="F29" i="14"/>
  <c r="E30" i="14"/>
  <c r="F30" i="14"/>
  <c r="K39" i="14"/>
  <c r="E40" i="14"/>
  <c r="E38" i="14" s="1"/>
  <c r="E48" i="14" s="1"/>
  <c r="K42" i="14"/>
  <c r="K45" i="14"/>
  <c r="E46" i="14"/>
  <c r="F52" i="14"/>
  <c r="F53" i="14"/>
  <c r="G53" i="14" s="1"/>
  <c r="F54" i="14"/>
  <c r="F57" i="14"/>
  <c r="F58" i="14"/>
  <c r="K69" i="14"/>
  <c r="E70" i="14"/>
  <c r="E68" i="14" s="1"/>
  <c r="K71" i="14"/>
  <c r="K74" i="14"/>
  <c r="E76" i="14"/>
  <c r="J76" i="14"/>
  <c r="E82" i="14"/>
  <c r="F82" i="14"/>
  <c r="F83" i="14"/>
  <c r="G83" i="14" s="1"/>
  <c r="F84" i="14"/>
  <c r="F87" i="14"/>
  <c r="F88" i="14"/>
  <c r="J99" i="14"/>
  <c r="E102" i="14"/>
  <c r="J102" i="14"/>
  <c r="J105" i="14"/>
  <c r="E107" i="14"/>
  <c r="J107" i="14"/>
  <c r="J109" i="14"/>
  <c r="F113" i="14"/>
  <c r="F114" i="14"/>
  <c r="G114" i="14" s="1"/>
  <c r="F115" i="14"/>
  <c r="F118" i="14"/>
  <c r="G118" i="14" s="1"/>
  <c r="E52" i="14" l="1"/>
  <c r="G52" i="14" s="1"/>
  <c r="G113" i="14"/>
  <c r="E29" i="14"/>
  <c r="G29" i="14" s="1"/>
  <c r="G27" i="14"/>
  <c r="G30" i="14"/>
  <c r="G82" i="14"/>
  <c r="E71" i="14"/>
  <c r="E99" i="14"/>
  <c r="E108" i="14" s="1"/>
  <c r="E43" i="14"/>
  <c r="E44" i="14" s="1"/>
  <c r="E47" i="14" s="1"/>
  <c r="E49" i="14" s="1"/>
  <c r="E39" i="14"/>
  <c r="E41" i="14"/>
  <c r="E14" i="14"/>
  <c r="E88" i="14"/>
  <c r="G88" i="14" s="1"/>
  <c r="E78" i="14"/>
  <c r="E69" i="14"/>
  <c r="G115" i="14"/>
  <c r="E73" i="14"/>
  <c r="E74" i="14" s="1"/>
  <c r="E58" i="14"/>
  <c r="G58" i="14" s="1"/>
  <c r="E103" i="14"/>
  <c r="E101" i="14"/>
  <c r="E16" i="13"/>
  <c r="G31" i="14" l="1"/>
  <c r="G32" i="14" s="1"/>
  <c r="J30" i="14" s="1"/>
  <c r="G119" i="14"/>
  <c r="E106" i="14"/>
  <c r="E109" i="14" s="1"/>
  <c r="E54" i="14"/>
  <c r="G54" i="14" s="1"/>
  <c r="G55" i="14" s="1"/>
  <c r="G56" i="14" s="1"/>
  <c r="J60" i="14" s="1"/>
  <c r="E57" i="14"/>
  <c r="G57" i="14" s="1"/>
  <c r="G59" i="14" s="1"/>
  <c r="G60" i="14" s="1"/>
  <c r="J56" i="14" s="1"/>
  <c r="E22" i="14"/>
  <c r="E19" i="14"/>
  <c r="E21" i="14"/>
  <c r="E16" i="14"/>
  <c r="E24" i="14"/>
  <c r="E18" i="14"/>
  <c r="J118" i="14"/>
  <c r="J31" i="14"/>
  <c r="J32" i="14"/>
  <c r="E79" i="14"/>
  <c r="E84" i="14"/>
  <c r="G84" i="14" s="1"/>
  <c r="G85" i="14" s="1"/>
  <c r="E87" i="14"/>
  <c r="G87" i="14" s="1"/>
  <c r="G89" i="14" s="1"/>
  <c r="G90" i="14" s="1"/>
  <c r="J86" i="14" s="1"/>
  <c r="D49" i="1"/>
  <c r="J58" i="14" l="1"/>
  <c r="J57" i="14"/>
  <c r="G61" i="14"/>
  <c r="G62" i="14" s="1"/>
  <c r="J88" i="14"/>
  <c r="J87" i="14"/>
  <c r="J61" i="14"/>
  <c r="J62" i="14"/>
  <c r="J119" i="14"/>
  <c r="J120" i="14"/>
  <c r="G86" i="14"/>
  <c r="J90" i="14" s="1"/>
  <c r="G91" i="14"/>
  <c r="G92" i="14" s="1"/>
  <c r="D50" i="1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D16" i="12"/>
  <c r="D18" i="12"/>
  <c r="K6" i="2"/>
  <c r="K7" i="2"/>
  <c r="K8" i="2"/>
  <c r="K9" i="2"/>
  <c r="K10" i="2"/>
  <c r="K11" i="2"/>
  <c r="K12" i="2"/>
  <c r="K14" i="2"/>
  <c r="K15" i="2"/>
  <c r="K16" i="2"/>
  <c r="K17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L6" i="2"/>
  <c r="L7" i="2"/>
  <c r="L8" i="2"/>
  <c r="L9" i="2"/>
  <c r="L10" i="2"/>
  <c r="L11" i="2"/>
  <c r="L12" i="2"/>
  <c r="L14" i="2"/>
  <c r="L15" i="2"/>
  <c r="L16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O28" i="2"/>
  <c r="R68" i="8"/>
  <c r="U66" i="8"/>
  <c r="D17" i="12" l="1"/>
  <c r="D19" i="12" s="1"/>
  <c r="F57" i="12"/>
  <c r="J91" i="14"/>
  <c r="J92" i="14"/>
  <c r="D20" i="12" l="1"/>
  <c r="D21" i="12" s="1"/>
  <c r="D22" i="12" s="1"/>
  <c r="D23" i="12" s="1"/>
  <c r="G72" i="12"/>
  <c r="I69" i="12"/>
  <c r="D35" i="12" l="1"/>
  <c r="D34" i="12" s="1"/>
  <c r="D25" i="12"/>
  <c r="D26" i="12" s="1"/>
  <c r="D29" i="12"/>
  <c r="D28" i="12" s="1"/>
  <c r="G50" i="12" s="1"/>
  <c r="D30" i="12"/>
  <c r="D32" i="12" s="1"/>
  <c r="D33" i="12" s="1"/>
  <c r="F55" i="12" s="1"/>
  <c r="D36" i="12" l="1"/>
  <c r="G51" i="12"/>
  <c r="G52" i="12" s="1"/>
  <c r="I60" i="12"/>
  <c r="I64" i="12" s="1"/>
  <c r="I73" i="12"/>
  <c r="I68" i="12"/>
  <c r="D27" i="12"/>
  <c r="F56" i="12"/>
  <c r="H68" i="12" s="1"/>
  <c r="N46" i="8"/>
  <c r="M37" i="8"/>
  <c r="M40" i="8"/>
  <c r="M41" i="8" s="1"/>
  <c r="M38" i="8"/>
  <c r="N51" i="8"/>
  <c r="P32" i="8"/>
  <c r="P36" i="8"/>
  <c r="Q9" i="2"/>
  <c r="P9" i="2" s="1"/>
  <c r="I9" i="2"/>
  <c r="Q6" i="2"/>
  <c r="P6" i="2" s="1"/>
  <c r="Q7" i="2"/>
  <c r="P7" i="2" s="1"/>
  <c r="Q8" i="2"/>
  <c r="P8" i="2" s="1"/>
  <c r="Q10" i="2"/>
  <c r="P10" i="2" s="1"/>
  <c r="Q11" i="2"/>
  <c r="P11" i="2" s="1"/>
  <c r="Q12" i="2"/>
  <c r="P12" i="2" s="1"/>
  <c r="Q14" i="2"/>
  <c r="P14" i="2" s="1"/>
  <c r="Q15" i="2"/>
  <c r="P15" i="2" s="1"/>
  <c r="I11" i="2"/>
  <c r="G65" i="12" l="1"/>
  <c r="G64" i="12"/>
  <c r="F65" i="12"/>
  <c r="H73" i="12"/>
  <c r="H64" i="12"/>
  <c r="M60" i="8"/>
  <c r="M51" i="8"/>
  <c r="M47" i="8"/>
  <c r="M42" i="8"/>
  <c r="N42" i="8" s="1"/>
  <c r="M43" i="8" s="1"/>
  <c r="M50" i="8" s="1"/>
  <c r="Q16" i="2"/>
  <c r="P16" i="2" s="1"/>
  <c r="Q17" i="2"/>
  <c r="P17" i="2" s="1"/>
  <c r="Q20" i="2"/>
  <c r="P20" i="2" s="1"/>
  <c r="Q21" i="2"/>
  <c r="P21" i="2" s="1"/>
  <c r="Q22" i="2"/>
  <c r="P22" i="2" s="1"/>
  <c r="Q23" i="2"/>
  <c r="P23" i="2" s="1"/>
  <c r="H21" i="2"/>
  <c r="I14" i="2"/>
  <c r="H3" i="2" l="1"/>
  <c r="Q24" i="2"/>
  <c r="P24" i="2" s="1"/>
  <c r="Q25" i="2"/>
  <c r="P25" i="2" s="1"/>
  <c r="Q26" i="2"/>
  <c r="P26" i="2" s="1"/>
  <c r="Q27" i="2"/>
  <c r="P27" i="2" s="1"/>
  <c r="Q28" i="2"/>
  <c r="P28" i="2" s="1"/>
  <c r="Q29" i="2"/>
  <c r="P29" i="2" s="1"/>
  <c r="Q30" i="2"/>
  <c r="P30" i="2" s="1"/>
  <c r="Q31" i="2"/>
  <c r="P31" i="2" s="1"/>
  <c r="Q32" i="2"/>
  <c r="P32" i="2" s="1"/>
  <c r="Q33" i="2"/>
  <c r="P33" i="2" s="1"/>
  <c r="Q34" i="2"/>
  <c r="P34" i="2" s="1"/>
  <c r="Q35" i="2"/>
  <c r="P35" i="2" s="1"/>
  <c r="Q36" i="2"/>
  <c r="P36" i="2" s="1"/>
  <c r="Q37" i="2"/>
  <c r="P37" i="2" s="1"/>
  <c r="Q38" i="2"/>
  <c r="P38" i="2" s="1"/>
  <c r="Q39" i="2"/>
  <c r="P39" i="2" s="1"/>
  <c r="E17" i="10"/>
  <c r="G7" i="10"/>
  <c r="K7" i="10"/>
  <c r="E14" i="10"/>
  <c r="K17" i="10"/>
  <c r="G18" i="10"/>
  <c r="G39" i="10" s="1"/>
  <c r="K23" i="10"/>
  <c r="E27" i="10"/>
  <c r="F27" i="10"/>
  <c r="F28" i="10"/>
  <c r="G28" i="10" s="1"/>
  <c r="E29" i="10"/>
  <c r="F29" i="10"/>
  <c r="E30" i="10"/>
  <c r="F30" i="10"/>
  <c r="K39" i="10"/>
  <c r="E40" i="10"/>
  <c r="K42" i="10"/>
  <c r="K45" i="10"/>
  <c r="K69" i="10"/>
  <c r="E70" i="10"/>
  <c r="K71" i="10"/>
  <c r="K74" i="10"/>
  <c r="J76" i="10"/>
  <c r="F83" i="10"/>
  <c r="F84" i="10"/>
  <c r="G84" i="10" s="1"/>
  <c r="F85" i="10"/>
  <c r="F86" i="10"/>
  <c r="E58" i="10" l="1"/>
  <c r="G58" i="10" s="1"/>
  <c r="E83" i="10"/>
  <c r="G83" i="10" s="1"/>
  <c r="G18" i="2"/>
  <c r="F18" i="2" s="1"/>
  <c r="G19" i="2"/>
  <c r="F19" i="2" s="1"/>
  <c r="G5" i="2"/>
  <c r="F5" i="2" s="1"/>
  <c r="G41" i="2"/>
  <c r="F41" i="2" s="1"/>
  <c r="G40" i="2"/>
  <c r="F40" i="2" s="1"/>
  <c r="G9" i="2"/>
  <c r="F9" i="2" s="1"/>
  <c r="G10" i="2"/>
  <c r="F10" i="2" s="1"/>
  <c r="G6" i="2"/>
  <c r="F6" i="2" s="1"/>
  <c r="G7" i="2"/>
  <c r="F7" i="2" s="1"/>
  <c r="G8" i="2"/>
  <c r="F8" i="2" s="1"/>
  <c r="G11" i="2"/>
  <c r="F11" i="2" s="1"/>
  <c r="G12" i="2"/>
  <c r="F12" i="2" s="1"/>
  <c r="G13" i="2"/>
  <c r="F13" i="2" s="1"/>
  <c r="G30" i="10"/>
  <c r="E41" i="10"/>
  <c r="E71" i="10"/>
  <c r="G29" i="10"/>
  <c r="E18" i="10"/>
  <c r="E16" i="10"/>
  <c r="E22" i="10" s="1"/>
  <c r="G27" i="10"/>
  <c r="G31" i="10" s="1"/>
  <c r="G32" i="10" s="1"/>
  <c r="J30" i="10" s="1"/>
  <c r="G15" i="2"/>
  <c r="F15" i="2" s="1"/>
  <c r="G16" i="2"/>
  <c r="F16" i="2" s="1"/>
  <c r="G20" i="2"/>
  <c r="F20" i="2" s="1"/>
  <c r="G14" i="2"/>
  <c r="F14" i="2" s="1"/>
  <c r="G17" i="2"/>
  <c r="F17" i="2" s="1"/>
  <c r="G39" i="2"/>
  <c r="G35" i="2"/>
  <c r="G31" i="2"/>
  <c r="F31" i="2" s="1"/>
  <c r="G36" i="2"/>
  <c r="G34" i="2"/>
  <c r="G33" i="2"/>
  <c r="G32" i="2"/>
  <c r="F32" i="2" s="1"/>
  <c r="G30" i="2"/>
  <c r="F30" i="2" s="1"/>
  <c r="G29" i="2"/>
  <c r="F29" i="2" s="1"/>
  <c r="G38" i="2"/>
  <c r="G28" i="2"/>
  <c r="F28" i="2" s="1"/>
  <c r="G27" i="2"/>
  <c r="F27" i="2" s="1"/>
  <c r="G26" i="2"/>
  <c r="F26" i="2" s="1"/>
  <c r="G23" i="2"/>
  <c r="F23" i="2" s="1"/>
  <c r="G22" i="2"/>
  <c r="F22" i="2" s="1"/>
  <c r="G21" i="2"/>
  <c r="F21" i="2" s="1"/>
  <c r="G37" i="2"/>
  <c r="G25" i="2"/>
  <c r="F25" i="2" s="1"/>
  <c r="G24" i="2"/>
  <c r="F24" i="2" s="1"/>
  <c r="E23" i="10"/>
  <c r="E19" i="10"/>
  <c r="E78" i="10"/>
  <c r="G86" i="10"/>
  <c r="E48" i="10"/>
  <c r="D64" i="1"/>
  <c r="D74" i="1" s="1"/>
  <c r="D75" i="1" s="1"/>
  <c r="D62" i="1"/>
  <c r="C78" i="1" s="1"/>
  <c r="M76" i="1" s="1"/>
  <c r="H28" i="2"/>
  <c r="I28" i="2"/>
  <c r="G57" i="10" l="1"/>
  <c r="G85" i="10"/>
  <c r="G87" i="10" s="1"/>
  <c r="G88" i="10" s="1"/>
  <c r="E47" i="10"/>
  <c r="E49" i="10" s="1"/>
  <c r="E24" i="10"/>
  <c r="J31" i="10"/>
  <c r="J32" i="10"/>
  <c r="J75" i="1"/>
  <c r="N76" i="1" s="1"/>
  <c r="O76" i="1" s="1"/>
  <c r="P76" i="1" s="1"/>
  <c r="V28" i="2"/>
  <c r="W28" i="2" s="1"/>
  <c r="C80" i="1"/>
  <c r="M75" i="1" s="1"/>
  <c r="O75" i="1" s="1"/>
  <c r="P75" i="1" s="1"/>
  <c r="D76" i="1"/>
  <c r="G59" i="10" l="1"/>
  <c r="G60" i="10" s="1"/>
  <c r="G61" i="10"/>
  <c r="G90" i="10"/>
  <c r="J88" i="10" s="1"/>
  <c r="E79" i="10"/>
  <c r="G62" i="10"/>
  <c r="I60" i="10" s="1"/>
  <c r="I61" i="10" s="1"/>
  <c r="J86" i="1"/>
  <c r="N87" i="1" s="1"/>
  <c r="O87" i="1" s="1"/>
  <c r="P87" i="1" s="1"/>
  <c r="H39" i="1"/>
  <c r="D38" i="1"/>
  <c r="J50" i="1"/>
  <c r="J58" i="1" s="1"/>
  <c r="N59" i="1" s="1"/>
  <c r="O59" i="1" s="1"/>
  <c r="P59" i="1" s="1"/>
  <c r="P58" i="1"/>
  <c r="N24" i="1"/>
  <c r="D13" i="1"/>
  <c r="D23" i="1" s="1"/>
  <c r="D11" i="1"/>
  <c r="C27" i="1" s="1"/>
  <c r="F33" i="2"/>
  <c r="F34" i="2"/>
  <c r="F35" i="2"/>
  <c r="F36" i="2"/>
  <c r="F37" i="2"/>
  <c r="F38" i="2"/>
  <c r="F39" i="2"/>
  <c r="X12" i="2"/>
  <c r="X6" i="2"/>
  <c r="X7" i="2"/>
  <c r="X8" i="2"/>
  <c r="X10" i="2"/>
  <c r="X13" i="2"/>
  <c r="X15" i="2"/>
  <c r="X16" i="2"/>
  <c r="X17" i="2"/>
  <c r="X19" i="2"/>
  <c r="X20" i="2"/>
  <c r="X21" i="2"/>
  <c r="X22" i="2"/>
  <c r="X23" i="2"/>
  <c r="X24" i="2"/>
  <c r="X25" i="2"/>
  <c r="X26" i="2"/>
  <c r="X5" i="2"/>
  <c r="V6" i="2"/>
  <c r="V7" i="2"/>
  <c r="V8" i="2"/>
  <c r="V10" i="2"/>
  <c r="V12" i="2"/>
  <c r="V5" i="2"/>
  <c r="J89" i="10" l="1"/>
  <c r="D25" i="1"/>
  <c r="D24" i="1"/>
  <c r="J24" i="1"/>
  <c r="J32" i="1" s="1"/>
  <c r="N51" i="1"/>
  <c r="M50" i="1"/>
  <c r="O50" i="1" s="1"/>
  <c r="P50" i="1" s="1"/>
  <c r="D51" i="1"/>
  <c r="M51" i="1" s="1"/>
  <c r="AG40" i="2"/>
  <c r="AB5" i="2"/>
  <c r="I6" i="2"/>
  <c r="AB6" i="2"/>
  <c r="I7" i="2"/>
  <c r="S7" i="2"/>
  <c r="AB7" i="2"/>
  <c r="I8" i="2"/>
  <c r="AB8" i="2"/>
  <c r="I10" i="2"/>
  <c r="AB10" i="2"/>
  <c r="I12" i="2"/>
  <c r="AB12" i="2"/>
  <c r="I13" i="2"/>
  <c r="AB13" i="2"/>
  <c r="I15" i="2"/>
  <c r="AB15" i="2"/>
  <c r="I16" i="2"/>
  <c r="S16" i="2"/>
  <c r="AB16" i="2"/>
  <c r="I17" i="2"/>
  <c r="AB17" i="2"/>
  <c r="I19" i="2"/>
  <c r="AB19" i="2"/>
  <c r="I20" i="2"/>
  <c r="AB20" i="2"/>
  <c r="I21" i="2"/>
  <c r="AB21" i="2"/>
  <c r="H22" i="2"/>
  <c r="I22" i="2"/>
  <c r="AB22" i="2"/>
  <c r="H23" i="2"/>
  <c r="I23" i="2"/>
  <c r="S23" i="2"/>
  <c r="AC21" i="2" s="1"/>
  <c r="AD21" i="2" s="1"/>
  <c r="AB23" i="2"/>
  <c r="I24" i="2"/>
  <c r="AB24" i="2"/>
  <c r="H25" i="2"/>
  <c r="M25" i="2" s="1"/>
  <c r="N25" i="2" s="1"/>
  <c r="I25" i="2"/>
  <c r="AB25" i="2"/>
  <c r="I26" i="2"/>
  <c r="AB26" i="2"/>
  <c r="H27" i="2"/>
  <c r="M27" i="2" s="1"/>
  <c r="N27" i="2" s="1"/>
  <c r="I27" i="2"/>
  <c r="S27" i="2"/>
  <c r="S34" i="2" s="1"/>
  <c r="AC33" i="2" s="1"/>
  <c r="AD33" i="2" s="1"/>
  <c r="AB27" i="2"/>
  <c r="I29" i="2"/>
  <c r="AA29" i="2"/>
  <c r="H30" i="2"/>
  <c r="I30" i="2"/>
  <c r="AA30" i="2"/>
  <c r="I31" i="2"/>
  <c r="S31" i="2"/>
  <c r="AA31" i="2"/>
  <c r="I32" i="2"/>
  <c r="AA32" i="2"/>
  <c r="I33" i="2"/>
  <c r="T33" i="2"/>
  <c r="AB33" i="2"/>
  <c r="I34" i="2"/>
  <c r="AB34" i="2"/>
  <c r="I35" i="2"/>
  <c r="U35" i="2"/>
  <c r="AC35" i="2" s="1"/>
  <c r="AD35" i="2" s="1"/>
  <c r="AB35" i="2"/>
  <c r="H36" i="2"/>
  <c r="I36" i="2"/>
  <c r="U36" i="2"/>
  <c r="AB36" i="2"/>
  <c r="I37" i="2"/>
  <c r="L37" i="2"/>
  <c r="AB37" i="2"/>
  <c r="I38" i="2"/>
  <c r="L38" i="2"/>
  <c r="U38" i="2"/>
  <c r="AB38" i="2"/>
  <c r="I39" i="2"/>
  <c r="L39" i="2"/>
  <c r="AB39" i="2"/>
  <c r="M5" i="2" l="1"/>
  <c r="M17" i="2"/>
  <c r="M18" i="2"/>
  <c r="M14" i="2"/>
  <c r="M13" i="2"/>
  <c r="M12" i="2"/>
  <c r="M9" i="2"/>
  <c r="M8" i="2"/>
  <c r="M7" i="2"/>
  <c r="M16" i="2"/>
  <c r="M6" i="2"/>
  <c r="M15" i="2"/>
  <c r="M11" i="2"/>
  <c r="M10" i="2"/>
  <c r="M20" i="2"/>
  <c r="M19" i="2"/>
  <c r="M21" i="2"/>
  <c r="N21" i="2" s="1"/>
  <c r="M22" i="2"/>
  <c r="N22" i="2" s="1"/>
  <c r="M23" i="2"/>
  <c r="N23" i="2" s="1"/>
  <c r="AH40" i="2"/>
  <c r="AI40" i="2" s="1"/>
  <c r="M40" i="2"/>
  <c r="M41" i="2"/>
  <c r="N5" i="2"/>
  <c r="O5" i="2"/>
  <c r="AC16" i="2"/>
  <c r="AD16" i="2" s="1"/>
  <c r="N25" i="1"/>
  <c r="M36" i="2"/>
  <c r="M30" i="2"/>
  <c r="N30" i="2" s="1"/>
  <c r="M25" i="1"/>
  <c r="M24" i="1"/>
  <c r="O24" i="1" s="1"/>
  <c r="P24" i="1" s="1"/>
  <c r="O51" i="1"/>
  <c r="P51" i="1" s="1"/>
  <c r="V16" i="2"/>
  <c r="W16" i="2" s="1"/>
  <c r="V32" i="2"/>
  <c r="W32" i="2" s="1"/>
  <c r="V31" i="2"/>
  <c r="W31" i="2" s="1"/>
  <c r="V35" i="2"/>
  <c r="W35" i="2" s="1"/>
  <c r="V30" i="2"/>
  <c r="W30" i="2" s="1"/>
  <c r="V24" i="2"/>
  <c r="W24" i="2" s="1"/>
  <c r="V19" i="2"/>
  <c r="W19" i="2" s="1"/>
  <c r="V38" i="2"/>
  <c r="W38" i="2" s="1"/>
  <c r="V33" i="2"/>
  <c r="W33" i="2" s="1"/>
  <c r="V22" i="2"/>
  <c r="W22" i="2" s="1"/>
  <c r="V27" i="2"/>
  <c r="W27" i="2" s="1"/>
  <c r="V26" i="2"/>
  <c r="W26" i="2" s="1"/>
  <c r="V36" i="2"/>
  <c r="W36" i="2" s="1"/>
  <c r="V25" i="2"/>
  <c r="W25" i="2" s="1"/>
  <c r="V39" i="2"/>
  <c r="W39" i="2" s="1"/>
  <c r="V23" i="2"/>
  <c r="W23" i="2" s="1"/>
  <c r="V37" i="2"/>
  <c r="W37" i="2" s="1"/>
  <c r="V15" i="2"/>
  <c r="W15" i="2" s="1"/>
  <c r="V21" i="2"/>
  <c r="W21" i="2" s="1"/>
  <c r="V13" i="2"/>
  <c r="W13" i="2" s="1"/>
  <c r="V20" i="2"/>
  <c r="W20" i="2" s="1"/>
  <c r="V34" i="2"/>
  <c r="W34" i="2" s="1"/>
  <c r="V29" i="2"/>
  <c r="W29" i="2" s="1"/>
  <c r="V17" i="2"/>
  <c r="W17" i="2" s="1"/>
  <c r="AC34" i="2"/>
  <c r="AD34" i="2" s="1"/>
  <c r="AC15" i="2"/>
  <c r="AD15" i="2" s="1"/>
  <c r="AC31" i="2"/>
  <c r="AD31" i="2" s="1"/>
  <c r="H33" i="2"/>
  <c r="M33" i="2" s="1"/>
  <c r="N33" i="2" s="1"/>
  <c r="H31" i="2"/>
  <c r="M31" i="2" s="1"/>
  <c r="N31" i="2" s="1"/>
  <c r="H29" i="2"/>
  <c r="M29" i="2" s="1"/>
  <c r="N29" i="2" s="1"/>
  <c r="H34" i="2"/>
  <c r="M34" i="2" s="1"/>
  <c r="N34" i="2" s="1"/>
  <c r="H38" i="2"/>
  <c r="M38" i="2" s="1"/>
  <c r="H26" i="2"/>
  <c r="M26" i="2" s="1"/>
  <c r="N26" i="2" s="1"/>
  <c r="AC30" i="2"/>
  <c r="AD30" i="2" s="1"/>
  <c r="H39" i="2"/>
  <c r="M39" i="2" s="1"/>
  <c r="H32" i="2"/>
  <c r="M32" i="2" s="1"/>
  <c r="N32" i="2" s="1"/>
  <c r="H35" i="2"/>
  <c r="M35" i="2" s="1"/>
  <c r="N35" i="2" s="1"/>
  <c r="H24" i="2"/>
  <c r="M24" i="2" s="1"/>
  <c r="N24" i="2" s="1"/>
  <c r="H37" i="2"/>
  <c r="M37" i="2" s="1"/>
  <c r="AC29" i="2"/>
  <c r="AD29" i="2" s="1"/>
  <c r="AC20" i="2"/>
  <c r="AD20" i="2" s="1"/>
  <c r="AC37" i="2"/>
  <c r="AD37" i="2" s="1"/>
  <c r="AC32" i="2"/>
  <c r="AD32" i="2" s="1"/>
  <c r="AC25" i="2"/>
  <c r="AD25" i="2" s="1"/>
  <c r="AC24" i="2"/>
  <c r="AD24" i="2" s="1"/>
  <c r="AC23" i="2"/>
  <c r="AD23" i="2" s="1"/>
  <c r="AC22" i="2"/>
  <c r="AD22" i="2" s="1"/>
  <c r="AC26" i="2"/>
  <c r="AD26" i="2" s="1"/>
  <c r="AC27" i="2"/>
  <c r="AD27" i="2" s="1"/>
  <c r="AC39" i="2"/>
  <c r="AD39" i="2" s="1"/>
  <c r="AC38" i="2"/>
  <c r="AD38" i="2" s="1"/>
  <c r="AC36" i="2"/>
  <c r="AD36" i="2" s="1"/>
  <c r="AC13" i="2"/>
  <c r="AD13" i="2" s="1"/>
  <c r="AC19" i="2"/>
  <c r="AD19" i="2" s="1"/>
  <c r="AC17" i="2"/>
  <c r="AD17" i="2" s="1"/>
  <c r="O16" i="2" l="1"/>
  <c r="N16" i="2"/>
  <c r="N20" i="2"/>
  <c r="O20" i="2"/>
  <c r="O15" i="2"/>
  <c r="N15" i="2"/>
  <c r="N7" i="2"/>
  <c r="O7" i="2"/>
  <c r="O9" i="2"/>
  <c r="N9" i="2"/>
  <c r="O13" i="2"/>
  <c r="N13" i="2"/>
  <c r="O17" i="2"/>
  <c r="N17" i="2"/>
  <c r="N19" i="2"/>
  <c r="O19" i="2"/>
  <c r="N10" i="2"/>
  <c r="O10" i="2"/>
  <c r="O11" i="2"/>
  <c r="N11" i="2"/>
  <c r="N6" i="2"/>
  <c r="O6" i="2"/>
  <c r="O8" i="2"/>
  <c r="N8" i="2"/>
  <c r="O12" i="2"/>
  <c r="N12" i="2"/>
  <c r="N14" i="2"/>
  <c r="O14" i="2"/>
  <c r="O18" i="2"/>
  <c r="N18" i="2"/>
  <c r="N41" i="2"/>
  <c r="O41" i="2"/>
  <c r="N40" i="2"/>
  <c r="O40" i="2"/>
  <c r="O25" i="2"/>
  <c r="O34" i="2"/>
  <c r="O29" i="2"/>
  <c r="O31" i="2"/>
  <c r="O33" i="2"/>
  <c r="O30" i="2"/>
  <c r="O23" i="2"/>
  <c r="O37" i="2"/>
  <c r="N37" i="2"/>
  <c r="O32" i="2"/>
  <c r="O21" i="2"/>
  <c r="O27" i="2"/>
  <c r="O35" i="2"/>
  <c r="O36" i="2"/>
  <c r="N36" i="2"/>
  <c r="O24" i="2"/>
  <c r="O39" i="2"/>
  <c r="N39" i="2"/>
  <c r="O26" i="2"/>
  <c r="O22" i="2"/>
  <c r="O38" i="2"/>
  <c r="N38" i="2"/>
  <c r="U7" i="2"/>
  <c r="U6" i="2"/>
  <c r="U5" i="2"/>
  <c r="AC6" i="2" s="1"/>
  <c r="AD6" i="2" s="1"/>
  <c r="U10" i="2"/>
  <c r="U8" i="2"/>
  <c r="U12" i="2"/>
  <c r="O25" i="1"/>
  <c r="P25" i="1" s="1"/>
  <c r="N33" i="1"/>
  <c r="O33" i="1" s="1"/>
  <c r="P33" i="1" s="1"/>
  <c r="AC8" i="2" l="1"/>
  <c r="AD8" i="2" s="1"/>
  <c r="AC12" i="2"/>
  <c r="AD12" i="2" s="1"/>
  <c r="AC10" i="2"/>
  <c r="AD10" i="2" s="1"/>
  <c r="AC7" i="2"/>
  <c r="AD7" i="2" s="1"/>
  <c r="AC5" i="2"/>
  <c r="AD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<sst xmlns="http://schemas.openxmlformats.org/spreadsheetml/2006/main" count="1938" uniqueCount="931">
  <si>
    <t>SUPER-GROUP</t>
  </si>
  <si>
    <t>FORMATION</t>
  </si>
  <si>
    <t>DEPTH</t>
  </si>
  <si>
    <t>LITHOLOGY</t>
  </si>
  <si>
    <t xml:space="preserve">   0 - 3165 ft </t>
  </si>
  <si>
    <t xml:space="preserve">  claystone</t>
  </si>
  <si>
    <t>Nordland group</t>
  </si>
  <si>
    <t>utsira formation</t>
  </si>
  <si>
    <r>
      <t xml:space="preserve">    </t>
    </r>
    <r>
      <rPr>
        <b/>
        <sz val="12"/>
        <color theme="1" tint="4.9989318521683403E-2"/>
        <rFont val="Calibri"/>
        <family val="2"/>
        <scheme val="minor"/>
      </rPr>
      <t>3165 - 3220 ft</t>
    </r>
  </si>
  <si>
    <t xml:space="preserve">  sandstone</t>
  </si>
  <si>
    <t>hordaland group</t>
  </si>
  <si>
    <t>balder formation</t>
  </si>
  <si>
    <t>sele formation</t>
  </si>
  <si>
    <t>ROGALANG GROUP</t>
  </si>
  <si>
    <t>lista formation</t>
  </si>
  <si>
    <t xml:space="preserve">   paleocene</t>
  </si>
  <si>
    <t>MONTROSE GROUP</t>
  </si>
  <si>
    <t>maureen formation</t>
  </si>
  <si>
    <t xml:space="preserve">  sandstone </t>
  </si>
  <si>
    <t>exofisk formation</t>
  </si>
  <si>
    <t xml:space="preserve">   8400 - 8485 ft </t>
  </si>
  <si>
    <t xml:space="preserve">   chalk</t>
  </si>
  <si>
    <t>CHALK GROUP</t>
  </si>
  <si>
    <t>tor formation</t>
  </si>
  <si>
    <t xml:space="preserve">   8485 - 8675 ft</t>
  </si>
  <si>
    <t xml:space="preserve">   limestone</t>
  </si>
  <si>
    <t xml:space="preserve">   8675- 8780 ft </t>
  </si>
  <si>
    <t>hod formation</t>
  </si>
  <si>
    <t xml:space="preserve">   8780 - 9050 ft </t>
  </si>
  <si>
    <t>13 3/8" intermediate casing</t>
  </si>
  <si>
    <t>HOLE SECTION</t>
  </si>
  <si>
    <t xml:space="preserve">30" conductor @  </t>
  </si>
  <si>
    <t>500 ft</t>
  </si>
  <si>
    <t>20" surface casing</t>
  </si>
  <si>
    <t>3300ft</t>
  </si>
  <si>
    <t>13 3/8" intermediate</t>
  </si>
  <si>
    <t>casing@ 4100ft</t>
  </si>
  <si>
    <t xml:space="preserve">           7700 FT</t>
  </si>
  <si>
    <t>9 5/8 " production casing</t>
  </si>
  <si>
    <t xml:space="preserve"> 7700ft</t>
  </si>
  <si>
    <t>7 " production liner</t>
  </si>
  <si>
    <t>9000ft</t>
  </si>
  <si>
    <t>Equipment</t>
  </si>
  <si>
    <t>Function</t>
  </si>
  <si>
    <t>TRSCSSSV</t>
  </si>
  <si>
    <t>serve as a secondary barrier for pressure isolation in case of failure to the surface safety valve</t>
  </si>
  <si>
    <t>TUBING ISOLATION VALVE</t>
  </si>
  <si>
    <t>allows repair of Xmas tree, without the need to kill the well.</t>
  </si>
  <si>
    <t>SIDE POCKET MANDREL</t>
  </si>
  <si>
    <t>host dummy valves initially to provide communication between annulus and tubing. Host gas lift valves</t>
  </si>
  <si>
    <t>DOWNHOLE P/T GAUGE</t>
  </si>
  <si>
    <t>record real-time downhole well pressures and temperatures.</t>
  </si>
  <si>
    <t>SEAL ASSEMBLY</t>
  </si>
  <si>
    <t>allow for annular communication for gas lift/injection</t>
  </si>
  <si>
    <t>PERMANENT PACKER</t>
  </si>
  <si>
    <t>provides zonal isolation between tubing and annulus</t>
  </si>
  <si>
    <t>PRE-PACKED SCREEN</t>
  </si>
  <si>
    <t>control sand production from the existing well sorted grain sized formation</t>
  </si>
  <si>
    <t>ICV (FOR THE INJECTOR WELLS</t>
  </si>
  <si>
    <t>regulate water injection into the three distinct permeability layers of the reservoir.</t>
  </si>
  <si>
    <t xml:space="preserve">pore pressure and fracture pressure points based on the mud logs. </t>
  </si>
  <si>
    <t>ov.(asssumed gradient as 1psi/ft)</t>
  </si>
  <si>
    <t>fluid density(PPG)</t>
  </si>
  <si>
    <t>pore pressure (psi)</t>
  </si>
  <si>
    <t>Over Balance Win</t>
  </si>
  <si>
    <t>mud weight</t>
  </si>
  <si>
    <t>P.G</t>
  </si>
  <si>
    <t>pg(0.45)</t>
  </si>
  <si>
    <t>F.G (mud logs)ppg</t>
  </si>
  <si>
    <t>F.G (PSI/FT)mud logs</t>
  </si>
  <si>
    <t>fracture mud logs(psi)</t>
  </si>
  <si>
    <t xml:space="preserve">Fracture gradient . eton's </t>
  </si>
  <si>
    <t>FRACTURE PPG</t>
  </si>
  <si>
    <t>FRACTURE(EATON)(psi)</t>
  </si>
  <si>
    <t xml:space="preserve">fracture(SAFETY MARGIN) </t>
  </si>
  <si>
    <t>fracture safety margin</t>
  </si>
  <si>
    <t>mdw</t>
  </si>
  <si>
    <t>MWD (PPG)</t>
  </si>
  <si>
    <t>Actual MWD</t>
  </si>
  <si>
    <t xml:space="preserve">pore pressure from well test. </t>
  </si>
  <si>
    <t>claystone</t>
  </si>
  <si>
    <t xml:space="preserve">9ppg water </t>
  </si>
  <si>
    <t>water based mud</t>
  </si>
  <si>
    <t>based mud</t>
  </si>
  <si>
    <t>shale</t>
  </si>
  <si>
    <t xml:space="preserve">            </t>
  </si>
  <si>
    <t>10ppg oil based</t>
  </si>
  <si>
    <t>sand 1</t>
  </si>
  <si>
    <t>oil based mud</t>
  </si>
  <si>
    <t>chalk</t>
  </si>
  <si>
    <t>limestone</t>
  </si>
  <si>
    <t>siltstone</t>
  </si>
  <si>
    <t>sandstone</t>
  </si>
  <si>
    <t xml:space="preserve">PRESSURE PROFILE FOR THE FIELD. </t>
  </si>
  <si>
    <t>0.5 safety margin</t>
  </si>
  <si>
    <t>FRACTURE PPG(eaton)</t>
  </si>
  <si>
    <t>FRACTURE PRESSURE(PSI/FT)</t>
  </si>
  <si>
    <t>F.G (mud logs)</t>
  </si>
  <si>
    <t>DEPTH (FT)</t>
  </si>
  <si>
    <t>FORMATION FLUID (PPG)</t>
  </si>
  <si>
    <t>PORE PRESSURE (PSI)</t>
  </si>
  <si>
    <t>MUD WEIGHT (+O.5PPG)</t>
  </si>
  <si>
    <t>OVER BALANCED PRESSURE</t>
  </si>
  <si>
    <t>FRACTURE GRADIENT (MUD LOGS)</t>
  </si>
  <si>
    <t>FRACTURE GRADIENT EATONS'</t>
  </si>
  <si>
    <t>KICK MARGIN</t>
  </si>
  <si>
    <t>depth</t>
  </si>
  <si>
    <t>Mud log</t>
  </si>
  <si>
    <t>1psi/ft</t>
  </si>
  <si>
    <t>psi/ft</t>
  </si>
  <si>
    <t>fluid density (ppg)</t>
  </si>
  <si>
    <t>PORE PRESSURE</t>
  </si>
  <si>
    <t>FRACTURE PRESSURE</t>
  </si>
  <si>
    <t>mud-weight (+0.5ppg)</t>
  </si>
  <si>
    <t>Over Balance (+0.5) psi</t>
  </si>
  <si>
    <t>fracture safety (0.5ppg)psi</t>
  </si>
  <si>
    <t>Pressure G</t>
  </si>
  <si>
    <t>MW IN Each depth</t>
  </si>
  <si>
    <t>overburden pressure</t>
  </si>
  <si>
    <t>gas gradient psi/ft</t>
  </si>
  <si>
    <t xml:space="preserve">Depth TOP/Bottom </t>
  </si>
  <si>
    <t>Pressure PP/PF</t>
  </si>
  <si>
    <t xml:space="preserve">7" liner </t>
  </si>
  <si>
    <t>top of 7" liner</t>
  </si>
  <si>
    <t xml:space="preserve">30" Conductor </t>
  </si>
  <si>
    <t>20" Surface</t>
  </si>
  <si>
    <t>13-3/8" CSG</t>
  </si>
  <si>
    <t>9-5/8" CSG</t>
  </si>
  <si>
    <t>7" Liner</t>
  </si>
  <si>
    <t xml:space="preserve">9-5/8" CSG </t>
  </si>
  <si>
    <t>Setting depth</t>
  </si>
  <si>
    <t>Pore pressure (psi)</t>
  </si>
  <si>
    <t>Top 9-5/8" CSG</t>
  </si>
  <si>
    <t>Fracture pressure (psi)</t>
  </si>
  <si>
    <t>20" CSG</t>
  </si>
  <si>
    <t>Depth</t>
  </si>
  <si>
    <t>pore Pressure</t>
  </si>
  <si>
    <t>Farc Pressure</t>
  </si>
  <si>
    <t>Top 20" CSG</t>
  </si>
  <si>
    <t>Top 13-3/8" CSG</t>
  </si>
  <si>
    <t xml:space="preserve">depth   </t>
  </si>
  <si>
    <t>Pore Pressure</t>
  </si>
  <si>
    <t>Top of Perf</t>
  </si>
  <si>
    <t>TOL</t>
  </si>
  <si>
    <t>packer depth</t>
  </si>
  <si>
    <t>7" liner</t>
  </si>
  <si>
    <t xml:space="preserve">                    30"</t>
  </si>
  <si>
    <t xml:space="preserve">                  500FT</t>
  </si>
  <si>
    <t xml:space="preserve">                  20 "</t>
  </si>
  <si>
    <r>
      <t xml:space="preserve">               </t>
    </r>
    <r>
      <rPr>
        <sz val="11"/>
        <color theme="1"/>
        <rFont val="Arial Narrow"/>
        <family val="2"/>
      </rPr>
      <t xml:space="preserve"> 3300 FT</t>
    </r>
  </si>
  <si>
    <t xml:space="preserve">            13 3/8"</t>
  </si>
  <si>
    <t xml:space="preserve">                   4100FT</t>
  </si>
  <si>
    <t xml:space="preserve">      9 5/8" 7700FT</t>
  </si>
  <si>
    <t xml:space="preserve">        7" LINER</t>
  </si>
  <si>
    <t xml:space="preserve">             9000FT</t>
  </si>
  <si>
    <t>DRILL MUD TYPE</t>
  </si>
  <si>
    <t xml:space="preserve">Installation </t>
  </si>
  <si>
    <t>Sea water</t>
  </si>
  <si>
    <t>of conductor</t>
  </si>
  <si>
    <t xml:space="preserve">26” </t>
  </si>
  <si>
    <t>Water based mud (KCL)</t>
  </si>
  <si>
    <t xml:space="preserve">17 1/2“ </t>
  </si>
  <si>
    <t>Water based mud(KCL)</t>
  </si>
  <si>
    <t>12 ¼ “</t>
  </si>
  <si>
    <t xml:space="preserve">8 1/2" </t>
  </si>
  <si>
    <t>Oil based mud</t>
  </si>
  <si>
    <t xml:space="preserve">casing load calculations. </t>
  </si>
  <si>
    <t xml:space="preserve">casing </t>
  </si>
  <si>
    <t>casing setting depth</t>
  </si>
  <si>
    <t xml:space="preserve">pore pressure </t>
  </si>
  <si>
    <t>fracture pressure</t>
  </si>
  <si>
    <t>conductor @500ft</t>
  </si>
  <si>
    <t>conductor</t>
  </si>
  <si>
    <t>surface</t>
  </si>
  <si>
    <t>intermeadiate</t>
  </si>
  <si>
    <t>production casing</t>
  </si>
  <si>
    <t>PRODUCTION LINER</t>
  </si>
  <si>
    <t>SURFACE CASING CALCULATION</t>
  </si>
  <si>
    <t xml:space="preserve">setting depth(ft) </t>
  </si>
  <si>
    <t>formation fluid density(ppg)</t>
  </si>
  <si>
    <t>depth of the next hole section(ft)</t>
  </si>
  <si>
    <t>pore pressure at bottom of next hole(ppg)</t>
  </si>
  <si>
    <t>fracture presure @20" casing shoe</t>
  </si>
  <si>
    <t>expected gas gradient(psi/ft)</t>
  </si>
  <si>
    <t>design factors</t>
  </si>
  <si>
    <t xml:space="preserve">mud weight weight (ppg) </t>
  </si>
  <si>
    <t>burst</t>
  </si>
  <si>
    <t>collapse</t>
  </si>
  <si>
    <t>BURST LOAD. Pb= (Pi -Pe)</t>
  </si>
  <si>
    <t xml:space="preserve">internal load. </t>
  </si>
  <si>
    <t>external  load</t>
  </si>
  <si>
    <t>SUMMARY TABLE OF THE BURST LOAD FOR CASING</t>
  </si>
  <si>
    <t>PRESSURE AT THE BOTTOM HOLE</t>
  </si>
  <si>
    <t>PRESSURE AT SURFACE (PSI)</t>
  </si>
  <si>
    <t>Pi</t>
  </si>
  <si>
    <t>Pe</t>
  </si>
  <si>
    <t>Pb (Pi - Pe)</t>
  </si>
  <si>
    <t>D.F (1.1)</t>
  </si>
  <si>
    <t>PRESSURE AT SURFACE</t>
  </si>
  <si>
    <t>Bh - hyd(g)</t>
  </si>
  <si>
    <t>PRESSURE CASING SHOE (PSI)</t>
  </si>
  <si>
    <t>SURFACE</t>
  </si>
  <si>
    <t>PRESSURE AT CASING SHOE</t>
  </si>
  <si>
    <t>Bh - hyd(g)@casing shoe</t>
  </si>
  <si>
    <t>CASING SHOE</t>
  </si>
  <si>
    <t>CHECKING LOT AT CASING SHOE</t>
  </si>
  <si>
    <t>1482.2 psi &lt; 1973.4psi</t>
  </si>
  <si>
    <t>Psh &lt;  Fp</t>
  </si>
  <si>
    <t>formation will not break with that preesure at casing shoe.</t>
  </si>
  <si>
    <t>COLLAPSE LOAD Pb = ( Pe -Pi )</t>
  </si>
  <si>
    <t>internal load</t>
  </si>
  <si>
    <t>external load</t>
  </si>
  <si>
    <t>SUMMARY TABLE OF THE COLLAPSE LOAD FOR CASING</t>
  </si>
  <si>
    <t xml:space="preserve">The casing is empty due </t>
  </si>
  <si>
    <t>PRESSURE AT SURFACE(PSI)</t>
  </si>
  <si>
    <t>Pb (Pe - Pi)</t>
  </si>
  <si>
    <t>D.F (1)</t>
  </si>
  <si>
    <t>PRESSURE AT CASING SHOE (PSI)</t>
  </si>
  <si>
    <t>to lost circulation</t>
  </si>
  <si>
    <t>PRODUCTION CASING CALCULATION</t>
  </si>
  <si>
    <t>CASING ONE</t>
  </si>
  <si>
    <t>TOP OF production packer</t>
  </si>
  <si>
    <t>top depth of perforation interval</t>
  </si>
  <si>
    <t>maximum expected pressure at top of of perforations(psi/ft)</t>
  </si>
  <si>
    <t>packer fluid density</t>
  </si>
  <si>
    <t>MUD DENSITY(PPG)</t>
  </si>
  <si>
    <t>PRESSURE AT SURFACE (CITHP)</t>
  </si>
  <si>
    <t>PRESSURE AT TOP OF PACKER</t>
  </si>
  <si>
    <t>TOP OF PACKER</t>
  </si>
  <si>
    <t>INTERMEDIATE CASING CALCULATION</t>
  </si>
  <si>
    <t>fracture presure 13 3/8" casing shoe</t>
  </si>
  <si>
    <t>3544.6 psi &gt; 2856.88psi</t>
  </si>
  <si>
    <t>The formation at the casing shoe will breakdown at 2028 psi and</t>
  </si>
  <si>
    <t xml:space="preserve">therefore it will breakdown at 2856.88 psi and therefore it will breakdown if </t>
  </si>
  <si>
    <t>P @ surface</t>
  </si>
  <si>
    <t xml:space="preserve">the pressure of 3544.6 psi is applied to it. The maximum pressure inside the </t>
  </si>
  <si>
    <t>intermediate casing at the casing shoe will therefore be at 2856psi</t>
  </si>
  <si>
    <t>production linear</t>
  </si>
  <si>
    <t xml:space="preserve">TOP OF 7" liner </t>
  </si>
  <si>
    <t>packer depth(ft)</t>
  </si>
  <si>
    <t>packer fluid density (ppg)</t>
  </si>
  <si>
    <t>MUD DENSITY (PPG)</t>
  </si>
  <si>
    <t>PRESSURE AT THE TOP OF PERFORATIONS</t>
  </si>
  <si>
    <t>PRODUCTION LINER CALCULATIONS</t>
  </si>
  <si>
    <t>ppg</t>
  </si>
  <si>
    <t>PRESSURE AT SURFACE DUE TO GAS COLUM</t>
  </si>
  <si>
    <t>PRESSURE AT bottom of 9 5/8 Csh</t>
  </si>
  <si>
    <t>PRESSURE AT BOTTOM 9 5/8 Csh</t>
  </si>
  <si>
    <t>P. bottom @ prod Csh</t>
  </si>
  <si>
    <t xml:space="preserve">bha assembly. </t>
  </si>
  <si>
    <t>EQUIPMENT</t>
  </si>
  <si>
    <t>LENGTH</t>
  </si>
  <si>
    <t xml:space="preserve">first hole section. </t>
  </si>
  <si>
    <t xml:space="preserve">DC - 9" X 3" +  4 1/2 IF connections. </t>
  </si>
  <si>
    <t xml:space="preserve">drill pipe. </t>
  </si>
  <si>
    <t>8000ft</t>
  </si>
  <si>
    <t>0- 2800ft</t>
  </si>
  <si>
    <t>5" HWDP + 4 1/2 IF connections</t>
  </si>
  <si>
    <t>drillcolar</t>
  </si>
  <si>
    <t>100ft</t>
  </si>
  <si>
    <t>5" dp x 4 1/2  I.F connections</t>
  </si>
  <si>
    <t xml:space="preserve">MWD AND LWD </t>
  </si>
  <si>
    <t>12 1/4 regular connections</t>
  </si>
  <si>
    <t>HWDP</t>
  </si>
  <si>
    <t xml:space="preserve">stabilizers </t>
  </si>
  <si>
    <t xml:space="preserve">BIT SIZE. </t>
  </si>
  <si>
    <t xml:space="preserve">second hole section. </t>
  </si>
  <si>
    <t>TYPE OF BIT</t>
  </si>
  <si>
    <t xml:space="preserve">2800 - 4100 ft </t>
  </si>
  <si>
    <t xml:space="preserve">MILLER TOOTH </t>
  </si>
  <si>
    <t>LOOSE UNCONSOLIDATED FORMATIONS</t>
  </si>
  <si>
    <t xml:space="preserve">INSERT BIT. </t>
  </si>
  <si>
    <t>MEDIUM TO FINE GRAINED SAND</t>
  </si>
  <si>
    <t>PDC</t>
  </si>
  <si>
    <t>MEDIUM TO HARD FORMATIONS(SHALEY SANDS</t>
  </si>
  <si>
    <t xml:space="preserve">MWD AND LWD tools </t>
  </si>
  <si>
    <t>third hole section</t>
  </si>
  <si>
    <t xml:space="preserve"> two stage cementing for the 20" casing. </t>
  </si>
  <si>
    <t>20" casing x 26" hole</t>
  </si>
  <si>
    <t>cement(ppg)</t>
  </si>
  <si>
    <t>20" casing and 30 " conductor</t>
  </si>
  <si>
    <t>CEMENT DENSITY</t>
  </si>
  <si>
    <t>ft3/sks</t>
  </si>
  <si>
    <t>20 " capacity</t>
  </si>
  <si>
    <t>WATER REQUIREMNTS</t>
  </si>
  <si>
    <t>26" hole</t>
  </si>
  <si>
    <t>annular volume. (20" x 26")</t>
  </si>
  <si>
    <t>plus 20% excess</t>
  </si>
  <si>
    <t>total volume for annular volume</t>
  </si>
  <si>
    <t>slurry volume below float collar</t>
  </si>
  <si>
    <t>slurry volume in rat hole</t>
  </si>
  <si>
    <t>total volume for rat hole</t>
  </si>
  <si>
    <t>TOTAL VOLUME FOR STAGE 0NE</t>
  </si>
  <si>
    <t>ft3</t>
  </si>
  <si>
    <t xml:space="preserve">NO. OF SACKS FOR STAGE ONE. </t>
  </si>
  <si>
    <t>sks</t>
  </si>
  <si>
    <t xml:space="preserve">STAGE TWO. </t>
  </si>
  <si>
    <t>annular volume (20" x 30 ")</t>
  </si>
  <si>
    <t>no. of cement sacks</t>
  </si>
  <si>
    <t xml:space="preserve">MIX WATER REQUIREMENTS. </t>
  </si>
  <si>
    <t xml:space="preserve">STAGE ONE </t>
  </si>
  <si>
    <t>STAGE TWO</t>
  </si>
  <si>
    <t>HYDRASTATIC PRESSURE OF BOTH CEMENT AND MUD</t>
  </si>
  <si>
    <t>MUD HYDRAUSTATIC</t>
  </si>
  <si>
    <t>CEMENT HYDRAUSTATIC</t>
  </si>
  <si>
    <t>total hydraustatic</t>
  </si>
  <si>
    <t xml:space="preserve"> fracture pressure @ stage two 1555</t>
  </si>
  <si>
    <t>BIT</t>
  </si>
  <si>
    <t>FUNCTION</t>
  </si>
  <si>
    <t>26"</t>
  </si>
  <si>
    <t>MILLED TOOTH</t>
  </si>
  <si>
    <t>claystone dominated section . Weak and unconsolidatyed formation. Long teeth to bit reduce bit balling and easy removal of cutting due to widely spacial teeth</t>
  </si>
  <si>
    <t>17 1/2"</t>
  </si>
  <si>
    <t>CONSOLIDATED FORMATIONS , SHALEY SANDS</t>
  </si>
  <si>
    <t>12 1/2"</t>
  </si>
  <si>
    <t xml:space="preserve">HARD CONSOLIDATED FORMATIONS. </t>
  </si>
  <si>
    <t>8 1/2 "</t>
  </si>
  <si>
    <t>HARD FORMATIONS</t>
  </si>
  <si>
    <t>BHA Component</t>
  </si>
  <si>
    <t>Bit</t>
  </si>
  <si>
    <t>Bit Sub</t>
  </si>
  <si>
    <t>Cuts the formation rock to drill the wellbore.</t>
  </si>
  <si>
    <t>Stabilizer</t>
  </si>
  <si>
    <t>Connects the bit to the drill collars and allows for mud circulation.</t>
  </si>
  <si>
    <t>Drill Collar</t>
  </si>
  <si>
    <t>Centralizes the BHA in the hole, minimizing deviation and vibration.</t>
  </si>
  <si>
    <t>Heavy Weight Drill Pipe (HWDP)</t>
  </si>
  <si>
    <t>Adds weight on bit (WOB) and maintains stiffness to prevent buckling.</t>
  </si>
  <si>
    <t xml:space="preserve">mwd and lwd tools </t>
  </si>
  <si>
    <t>Transition between drill collars and drill pipe; helps manage fatigue and bending.</t>
  </si>
  <si>
    <t>Acquire real-time formation data</t>
  </si>
  <si>
    <t>Provide real-time directional data</t>
  </si>
  <si>
    <t>fir</t>
  </si>
  <si>
    <t>S /N</t>
  </si>
  <si>
    <t>TRAJECTORY</t>
  </si>
  <si>
    <t>BHA TYPE</t>
  </si>
  <si>
    <t>ASSEMBLY</t>
  </si>
  <si>
    <t>REMARKS</t>
  </si>
  <si>
    <t>SURFCAE HOLE @ 3300FT</t>
  </si>
  <si>
    <t xml:space="preserve">VERTICAL </t>
  </si>
  <si>
    <t xml:space="preserve">     PACKED HOLE</t>
  </si>
  <si>
    <t>MILLER TOOTH</t>
  </si>
  <si>
    <t>cutting through the rock</t>
  </si>
  <si>
    <t xml:space="preserve">    ASSEMBLY</t>
  </si>
  <si>
    <t>DRILL COLLAR</t>
  </si>
  <si>
    <t>Adds weight on bit (WOB) and stiffness to avoid buckling.</t>
  </si>
  <si>
    <t>provides steering capability without ro</t>
  </si>
  <si>
    <t>STABILIZER</t>
  </si>
  <si>
    <t xml:space="preserve">         INTERMEDIATE HOLE</t>
  </si>
  <si>
    <t>DEVIATED</t>
  </si>
  <si>
    <t xml:space="preserve">     FULLCRUM </t>
  </si>
  <si>
    <t xml:space="preserve">        @ 4100FT TVD</t>
  </si>
  <si>
    <t>additional stiifness to drillcollars when drilling  high angle section</t>
  </si>
  <si>
    <t>MWD</t>
  </si>
  <si>
    <t>provie real time data for direction(azimuth / inclination)</t>
  </si>
  <si>
    <t>BIT SUB</t>
  </si>
  <si>
    <t>ability to orient the bit in the desired direction</t>
  </si>
  <si>
    <t>MUD MOTOR</t>
  </si>
  <si>
    <t>allows for circulation whilst drilling in the desired orientation</t>
  </si>
  <si>
    <t xml:space="preserve">              PRODUCTION HOLE </t>
  </si>
  <si>
    <t>PDC BIT</t>
  </si>
  <si>
    <t xml:space="preserve">               @9000FT</t>
  </si>
  <si>
    <t>MWD/LWD</t>
  </si>
  <si>
    <t>Acquire real-time formation data, Provide real-time directional data</t>
  </si>
  <si>
    <r>
      <t>Rig</t>
    </r>
    <r>
      <rPr>
        <b/>
        <sz val="12"/>
        <color theme="1"/>
        <rFont val="Arial"/>
        <family val="2"/>
      </rPr>
      <t> </t>
    </r>
    <r>
      <rPr>
        <b/>
        <sz val="12"/>
        <color theme="1"/>
        <rFont val="Aptos"/>
        <family val="2"/>
      </rPr>
      <t>A (9 wells)</t>
    </r>
  </si>
  <si>
    <t>Spud</t>
  </si>
  <si>
    <t>Ready</t>
  </si>
  <si>
    <t>A‑1</t>
  </si>
  <si>
    <r>
      <t>28</t>
    </r>
    <r>
      <rPr>
        <sz val="12"/>
        <color theme="1"/>
        <rFont val="Arial"/>
        <family val="2"/>
      </rPr>
      <t> </t>
    </r>
    <r>
      <rPr>
        <sz val="12"/>
        <color theme="1"/>
        <rFont val="Aptos"/>
        <family val="2"/>
      </rPr>
      <t>Nov</t>
    </r>
    <r>
      <rPr>
        <sz val="12"/>
        <color theme="1"/>
        <rFont val="Arial"/>
        <family val="2"/>
      </rPr>
      <t> </t>
    </r>
    <r>
      <rPr>
        <sz val="12"/>
        <color theme="1"/>
        <rFont val="Aptos"/>
        <family val="2"/>
      </rPr>
      <t>2025</t>
    </r>
  </si>
  <si>
    <r>
      <t>01</t>
    </r>
    <r>
      <rPr>
        <sz val="12"/>
        <color theme="1"/>
        <rFont val="Arial"/>
        <family val="2"/>
      </rPr>
      <t> </t>
    </r>
    <r>
      <rPr>
        <sz val="12"/>
        <color theme="1"/>
        <rFont val="Aptos"/>
        <family val="2"/>
      </rPr>
      <t>Jan</t>
    </r>
    <r>
      <rPr>
        <sz val="12"/>
        <color theme="1"/>
        <rFont val="Arial"/>
        <family val="2"/>
      </rPr>
      <t> </t>
    </r>
    <r>
      <rPr>
        <sz val="12"/>
        <color theme="1"/>
        <rFont val="Aptos"/>
        <family val="2"/>
      </rPr>
      <t>2026</t>
    </r>
  </si>
  <si>
    <t>Rig‑days</t>
  </si>
  <si>
    <t>…</t>
  </si>
  <si>
    <t>A‑9</t>
  </si>
  <si>
    <r>
      <t>04</t>
    </r>
    <r>
      <rPr>
        <sz val="12"/>
        <color theme="1"/>
        <rFont val="Arial"/>
        <family val="2"/>
      </rPr>
      <t> </t>
    </r>
    <r>
      <rPr>
        <sz val="12"/>
        <color theme="1"/>
        <rFont val="Aptos"/>
        <family val="2"/>
      </rPr>
      <t>Sep</t>
    </r>
    <r>
      <rPr>
        <sz val="12"/>
        <color theme="1"/>
        <rFont val="Arial"/>
        <family val="2"/>
      </rPr>
      <t> </t>
    </r>
    <r>
      <rPr>
        <sz val="12"/>
        <color theme="1"/>
        <rFont val="Aptos"/>
        <family val="2"/>
      </rPr>
      <t>2026</t>
    </r>
  </si>
  <si>
    <r>
      <t>08</t>
    </r>
    <r>
      <rPr>
        <b/>
        <sz val="12"/>
        <color theme="1"/>
        <rFont val="Arial"/>
        <family val="2"/>
      </rPr>
      <t> </t>
    </r>
    <r>
      <rPr>
        <b/>
        <sz val="12"/>
        <color theme="1"/>
        <rFont val="Aptos"/>
        <family val="2"/>
      </rPr>
      <t>Oct</t>
    </r>
    <r>
      <rPr>
        <b/>
        <sz val="12"/>
        <color theme="1"/>
        <rFont val="Arial"/>
        <family val="2"/>
      </rPr>
      <t> </t>
    </r>
    <r>
      <rPr>
        <b/>
        <sz val="12"/>
        <color theme="1"/>
        <rFont val="Aptos"/>
        <family val="2"/>
      </rPr>
      <t>2026</t>
    </r>
  </si>
  <si>
    <r>
      <t>Rig</t>
    </r>
    <r>
      <rPr>
        <b/>
        <sz val="12"/>
        <color theme="1"/>
        <rFont val="Arial"/>
        <family val="2"/>
      </rPr>
      <t> </t>
    </r>
    <r>
      <rPr>
        <b/>
        <sz val="12"/>
        <color theme="1"/>
        <rFont val="Aptos"/>
        <family val="2"/>
      </rPr>
      <t>B (8 wells)</t>
    </r>
  </si>
  <si>
    <t>B‑1</t>
  </si>
  <si>
    <t>B‑8</t>
  </si>
  <si>
    <r>
      <t>31</t>
    </r>
    <r>
      <rPr>
        <sz val="12"/>
        <color theme="1"/>
        <rFont val="Arial"/>
        <family val="2"/>
      </rPr>
      <t> </t>
    </r>
    <r>
      <rPr>
        <sz val="12"/>
        <color theme="1"/>
        <rFont val="Aptos"/>
        <family val="2"/>
      </rPr>
      <t>Jul</t>
    </r>
    <r>
      <rPr>
        <sz val="12"/>
        <color theme="1"/>
        <rFont val="Arial"/>
        <family val="2"/>
      </rPr>
      <t> </t>
    </r>
    <r>
      <rPr>
        <sz val="12"/>
        <color theme="1"/>
        <rFont val="Aptos"/>
        <family val="2"/>
      </rPr>
      <t>2026</t>
    </r>
  </si>
  <si>
    <r>
      <t>03</t>
    </r>
    <r>
      <rPr>
        <b/>
        <sz val="12"/>
        <color theme="1"/>
        <rFont val="Arial"/>
        <family val="2"/>
      </rPr>
      <t> </t>
    </r>
    <r>
      <rPr>
        <b/>
        <sz val="12"/>
        <color theme="1"/>
        <rFont val="Aptos"/>
        <family val="2"/>
      </rPr>
      <t>Sep</t>
    </r>
    <r>
      <rPr>
        <b/>
        <sz val="12"/>
        <color theme="1"/>
        <rFont val="Arial"/>
        <family val="2"/>
      </rPr>
      <t> </t>
    </r>
    <r>
      <rPr>
        <b/>
        <sz val="12"/>
        <color theme="1"/>
        <rFont val="Aptos"/>
        <family val="2"/>
      </rPr>
      <t>2026</t>
    </r>
  </si>
  <si>
    <t>PLATFORM RIG 1  ( 4 WELLS)</t>
  </si>
  <si>
    <t>SPUD</t>
  </si>
  <si>
    <t>END DATE</t>
  </si>
  <si>
    <t>CUMULATIVE RIG DAYS</t>
  </si>
  <si>
    <t>WELL P1</t>
  </si>
  <si>
    <t>WELL P4</t>
  </si>
  <si>
    <t>WELL P2</t>
  </si>
  <si>
    <t>30 31</t>
  </si>
  <si>
    <t>WELL P5</t>
  </si>
  <si>
    <t>PLATFORM RIG 2 (5 WELLS)</t>
  </si>
  <si>
    <t>WELL P7</t>
  </si>
  <si>
    <t>WELL P3</t>
  </si>
  <si>
    <t>WELL P8</t>
  </si>
  <si>
    <t>WELL P9</t>
  </si>
  <si>
    <t>WELL P6</t>
  </si>
  <si>
    <t>HAKURYU -14 JACK UP</t>
  </si>
  <si>
    <t>t 3 DAYS MOVE DAYS</t>
  </si>
  <si>
    <t>WELL P10</t>
  </si>
  <si>
    <t>WELL I2</t>
  </si>
  <si>
    <t>WELL I7</t>
  </si>
  <si>
    <t>WELL I4</t>
  </si>
  <si>
    <t>WELL I6</t>
  </si>
  <si>
    <t>WELL I5</t>
  </si>
  <si>
    <t>WELL 11</t>
  </si>
  <si>
    <t xml:space="preserve">3300ft </t>
  </si>
  <si>
    <t>4100ft</t>
  </si>
  <si>
    <t>7700ft</t>
  </si>
  <si>
    <t>RIG TYPE</t>
  </si>
  <si>
    <t>price @ well USD</t>
  </si>
  <si>
    <t>total cost USD</t>
  </si>
  <si>
    <t>platform rig 1 (4 wells)</t>
  </si>
  <si>
    <t xml:space="preserve">  $13164500</t>
  </si>
  <si>
    <t>$52658000</t>
  </si>
  <si>
    <t>20 casing</t>
  </si>
  <si>
    <t>platform rig 2  (5 wells)</t>
  </si>
  <si>
    <t xml:space="preserve">  $11821000</t>
  </si>
  <si>
    <t>$5910500</t>
  </si>
  <si>
    <t>jack up rig   (8 well)</t>
  </si>
  <si>
    <t xml:space="preserve">  $18320125</t>
  </si>
  <si>
    <t>$146561000</t>
  </si>
  <si>
    <t>in</t>
  </si>
  <si>
    <t>WELL TRAJECTORY</t>
  </si>
  <si>
    <t>CLUSTER</t>
  </si>
  <si>
    <t>WELL TYPE</t>
  </si>
  <si>
    <t>FIXED PLATFORM RIG</t>
  </si>
  <si>
    <t>DEVIATED WELLS</t>
  </si>
  <si>
    <t>CLUSTER A</t>
  </si>
  <si>
    <t>P5, P2, P1, P4</t>
  </si>
  <si>
    <t xml:space="preserve">CLUSTER B </t>
  </si>
  <si>
    <t>P9, P8,P7,P3, P6</t>
  </si>
  <si>
    <t>VERTICAL WELLS</t>
  </si>
  <si>
    <t>CLUSTER C</t>
  </si>
  <si>
    <t>P10, I1, I2, I3, I4, I5, I6, I7</t>
  </si>
  <si>
    <t>DESCRIPTION</t>
  </si>
  <si>
    <t>FIELD PROPERTIES</t>
  </si>
  <si>
    <t>RIG PROPERTIES</t>
  </si>
  <si>
    <t>FIXED PLATFORM</t>
  </si>
  <si>
    <t>WATER DEPTH</t>
  </si>
  <si>
    <t>400FT</t>
  </si>
  <si>
    <t>CROWN BLOCK ( NOV CBC-1100 2,200,000 lbs load, 10 sheaves</t>
  </si>
  <si>
    <t>HOISTING CAPACITY</t>
  </si>
  <si>
    <t>TRAVELLING BLOCK (NOV HTB-1100, 2,200,000 lbs, (7 x 72 sheaves)</t>
  </si>
  <si>
    <t>500FT</t>
  </si>
  <si>
    <t>397 FT</t>
  </si>
  <si>
    <t xml:space="preserve"> 8818490.4874 lbs load </t>
  </si>
  <si>
    <t>EXPECTED LOAD = 1000,000 LBS</t>
  </si>
  <si>
    <t>DRILLSTRING, CASING LOAD</t>
  </si>
  <si>
    <t>TOTAL DRILLING DEPTH</t>
  </si>
  <si>
    <t>20,000FT</t>
  </si>
  <si>
    <t>35000FT</t>
  </si>
  <si>
    <t>MAXIMUM TVD 9000FT</t>
  </si>
  <si>
    <t>MULTI- WELL SLOTS</t>
  </si>
  <si>
    <t>STORAGE CAPACITY</t>
  </si>
  <si>
    <t xml:space="preserve">200,000 ft³  </t>
  </si>
  <si>
    <t>203,329 ft³ ( CEMENT SLURRY, DRILL MUD, OIL PRODUCED)</t>
  </si>
  <si>
    <t xml:space="preserve">Surface </t>
  </si>
  <si>
    <r>
      <t>First hole</t>
    </r>
    <r>
      <rPr>
        <sz val="12"/>
        <color theme="1"/>
        <rFont val="Calibri"/>
        <family val="2"/>
      </rPr>
      <t>@ 3300FT</t>
    </r>
  </si>
  <si>
    <t>BIT TYPE</t>
  </si>
  <si>
    <t>COMMENTS</t>
  </si>
  <si>
    <t xml:space="preserve">surface hole @ </t>
  </si>
  <si>
    <t>3300FT</t>
  </si>
  <si>
    <r>
      <t xml:space="preserve">    </t>
    </r>
    <r>
      <rPr>
        <b/>
        <sz val="14"/>
        <color theme="1"/>
        <rFont val="Arial Narrow"/>
        <family val="2"/>
      </rPr>
      <t>1- 3 - 1</t>
    </r>
  </si>
  <si>
    <r>
      <t xml:space="preserve">          </t>
    </r>
    <r>
      <rPr>
        <b/>
        <sz val="18"/>
        <color theme="1"/>
        <rFont val="Arial Narrow"/>
        <family val="2"/>
      </rPr>
      <t xml:space="preserve">  PDC</t>
    </r>
  </si>
  <si>
    <t xml:space="preserve">formations in this section are dominated with claystone which are </t>
  </si>
  <si>
    <t xml:space="preserve">weak and unconsolidated. Long teeth to prevent bit balling and </t>
  </si>
  <si>
    <t>ADDITIVES</t>
  </si>
  <si>
    <t>MUD TYPE</t>
  </si>
  <si>
    <t>0 -   500ft</t>
  </si>
  <si>
    <t>sea water</t>
  </si>
  <si>
    <t>SHALE INHIBITOR (KCL)</t>
  </si>
  <si>
    <t xml:space="preserve"> 3000ft</t>
  </si>
  <si>
    <t>WBM</t>
  </si>
  <si>
    <t xml:space="preserve">BENTONITE , BARITE   </t>
  </si>
  <si>
    <t>4100 ft</t>
  </si>
  <si>
    <t xml:space="preserve">7700ft </t>
  </si>
  <si>
    <t xml:space="preserve">9000 FT </t>
  </si>
  <si>
    <t>OBM</t>
  </si>
  <si>
    <t>Cementing design</t>
  </si>
  <si>
    <t xml:space="preserve">cement type and Additives </t>
  </si>
  <si>
    <t>Hole size</t>
  </si>
  <si>
    <t>Casing type</t>
  </si>
  <si>
    <t>Cement weight</t>
  </si>
  <si>
    <t>(ppg)</t>
  </si>
  <si>
    <t>Two-stage cementing</t>
  </si>
  <si>
    <t>class G    /    accelerators (CaCl2 2.0%)</t>
  </si>
  <si>
    <t>26”</t>
  </si>
  <si>
    <t>Surface 20”</t>
  </si>
  <si>
    <t>15.8ppg stage 1 (700FT)</t>
  </si>
  <si>
    <t xml:space="preserve"> TOC  - 2610</t>
  </si>
  <si>
    <t xml:space="preserve">               fluid loss (organic polymer 1.2 %)</t>
  </si>
  <si>
    <t>11.2ppg stage 2 (2610 FT)</t>
  </si>
  <si>
    <t xml:space="preserve">TOC - </t>
  </si>
  <si>
    <t xml:space="preserve">Single-stage cementing. </t>
  </si>
  <si>
    <t>17 ½”</t>
  </si>
  <si>
    <t>Intermediate 13 3/8”</t>
  </si>
  <si>
    <t>13.2ppg  lead slurry</t>
  </si>
  <si>
    <t xml:space="preserve"> TOC  - 3100FT</t>
  </si>
  <si>
    <t>(dual slurry)</t>
  </si>
  <si>
    <t xml:space="preserve">                  fluid loss (organic polymer 1.2 %)</t>
  </si>
  <si>
    <t>15.8ppg tail slurry</t>
  </si>
  <si>
    <t>TOC -  3600 FT</t>
  </si>
  <si>
    <t>Single-stage cementing</t>
  </si>
  <si>
    <t>class G   /    retarders (1.5%)</t>
  </si>
  <si>
    <t>12 ¼”</t>
  </si>
  <si>
    <t>Production 9 5/8”</t>
  </si>
  <si>
    <t>15.8ppg  TOC - 7200FT</t>
  </si>
  <si>
    <t>production liner 7"</t>
  </si>
  <si>
    <t>15.8 ppg   TOC - 7500FT</t>
  </si>
  <si>
    <t>position</t>
  </si>
  <si>
    <t>equipment</t>
  </si>
  <si>
    <t>function</t>
  </si>
  <si>
    <t>Top</t>
  </si>
  <si>
    <t>Annular preventers</t>
  </si>
  <si>
    <t xml:space="preserve">Primary shut in device in </t>
  </si>
  <si>
    <t>middle</t>
  </si>
  <si>
    <t>Pipe rams</t>
  </si>
  <si>
    <t>Shut in of well with drill pipe in hole</t>
  </si>
  <si>
    <t>bottom</t>
  </si>
  <si>
    <t>Blind / shear rams</t>
  </si>
  <si>
    <t>Used only in emergencies to seal off the well</t>
  </si>
  <si>
    <t>diverter</t>
  </si>
  <si>
    <t>KFDJ 500 psi</t>
  </si>
  <si>
    <t>Drilling spool</t>
  </si>
  <si>
    <t>Provides side outlets for choke/kill line</t>
  </si>
  <si>
    <t>2 manual chokes</t>
  </si>
  <si>
    <t xml:space="preserve"> all rated 15000psi to match the BOP stack up</t>
  </si>
  <si>
    <t>2 hydraulically operated chokes</t>
  </si>
  <si>
    <t>designed</t>
  </si>
  <si>
    <t>record real-time downhole well pressures and temperatures</t>
  </si>
  <si>
    <t>allow for annular communication for gas lift/injection.</t>
  </si>
  <si>
    <t>control sand production from the existing well sorted grain sized formation.</t>
  </si>
  <si>
    <t>CASING TYPE</t>
  </si>
  <si>
    <t>SETTING DEPTH</t>
  </si>
  <si>
    <t>ID</t>
  </si>
  <si>
    <t>BURST LOAD</t>
  </si>
  <si>
    <t>COLLAPSE LOAD</t>
  </si>
  <si>
    <t xml:space="preserve">WEIGHT &amp; GRADE </t>
  </si>
  <si>
    <t>CAPACITY (bbls/ft)</t>
  </si>
  <si>
    <t>CONDUTOR @30"</t>
  </si>
  <si>
    <t>SURFACE  @20"</t>
  </si>
  <si>
    <t>INTRERMEDIATE @ 13 3/8"</t>
  </si>
  <si>
    <t>68ibm/ft - L80</t>
  </si>
  <si>
    <t>PRODUCTION @ 9 5/8"</t>
  </si>
  <si>
    <t>47ibm/ft - L80</t>
  </si>
  <si>
    <t>PRODUCTION LINER @ 7"</t>
  </si>
  <si>
    <t>26ibm/ft - L80</t>
  </si>
  <si>
    <t>hole section</t>
  </si>
  <si>
    <t xml:space="preserve">casing design </t>
  </si>
  <si>
    <t>setting depth</t>
  </si>
  <si>
    <t>remarks</t>
  </si>
  <si>
    <t xml:space="preserve">36" </t>
  </si>
  <si>
    <t>conductor 30"</t>
  </si>
  <si>
    <t xml:space="preserve">isolate very weak unconsolidated formations with low </t>
  </si>
  <si>
    <t>surface casing  20"</t>
  </si>
  <si>
    <t>3300 ft</t>
  </si>
  <si>
    <t>fracture gradients</t>
  </si>
  <si>
    <t xml:space="preserve">17 1/2" </t>
  </si>
  <si>
    <t>intermediate casing  13 3/8"</t>
  </si>
  <si>
    <t>designed from the pressure profile</t>
  </si>
  <si>
    <t>12 1/4 "</t>
  </si>
  <si>
    <t xml:space="preserve">production casing  9 5/8" </t>
  </si>
  <si>
    <t>7600 ft</t>
  </si>
  <si>
    <t>isolate the shale and clay formations</t>
  </si>
  <si>
    <t>slight increase in pressure gradient below cap rock.</t>
  </si>
  <si>
    <t>9000 ft</t>
  </si>
  <si>
    <t xml:space="preserve">next hole section to be drilled using a higher mud weight. </t>
  </si>
  <si>
    <t xml:space="preserve">it is cost effective because the the casing string lenth is  </t>
  </si>
  <si>
    <t>reduced and it can be run on drill pipe thus reducing rig time</t>
  </si>
  <si>
    <t xml:space="preserve">drilled to extend into the reservoir section. </t>
  </si>
  <si>
    <t>CEMENTING</t>
  </si>
  <si>
    <t>optimum design with the tangent angle of 31 degress</t>
  </si>
  <si>
    <t xml:space="preserve">TVD </t>
  </si>
  <si>
    <t>BU Rate</t>
  </si>
  <si>
    <t>Horizontal Displacement  (HD)</t>
  </si>
  <si>
    <t>KOP</t>
  </si>
  <si>
    <t xml:space="preserve">  </t>
  </si>
  <si>
    <t>`</t>
  </si>
  <si>
    <t>R</t>
  </si>
  <si>
    <t>OP (HD - R)</t>
  </si>
  <si>
    <t>PT (TVD - KOP)</t>
  </si>
  <si>
    <t>X (Tan -1 (OP/PT))</t>
  </si>
  <si>
    <t>COS (X)</t>
  </si>
  <si>
    <t>OT ( PT / COS(X) )</t>
  </si>
  <si>
    <t>Y ( Sin-1( R / OT ) )</t>
  </si>
  <si>
    <t>Alpha (X+Y)</t>
  </si>
  <si>
    <t>BC ((100*ALPHA)/3)</t>
  </si>
  <si>
    <t>MD at end of BU (BC + KOP)</t>
  </si>
  <si>
    <t>TVD at end of BU (AB+EC)</t>
  </si>
  <si>
    <t>EC (R * Sin(alpha))</t>
  </si>
  <si>
    <t>SIN(Alpha)</t>
  </si>
  <si>
    <t>cos(alpha)</t>
  </si>
  <si>
    <t>OE (R * COS(ALPHA))</t>
  </si>
  <si>
    <t>BE (R - OE)</t>
  </si>
  <si>
    <t>CT (R * TAN(Y))</t>
  </si>
  <si>
    <t xml:space="preserve">                     y                           x</t>
  </si>
  <si>
    <t>tan(Y)</t>
  </si>
  <si>
    <t xml:space="preserve">MD  </t>
  </si>
  <si>
    <t>HORIZONTAL DISPLACEMENT</t>
  </si>
  <si>
    <t>BUILD UP RATE</t>
  </si>
  <si>
    <t xml:space="preserve">RADIUS </t>
  </si>
  <si>
    <t>TANGENT ANGLE</t>
  </si>
  <si>
    <t>AHD OF BU SECTION</t>
  </si>
  <si>
    <t>TVD AT THE END OF BU SECTION</t>
  </si>
  <si>
    <t>HORIZONTAL DISPLACEMENT @ end BU</t>
  </si>
  <si>
    <t xml:space="preserve">ALONG HOLE DEPTH </t>
  </si>
  <si>
    <t>y</t>
  </si>
  <si>
    <t>x</t>
  </si>
  <si>
    <t>TVD</t>
  </si>
  <si>
    <t>DISTANCE BE</t>
  </si>
  <si>
    <t>DISTNCAE EC</t>
  </si>
  <si>
    <t>DISTANCE CT</t>
  </si>
  <si>
    <t>DISTANCE PT</t>
  </si>
  <si>
    <t>DISTANCE CO</t>
  </si>
  <si>
    <t>DISTANCE OT</t>
  </si>
  <si>
    <t>DISTANCE BC</t>
  </si>
  <si>
    <t>casing</t>
  </si>
  <si>
    <t>hole</t>
  </si>
  <si>
    <t>OD</t>
  </si>
  <si>
    <t>WEIGHT AND GRADE</t>
  </si>
  <si>
    <t xml:space="preserve">BURST </t>
  </si>
  <si>
    <t>COLLAPSE</t>
  </si>
  <si>
    <t>LOAD(PSI)</t>
  </si>
  <si>
    <t>LOAD (PSI)</t>
  </si>
  <si>
    <t>30”</t>
  </si>
  <si>
    <t>197 LB/FT</t>
  </si>
  <si>
    <t>-</t>
  </si>
  <si>
    <t>Surface casing</t>
  </si>
  <si>
    <t>20”</t>
  </si>
  <si>
    <t>18.73”</t>
  </si>
  <si>
    <t>133 Lb/ft   L80</t>
  </si>
  <si>
    <t xml:space="preserve">notes on designing the deviated well. </t>
  </si>
  <si>
    <t>the lower the BUR , the higher the tvd section for the BUR</t>
  </si>
  <si>
    <t>Intermediate casing</t>
  </si>
  <si>
    <t>12 3/8”</t>
  </si>
  <si>
    <t>12.415”</t>
  </si>
  <si>
    <t>68lb/ft   L80</t>
  </si>
  <si>
    <t>the higher the horizatal displacement the shorter the total md</t>
  </si>
  <si>
    <t>L80</t>
  </si>
  <si>
    <t>we cannot put the KOP near to the reservoir</t>
  </si>
  <si>
    <t>Production casing</t>
  </si>
  <si>
    <t>9 5/8”</t>
  </si>
  <si>
    <t>8.681”</t>
  </si>
  <si>
    <t>47 lb/ft     L80</t>
  </si>
  <si>
    <t>lower  KOP requires higher BUR</t>
  </si>
  <si>
    <t xml:space="preserve">for the KOP, it has to be deep enough to avaid unconsolidated formations but shallow to create a smooth build. </t>
  </si>
  <si>
    <t>the trajectory of a deviated well must be carefully planned so that the most efficient</t>
  </si>
  <si>
    <t>trajectory is used to drill between the rig and the target location and ensure that the well</t>
  </si>
  <si>
    <t>is drilled for the least amount of money possible</t>
  </si>
  <si>
    <t>The depths of the formations to be penetrated are generally referenced, by the geologists</t>
  </si>
  <si>
    <t>and reservoir engineers,</t>
  </si>
  <si>
    <t>this well is going to be not economical becase of the foe is low and with a horizontal well, we are uncertain of the thickness of the shale lkayers in the permebale sands thus coulld not simulate the horizontal well</t>
  </si>
  <si>
    <t xml:space="preserve">challenging well design. </t>
  </si>
  <si>
    <t>survey tool</t>
  </si>
  <si>
    <t>remraks</t>
  </si>
  <si>
    <t>26" surface casing hole</t>
  </si>
  <si>
    <t>12 1/4"</t>
  </si>
  <si>
    <t>8 1/2"</t>
  </si>
  <si>
    <t>   9000 FT</t>
  </si>
  <si>
    <t>   3300 FT</t>
  </si>
  <si>
    <t>  3116 FT</t>
  </si>
  <si>
    <t>  2.5</t>
  </si>
  <si>
    <t>  2293 FT</t>
  </si>
  <si>
    <t>   31</t>
  </si>
  <si>
    <t xml:space="preserve">  1267 FT</t>
  </si>
  <si>
    <t>  1204 FT</t>
  </si>
  <si>
    <t>TVD AFTER KOP</t>
  </si>
  <si>
    <t xml:space="preserve">5700FT </t>
  </si>
  <si>
    <t xml:space="preserve">  342 FT</t>
  </si>
  <si>
    <t xml:space="preserve"> @ END BU</t>
  </si>
  <si>
    <t>ALONG HOLE DEPTH (md)</t>
  </si>
  <si>
    <t>9850 FT</t>
  </si>
  <si>
    <t>r</t>
  </si>
  <si>
    <t>yyy</t>
  </si>
  <si>
    <r>
      <t xml:space="preserve">    class G</t>
    </r>
    <r>
      <rPr>
        <sz val="11"/>
        <color theme="1"/>
        <rFont val="Calibri"/>
        <family val="2"/>
        <scheme val="minor"/>
      </rPr>
      <t xml:space="preserve"> FOR ALL HOLE SECTIONS</t>
    </r>
  </si>
  <si>
    <t>15.8@ stage 1</t>
  </si>
  <si>
    <t>Two stage cementing</t>
  </si>
  <si>
    <t xml:space="preserve">11.2 @ stage 2 </t>
  </si>
  <si>
    <t xml:space="preserve">                      fluid loss (organic polymer 1.2 %)</t>
  </si>
  <si>
    <t>13.2 lead slurry</t>
  </si>
  <si>
    <t xml:space="preserve">Single stage cementing. </t>
  </si>
  <si>
    <t>15.8 tail slurry</t>
  </si>
  <si>
    <t>(dual slurry )</t>
  </si>
  <si>
    <t>15.8ppg</t>
  </si>
  <si>
    <t>Single stage cementing</t>
  </si>
  <si>
    <t>15.8 ppg</t>
  </si>
  <si>
    <t>SURFACE @20"</t>
  </si>
  <si>
    <t>133ibm/ft - L80</t>
  </si>
  <si>
    <t>Results</t>
  </si>
  <si>
    <t>CASING PARAMETERS</t>
  </si>
  <si>
    <t>S/N</t>
  </si>
  <si>
    <t>Casing Description</t>
  </si>
  <si>
    <t>Hole Size</t>
  </si>
  <si>
    <t>Capacity</t>
  </si>
  <si>
    <t>Burst</t>
  </si>
  <si>
    <t>Collapse</t>
  </si>
  <si>
    <t>Casing shoe
Depth MD(ft)</t>
  </si>
  <si>
    <t xml:space="preserve">Hole Depth TVD (ft) </t>
  </si>
  <si>
    <t>30'' API 5L X56 Conductor</t>
  </si>
  <si>
    <t>30''</t>
  </si>
  <si>
    <t>20'' 133# K55 (API thread connection)</t>
  </si>
  <si>
    <t>26''</t>
  </si>
  <si>
    <t>13-3/8'' 68# K55 (API thread connection)</t>
  </si>
  <si>
    <t>17-1/2''</t>
  </si>
  <si>
    <t>9-5/8'' 47# N-80(Premium connection) R3</t>
  </si>
  <si>
    <t>12-1/4''</t>
  </si>
  <si>
    <t>20'' CASING CEMENT CALCULATION</t>
  </si>
  <si>
    <t>Fracture Pressure Check to ascertain if casing shoe will fracture due to hydrostatiuc pressure of cement and mud</t>
  </si>
  <si>
    <t>Hole Depth TVD</t>
  </si>
  <si>
    <t>ft</t>
  </si>
  <si>
    <t>Lead Slurry to Surface</t>
  </si>
  <si>
    <r>
      <rPr>
        <b/>
        <sz val="11"/>
        <color theme="1"/>
        <rFont val="Calibri"/>
        <family val="2"/>
        <scheme val="minor"/>
      </rPr>
      <t>Total height of cement column</t>
    </r>
    <r>
      <rPr>
        <sz val="11"/>
        <color theme="1"/>
        <rFont val="Calibri"/>
        <family val="2"/>
        <scheme val="minor"/>
      </rPr>
      <t xml:space="preserve">
Hole depth to ToC MD (ft) </t>
    </r>
  </si>
  <si>
    <t>Previous Casing Shoe</t>
  </si>
  <si>
    <t>20'' hole depth to 30'' shoe MD (ft)</t>
  </si>
  <si>
    <r>
      <rPr>
        <b/>
        <sz val="11"/>
        <color theme="1"/>
        <rFont val="Calibri"/>
        <family val="2"/>
        <scheme val="minor"/>
      </rPr>
      <t>13.2ppg Lead</t>
    </r>
    <r>
      <rPr>
        <sz val="11"/>
        <color theme="1"/>
        <rFont val="Calibri"/>
        <family val="2"/>
        <scheme val="minor"/>
      </rPr>
      <t xml:space="preserve"> Slurry height (ft)</t>
    </r>
  </si>
  <si>
    <t>psi</t>
  </si>
  <si>
    <t>Fracture pressure from EATON @ 3600ft</t>
  </si>
  <si>
    <t>Cement</t>
  </si>
  <si>
    <t>15.8ppg to Surface</t>
  </si>
  <si>
    <t>13.2ppg to Surface</t>
  </si>
  <si>
    <t xml:space="preserve">Mud </t>
  </si>
  <si>
    <t>20''</t>
  </si>
  <si>
    <t>Combined Hydrostatic Pressure</t>
  </si>
  <si>
    <t>SINGLE stage Cement slurry</t>
  </si>
  <si>
    <t>CEMENT VOLUMES</t>
  </si>
  <si>
    <t>Cement Properties (Class G)</t>
  </si>
  <si>
    <t>Description</t>
  </si>
  <si>
    <t>Length</t>
  </si>
  <si>
    <t>Capacities</t>
  </si>
  <si>
    <t>Volume</t>
  </si>
  <si>
    <t>Cement Yield (13.2ppg)</t>
  </si>
  <si>
    <r>
      <t>ft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/Sks</t>
    </r>
  </si>
  <si>
    <t>Rat hole (10ft)
 with 100% Excess</t>
  </si>
  <si>
    <t>Mixed Water</t>
  </si>
  <si>
    <t>20'' Shoe track</t>
  </si>
  <si>
    <t>Additive</t>
  </si>
  <si>
    <t>0.2% D13 R (Retarder)</t>
  </si>
  <si>
    <t>Ibs</t>
  </si>
  <si>
    <t>accelerator</t>
  </si>
  <si>
    <t>26'' OH x 20'' Casing with 100 % excess</t>
  </si>
  <si>
    <t>Using 13.2ppg Slurry</t>
  </si>
  <si>
    <t>30'' X 20'' Casing</t>
  </si>
  <si>
    <t>No of sacks</t>
  </si>
  <si>
    <t>Sks</t>
  </si>
  <si>
    <t>Total Cmt Slurry Vol (bbl)</t>
  </si>
  <si>
    <t>bbl</t>
  </si>
  <si>
    <r>
      <t>Total Cmt Slurry Vol (ft</t>
    </r>
    <r>
      <rPr>
        <b/>
        <vertAlign val="superscript"/>
        <sz val="11"/>
        <color theme="0"/>
        <rFont val="Calibri"/>
        <family val="2"/>
        <scheme val="minor"/>
      </rPr>
      <t>3</t>
    </r>
    <r>
      <rPr>
        <b/>
        <sz val="11"/>
        <color theme="0"/>
        <rFont val="Calibri"/>
        <family val="2"/>
        <scheme val="minor"/>
      </rPr>
      <t>)</t>
    </r>
  </si>
  <si>
    <t>Amount of 
Additives</t>
  </si>
  <si>
    <t>13-3/8'' CASING CEMENT CALCULATION</t>
  </si>
  <si>
    <t>Fracture Pressure Check to ascertain if casing shoe will fracture due to hydrostatic pressure of cement and mud</t>
  </si>
  <si>
    <t xml:space="preserve">ToC  Lead Slurry 200ft above 
previous casing shoe MD (ft) </t>
  </si>
  <si>
    <t xml:space="preserve">Total height of cement column
Hole depth to ToC MD (ft) </t>
  </si>
  <si>
    <t>17.5'' hole depth to 20'' shoe MD (ft)</t>
  </si>
  <si>
    <t>Tail Slurry height (ft)</t>
  </si>
  <si>
    <t>Top of Tail Slurry (ft)</t>
  </si>
  <si>
    <t>Lead Slurry height (ft)</t>
  </si>
  <si>
    <t>13.375''</t>
  </si>
  <si>
    <t>13.2ppg</t>
  </si>
  <si>
    <t>Mud</t>
  </si>
  <si>
    <t xml:space="preserve">Dual Cement Slurry. 500ft of tail slurry </t>
  </si>
  <si>
    <t>TOTAL HYDRASTATIC PRESSURE</t>
  </si>
  <si>
    <t>Cement Yield 13.2ppg</t>
  </si>
  <si>
    <r>
      <t>ft</t>
    </r>
    <r>
      <rPr>
        <vertAlign val="super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/sks</t>
    </r>
  </si>
  <si>
    <t>Total Tail Slurry (bbl)</t>
  </si>
  <si>
    <r>
      <t>Total Tail Slurry (ft</t>
    </r>
    <r>
      <rPr>
        <b/>
        <vertAlign val="superscript"/>
        <sz val="12"/>
        <color theme="0"/>
        <rFont val="Times New Roman"/>
        <family val="1"/>
      </rPr>
      <t>3</t>
    </r>
    <r>
      <rPr>
        <b/>
        <sz val="12"/>
        <color theme="0"/>
        <rFont val="Times New Roman"/>
        <family val="1"/>
      </rPr>
      <t>)</t>
    </r>
  </si>
  <si>
    <t>Total Lead Slurry</t>
  </si>
  <si>
    <t>Using 15.8ppg Slurry</t>
  </si>
  <si>
    <t>Total Lead Slurry  (ft3)</t>
  </si>
  <si>
    <t>Total Cement Slurry Volume (bbl)</t>
  </si>
  <si>
    <r>
      <t>Total Cement Slurry Volume (ft</t>
    </r>
    <r>
      <rPr>
        <vertAlign val="super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)</t>
    </r>
  </si>
  <si>
    <t>9-5/8'' CASING CEMENT CALCULATION</t>
  </si>
  <si>
    <t xml:space="preserve">Dual Slurry Cement with tail slurry 500ft above 
shallowest HC. Shallowest HC @ 10252ft. </t>
  </si>
  <si>
    <t xml:space="preserve">ToC  Tail Slurry 250ft above 
previous casing shoe TVD (ft) </t>
  </si>
  <si>
    <t xml:space="preserve">Total height of cement column
Hole depth to ToC TVD (ft) </t>
  </si>
  <si>
    <t>9.625''hole to 13.375''shoe MD(ft)</t>
  </si>
  <si>
    <t>Fracture pressure   @7700ft</t>
  </si>
  <si>
    <t>9.625''</t>
  </si>
  <si>
    <t>Mud (ppg)</t>
  </si>
  <si>
    <t>TOTAL HYDRAOSTAIC PRESSURE</t>
  </si>
  <si>
    <t xml:space="preserve"> CEMENT PROPERTIES (CLASS G)</t>
  </si>
  <si>
    <t>Slurry volume 9.625'' Shoe track  (ft)</t>
  </si>
  <si>
    <t>Total Cement Slurry Volume (ft3)</t>
  </si>
  <si>
    <t>nj</t>
  </si>
  <si>
    <t>0  -   500ft</t>
  </si>
  <si>
    <t>KCL</t>
  </si>
  <si>
    <t>BARITE</t>
  </si>
  <si>
    <t>BENTONITE</t>
  </si>
  <si>
    <t xml:space="preserve">   RISK</t>
  </si>
  <si>
    <t xml:space="preserve">QUANTITATIVE </t>
  </si>
  <si>
    <t>ASSESSMENT</t>
  </si>
  <si>
    <t>EFFECT</t>
  </si>
  <si>
    <t>MITIGATION PLAN</t>
  </si>
  <si>
    <t xml:space="preserve">PROBABILITY </t>
  </si>
  <si>
    <t>IMPACT</t>
  </si>
  <si>
    <t xml:space="preserve">Clay swelling </t>
  </si>
  <si>
    <t>High</t>
  </si>
  <si>
    <t>medium</t>
  </si>
  <si>
    <t xml:space="preserve">well bore instability. </t>
  </si>
  <si>
    <t>use clay swelling inhibitors. (KCL)</t>
  </si>
  <si>
    <t xml:space="preserve">use using oil-based mud </t>
  </si>
  <si>
    <t xml:space="preserve"> Influx</t>
  </si>
  <si>
    <t>high</t>
  </si>
  <si>
    <t>very high</t>
  </si>
  <si>
    <t xml:space="preserve">Blow-out </t>
  </si>
  <si>
    <t>install BOP , kill the well (drillers method)</t>
  </si>
  <si>
    <t>loss of circulation in weak formations</t>
  </si>
  <si>
    <t xml:space="preserve"> medium</t>
  </si>
  <si>
    <t>lost circulation</t>
  </si>
  <si>
    <t xml:space="preserve">Pump LCM , reduce mud-weight so that hydratatic </t>
  </si>
  <si>
    <t>of mud is lower than the fracture pressure</t>
  </si>
  <si>
    <t>static chip hold down effect</t>
  </si>
  <si>
    <t xml:space="preserve">   medium</t>
  </si>
  <si>
    <t xml:space="preserve">low penetration rates </t>
  </si>
  <si>
    <t xml:space="preserve">control the mud-weight and pump rate. </t>
  </si>
  <si>
    <t>2 hyraulically operated chokes</t>
  </si>
  <si>
    <t>due to poor cleaning of bit</t>
  </si>
  <si>
    <t>shallow gas (analogue fields)</t>
  </si>
  <si>
    <t>stuck pipe / differential sticking</t>
  </si>
  <si>
    <t xml:space="preserve">poor cleaning of bit face. </t>
  </si>
  <si>
    <t>increase the pump rate, increase the mud weight</t>
  </si>
  <si>
    <t xml:space="preserve">reduction in the ROP. </t>
  </si>
  <si>
    <t xml:space="preserve">swabbing </t>
  </si>
  <si>
    <t xml:space="preserve">influx caused the piston </t>
  </si>
  <si>
    <t>pull out of hole in a slow and controlled manner</t>
  </si>
  <si>
    <t>effect of BHA when tripping</t>
  </si>
  <si>
    <t>shut in weeel, install BOP, kill the well(driller's method)</t>
  </si>
  <si>
    <t>SETTING DEPTH (FT)</t>
  </si>
  <si>
    <t>7'' 26# N-80 Liner (Premium connection) R3</t>
  </si>
  <si>
    <t>8-1/2''</t>
  </si>
  <si>
    <t>Fracture pressure from EATON @2810ft</t>
  </si>
  <si>
    <t>11.2ppg to Surface</t>
  </si>
  <si>
    <r>
      <t xml:space="preserve">Top of </t>
    </r>
    <r>
      <rPr>
        <b/>
        <sz val="11"/>
        <color theme="1"/>
        <rFont val="Calibri"/>
        <family val="2"/>
        <scheme val="minor"/>
      </rPr>
      <t>Tail</t>
    </r>
    <r>
      <rPr>
        <sz val="11"/>
        <color theme="1"/>
        <rFont val="Calibri"/>
        <family val="2"/>
        <scheme val="minor"/>
      </rPr>
      <t xml:space="preserve"> Slurry (ft)</t>
    </r>
  </si>
  <si>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Slurry height (ft)</t>
    </r>
  </si>
  <si>
    <t>Fracture pressure from EATON @ 4100ft</t>
  </si>
  <si>
    <r>
      <rPr>
        <b/>
        <sz val="11"/>
        <color theme="1"/>
        <rFont val="Calibri"/>
        <family val="2"/>
        <scheme val="minor"/>
      </rPr>
      <t xml:space="preserve">Tail </t>
    </r>
    <r>
      <rPr>
        <sz val="11"/>
        <color theme="1"/>
        <rFont val="Calibri"/>
        <family val="2"/>
        <scheme val="minor"/>
      </rPr>
      <t>Slurry Rat hole (10ft)
 with 100% Excess</t>
    </r>
  </si>
  <si>
    <r>
      <rPr>
        <b/>
        <sz val="11"/>
        <color theme="1"/>
        <rFont val="Calibri"/>
        <family val="2"/>
        <scheme val="minor"/>
      </rPr>
      <t>Tail</t>
    </r>
    <r>
      <rPr>
        <sz val="11"/>
        <color theme="1"/>
        <rFont val="Calibri"/>
        <family val="2"/>
        <scheme val="minor"/>
      </rPr>
      <t xml:space="preserve"> Slurry 13.375'' Shoe track</t>
    </r>
  </si>
  <si>
    <r>
      <rPr>
        <b/>
        <sz val="11"/>
        <color theme="1"/>
        <rFont val="Calibri"/>
        <family val="2"/>
        <scheme val="minor"/>
      </rPr>
      <t xml:space="preserve">Tail Slurry OH  </t>
    </r>
    <r>
      <rPr>
        <sz val="11"/>
        <color theme="1"/>
        <rFont val="Calibri"/>
        <family val="2"/>
        <scheme val="minor"/>
      </rPr>
      <t>(17.5'' OH x 13.375'' Casing with 100 % excess)</t>
    </r>
  </si>
  <si>
    <r>
      <t>Total Tail Slurry (ft</t>
    </r>
    <r>
      <rPr>
        <b/>
        <vertAlign val="superscript"/>
        <sz val="11"/>
        <color theme="0"/>
        <rFont val="Calibri"/>
        <family val="2"/>
        <scheme val="minor"/>
      </rPr>
      <t>3</t>
    </r>
    <r>
      <rPr>
        <b/>
        <sz val="11"/>
        <color theme="0"/>
        <rFont val="Calibri"/>
        <family val="2"/>
        <scheme val="minor"/>
      </rPr>
      <t>)</t>
    </r>
  </si>
  <si>
    <r>
      <rPr>
        <b/>
        <sz val="11"/>
        <color theme="1"/>
        <rFont val="Calibri"/>
        <family val="2"/>
        <scheme val="minor"/>
      </rPr>
      <t>Lead Slurry OH (</t>
    </r>
    <r>
      <rPr>
        <sz val="11"/>
        <color theme="1"/>
        <rFont val="Calibri"/>
        <family val="2"/>
        <scheme val="minor"/>
      </rPr>
      <t>17.5'' OH x 13.375'' Casing with 100 % excess)</t>
    </r>
  </si>
  <si>
    <r>
      <rPr>
        <b/>
        <sz val="11"/>
        <color theme="1"/>
        <rFont val="Calibri"/>
        <family val="2"/>
        <scheme val="minor"/>
      </rPr>
      <t xml:space="preserve">Lead Slurry Cased hole  
</t>
    </r>
    <r>
      <rPr>
        <sz val="11"/>
        <color theme="1"/>
        <rFont val="Calibri"/>
        <family val="2"/>
        <scheme val="minor"/>
      </rPr>
      <t>20'' X 13.375'' Casing</t>
    </r>
  </si>
  <si>
    <r>
      <t>Total Cmt Slurry Vol (ft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</si>
  <si>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 xml:space="preserve">ToC  Lead Slurry 200ft above 
previous casing shoe TVD (ft) </t>
  </si>
  <si>
    <r>
      <rPr>
        <b/>
        <sz val="11"/>
        <rFont val="Calibri"/>
        <family val="2"/>
        <scheme val="minor"/>
      </rPr>
      <t>Total height of cement column</t>
    </r>
    <r>
      <rPr>
        <sz val="11"/>
        <rFont val="Calibri"/>
        <family val="2"/>
        <scheme val="minor"/>
      </rPr>
      <t xml:space="preserve">
Hole depth to ToC TVD (ft) </t>
    </r>
  </si>
  <si>
    <t>Fracture pressure from EATON @ 7700ft</t>
  </si>
  <si>
    <r>
      <rPr>
        <b/>
        <sz val="11"/>
        <color theme="1"/>
        <rFont val="Calibri"/>
        <family val="2"/>
        <scheme val="minor"/>
      </rPr>
      <t xml:space="preserve">Tail </t>
    </r>
    <r>
      <rPr>
        <sz val="11"/>
        <color theme="1"/>
        <rFont val="Calibri"/>
        <family val="2"/>
        <scheme val="minor"/>
      </rPr>
      <t>Slurryin Rat hole of 10ft
 with 100% Excess MD (ft)</t>
    </r>
  </si>
  <si>
    <r>
      <rPr>
        <b/>
        <sz val="11"/>
        <color theme="1"/>
        <rFont val="Calibri"/>
        <family val="2"/>
        <scheme val="minor"/>
      </rPr>
      <t>Tail</t>
    </r>
    <r>
      <rPr>
        <sz val="11"/>
        <color theme="1"/>
        <rFont val="Calibri"/>
        <family val="2"/>
        <scheme val="minor"/>
      </rPr>
      <t xml:space="preserve"> Slurry 9.625'' Shoe track MD (ft)</t>
    </r>
  </si>
  <si>
    <r>
      <rPr>
        <b/>
        <sz val="11"/>
        <color theme="1"/>
        <rFont val="Calibri"/>
        <family val="2"/>
        <scheme val="minor"/>
      </rPr>
      <t xml:space="preserve">Tail Slurry OH  </t>
    </r>
    <r>
      <rPr>
        <sz val="11"/>
        <color theme="1"/>
        <rFont val="Calibri"/>
        <family val="2"/>
        <scheme val="minor"/>
      </rPr>
      <t>(12.25'' OH x 9.625'' Casing with 100 % excess)</t>
    </r>
  </si>
  <si>
    <t>Total Tail Slurry (ft3)</t>
  </si>
  <si>
    <r>
      <rPr>
        <b/>
        <sz val="11"/>
        <color theme="1"/>
        <rFont val="Calibri"/>
        <family val="2"/>
        <scheme val="minor"/>
      </rPr>
      <t>Lead Slurry OH (</t>
    </r>
    <r>
      <rPr>
        <sz val="11"/>
        <color theme="1"/>
        <rFont val="Calibri"/>
        <family val="2"/>
        <scheme val="minor"/>
      </rPr>
      <t>12.25'' OH x 9.625'' Casing with 100 % excess)</t>
    </r>
  </si>
  <si>
    <r>
      <rPr>
        <b/>
        <sz val="11"/>
        <color theme="1"/>
        <rFont val="Calibri"/>
        <family val="2"/>
        <scheme val="minor"/>
      </rPr>
      <t xml:space="preserve">Lead Slurry Cased Hole
</t>
    </r>
    <r>
      <rPr>
        <sz val="11"/>
        <color theme="1"/>
        <rFont val="Calibri"/>
        <family val="2"/>
        <scheme val="minor"/>
      </rPr>
      <t>13.375'' x 9.625'' Casing</t>
    </r>
  </si>
  <si>
    <t>7'' CASING CEMENT CALCULATION</t>
  </si>
  <si>
    <t xml:space="preserve">ToC  Lead Slurry 199ft above 
previous casing shoe MD (ft) </t>
  </si>
  <si>
    <t>8.5''hole to 9.625''shoe MD(ft)</t>
  </si>
  <si>
    <t>Tail Slurry Depth MD (ft)</t>
  </si>
  <si>
    <t>Height of Cemnt Slurry Column</t>
  </si>
  <si>
    <t>Fracture pressure @ 9000FT</t>
  </si>
  <si>
    <t>TOTAL HYDROSTATIC PRESSURE</t>
  </si>
  <si>
    <t>7'' Liner</t>
  </si>
  <si>
    <t>Single 15.8ppg cement Slurry</t>
  </si>
  <si>
    <t>slurry volumes</t>
  </si>
  <si>
    <t>Slurry volume in Rat hole of 10ft
 with 100% Excess (ft)</t>
  </si>
  <si>
    <t>Slurry volume  9.625'' Shoe track (ft)</t>
  </si>
  <si>
    <t>Slurry volume H  (9.625'' OH x 7'' Casing with 100 % excess) (ft)</t>
  </si>
  <si>
    <t>Slurry volume Hole (8.5'' OH x 7'' Casing with 100 % excess) MD(ft)</t>
  </si>
  <si>
    <t>Total Slurry volume  (bbl)</t>
  </si>
  <si>
    <t>Total Slurry volume  (ft3)</t>
  </si>
  <si>
    <t xml:space="preserve">   346ft3</t>
  </si>
  <si>
    <t xml:space="preserve">Internal load. </t>
  </si>
  <si>
    <t>COLLAPSE LOAD Pb = ( Pe -Pi ) ASSUMPTIONS ( THE CASING IS EMPTY DUE TO LOSS OF CIRCULATION)</t>
  </si>
  <si>
    <t>1534.26 &lt; 1772.16 psi</t>
  </si>
  <si>
    <t>Fracture pressure at casing shoe</t>
  </si>
  <si>
    <t>formation will not break at the pressure</t>
  </si>
  <si>
    <t>applied at the casing shoe</t>
  </si>
  <si>
    <t>2608.72 psi &lt; 2828.28 psi</t>
  </si>
  <si>
    <t>fracture pressure at he casing shoe</t>
  </si>
  <si>
    <t>BURST LOAD. Pb= (Pi -Pe) assumptions, ( influx occurred, well is shut in , gas is filled in annulus)</t>
  </si>
  <si>
    <t>external  load assumptions ( surface pressure is zero, formation pressure acting on casing shoe</t>
  </si>
  <si>
    <t>external  load (assumptions ( surface pressure is zero, formation pressure acting on casing shoe)</t>
  </si>
  <si>
    <t>setting depth(ft) production liner (ft)</t>
  </si>
  <si>
    <t>TOP OF 7" liner (ft)</t>
  </si>
  <si>
    <t>top-depth of perforation interval (ft)</t>
  </si>
  <si>
    <t>pressure at top of perforations (ppg)</t>
  </si>
  <si>
    <t>PRESSURE ABOVE PROD Csh (ppg)</t>
  </si>
  <si>
    <t>packer fluid density(ppg)</t>
  </si>
  <si>
    <t>internal load. assumptions, ( influx occurred, well is shut in , gas is filled in annulus)</t>
  </si>
  <si>
    <t xml:space="preserve">BURST LOAD. Pb= (Pi -Pe) </t>
  </si>
  <si>
    <t>internal load (ASSUMPTIONS ( THE CASING IS EMPTY DUE TO LOSS OF CIRCULATION)</t>
  </si>
  <si>
    <t xml:space="preserve">COLLAPSE LOAD Pb = ( Pe -Pi ) </t>
  </si>
  <si>
    <t>external load (casing is completely unfilled)</t>
  </si>
  <si>
    <t>Internal load  assumptions (  the casing is empty due to loss of circulation</t>
  </si>
  <si>
    <t>external load  (assumption : the pore pressure is acting at the casing shoe, with zero surface pressure)</t>
  </si>
  <si>
    <t>full in wellbore, annulus if filled with packer fluid, CITHP  is acting on top of casing</t>
  </si>
  <si>
    <t xml:space="preserve">internal load. (assumptions ( leak at the tubing hanger ,gas influx </t>
  </si>
  <si>
    <t>external  load assumptions: ( pore pressure acting at liner depth with zero surface pressure)</t>
  </si>
  <si>
    <t>PRESSURE AT BOTTOM OF  9 5/8 Csh</t>
  </si>
  <si>
    <t>Pres btm@ prod Csh</t>
  </si>
  <si>
    <t>SUMMARY TABLE OF THE BURST LOAD FOR PRODUCTION LINER</t>
  </si>
  <si>
    <t>fracture presure @20" casing shoe (PPG)</t>
  </si>
  <si>
    <t>internal load assumptions : (The casing is empty due to lost circulation)</t>
  </si>
  <si>
    <t>external load: zero surface pressure, pore pressure is acting at liner shoe</t>
  </si>
  <si>
    <t>internal load. assumptions ( well is shut in , leak on the tubing hanger ,gas influx full in well , annulus if filled with packer fluid</t>
  </si>
  <si>
    <t xml:space="preserve">external  load : assumptions casing is fully evacuated. Zero pressure at surface. </t>
  </si>
  <si>
    <t xml:space="preserve">production casing setting depth(ft) </t>
  </si>
  <si>
    <t>top of perforation interval</t>
  </si>
  <si>
    <t>pressure at top of perforations(ppg)</t>
  </si>
  <si>
    <t>pressure above 9 5/8" Csh</t>
  </si>
  <si>
    <t>packer-depth(ft)</t>
  </si>
  <si>
    <t>Design factors</t>
  </si>
  <si>
    <t>PRODUCTION CASING CALCULATIONS</t>
  </si>
  <si>
    <t>internal load( assumptions : The casing is empty due to lost circulation )</t>
  </si>
  <si>
    <t>external load Assumption: zero pressure at the surface. Maximum pore pressure</t>
  </si>
  <si>
    <t xml:space="preserve">acting on the top of the liner outside casing. </t>
  </si>
  <si>
    <t>133ibm/ft  - K-55</t>
  </si>
  <si>
    <t>Fracture pressure @ 3700ft</t>
  </si>
  <si>
    <t xml:space="preserve">HYDRASTATIC PRESSURE </t>
  </si>
  <si>
    <t xml:space="preserve">TVD  10985FT </t>
  </si>
  <si>
    <t>TOP (6200 FT)</t>
  </si>
  <si>
    <t xml:space="preserve">FRACTURE PRESSURE </t>
  </si>
  <si>
    <t xml:space="preserve"> fracture pressure 9085 psi &gt; 5093.92</t>
  </si>
  <si>
    <t xml:space="preserve"> Rat hole (10ft) volume
 with 100% Excess</t>
  </si>
  <si>
    <t>Shoe track volume</t>
  </si>
  <si>
    <t>Slurry volume annulus between   
20'' X 13.375'' Casing</t>
  </si>
  <si>
    <t>Slurry volume annulus (17.5'  OH x 13.375'' Casing with 100 % excess)</t>
  </si>
  <si>
    <t>Cement Yield 15.8ppg</t>
  </si>
  <si>
    <t>displacement volume</t>
  </si>
  <si>
    <t>bbls</t>
  </si>
  <si>
    <t>cement slury 15.8ppg</t>
  </si>
  <si>
    <t>requirements</t>
  </si>
  <si>
    <r>
      <t>ft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/sks</t>
    </r>
  </si>
  <si>
    <r>
      <t xml:space="preserve">Slurry volume 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(8.25''Hole x 7'' Casing) with 100 % excess)</t>
    </r>
  </si>
  <si>
    <r>
      <t>Slurry volume annulus</t>
    </r>
    <r>
      <rPr>
        <b/>
        <sz val="12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9.625'' x 7" Casing</t>
    </r>
  </si>
  <si>
    <t>Slurry volume in Rat hole
 with 10% Excess  (ft)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</si>
</sst>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0.0000"/>
    <numFmt numFmtId="165" formatCode="0.0"/>
    <numFmt numFmtId="166" formatCode="0.000"/>
    <numFmt numFmtId="167" formatCode="0&quot;ft³&quot;"/>
    <numFmt numFmtId="168" formatCode="0&quot;bbl&quot;"/>
    <numFmt numFmtId="169" formatCode="0.0&quot;bbl&quot;"/>
    <numFmt numFmtId="170" formatCode="0.0000&quot;bbl/ft&quot;"/>
    <numFmt numFmtId="171" formatCode="#,##0\f\t"/>
    <numFmt numFmtId="172" formatCode="0.00&quot;bbl&quot;"/>
    <numFmt numFmtId="173" formatCode="0.00&quot;ft³/Sks&quot;"/>
    <numFmt numFmtId="174" formatCode="0&quot;psi&quot;"/>
    <numFmt numFmtId="175" formatCode="0.00&quot;psi&quot;"/>
    <numFmt numFmtId="176" formatCode="0.00&quot;ft³&quot;"/>
    <numFmt numFmtId="177" formatCode="0.0&quot;ft³&quot;"/>
    <numFmt numFmtId="178" formatCode="0.000&quot;bbl/ft&quot;"/>
    <numFmt numFmtId="179" formatCode="0&quot; Ibs&quot;"/>
    <numFmt numFmtId="180" formatCode="0&quot; Sks&quot;"/>
  </numFmts>
  <fonts count="8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ptos Narrow"/>
      <family val="2"/>
    </font>
    <font>
      <b/>
      <i/>
      <sz val="11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 tint="4.9989318521683403E-2"/>
      <name val="Aptos"/>
      <family val="2"/>
    </font>
    <font>
      <sz val="11"/>
      <color theme="1" tint="4.9989318521683403E-2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2"/>
      <color theme="1" tint="4.9989318521683403E-2"/>
      <name val="Calibri"/>
      <family val="2"/>
    </font>
    <font>
      <b/>
      <sz val="11"/>
      <color theme="1" tint="4.9989318521683403E-2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000000"/>
      <name val="Calibri"/>
      <family val="2"/>
    </font>
    <font>
      <sz val="18"/>
      <name val="Arial"/>
      <family val="2"/>
    </font>
    <font>
      <b/>
      <sz val="14"/>
      <color rgb="FFFFFFFF"/>
      <name val="Calibri"/>
      <family val="2"/>
    </font>
    <font>
      <sz val="7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Microsoft Sans Serif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vertAlign val="superscript"/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  <font>
      <b/>
      <vertAlign val="superscript"/>
      <sz val="12"/>
      <color theme="0"/>
      <name val="Times New Roman"/>
      <family val="1"/>
    </font>
    <font>
      <b/>
      <i/>
      <sz val="12"/>
      <color theme="1"/>
      <name val="Times New Roman"/>
      <family val="1"/>
    </font>
    <font>
      <i/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12"/>
      <color theme="1"/>
      <name val="Arial Narrow"/>
      <family val="2"/>
    </font>
    <font>
      <sz val="14"/>
      <color theme="1"/>
      <name val="Arial Narrow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Narrow"/>
      <family val="2"/>
    </font>
    <font>
      <b/>
      <sz val="18"/>
      <color theme="1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rgb="FF000000"/>
      <name val="Arial Narrow"/>
      <family val="2"/>
    </font>
    <font>
      <b/>
      <sz val="14"/>
      <color rgb="FF000000"/>
      <name val="Arial Narrow"/>
      <family val="2"/>
    </font>
    <font>
      <b/>
      <sz val="12"/>
      <color theme="1"/>
      <name val="Arial Narrow"/>
      <family val="2"/>
    </font>
    <font>
      <sz val="12"/>
      <color rgb="FF000000"/>
      <name val="Arial Narrow"/>
      <family val="2"/>
    </font>
    <font>
      <sz val="11"/>
      <color theme="0"/>
      <name val="Arial Narrow"/>
      <family val="2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0"/>
      <name val="Times New Roman"/>
      <family val="1"/>
    </font>
    <font>
      <sz val="20"/>
      <color rgb="FF7030A0"/>
      <name val="Times New Roman"/>
      <family val="1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27595B"/>
        <bgColor indexed="64"/>
      </patternFill>
    </fill>
    <fill>
      <patternFill patternType="solid">
        <fgColor theme="5" tint="-0.499984740745262"/>
        <bgColor indexed="64"/>
      </patternFill>
    </fill>
  </fills>
  <borders count="7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B2B2B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B2B2B2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7F7F7F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6">
    <xf numFmtId="0" fontId="0" fillId="0" borderId="0"/>
    <xf numFmtId="0" fontId="3" fillId="19" borderId="0" applyNumberFormat="0" applyBorder="0" applyAlignment="0" applyProtection="0"/>
    <xf numFmtId="0" fontId="4" fillId="20" borderId="20" applyNumberFormat="0" applyAlignment="0" applyProtection="0"/>
    <xf numFmtId="0" fontId="2" fillId="21" borderId="21" applyNumberFormat="0" applyFont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</cellStyleXfs>
  <cellXfs count="770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1" fillId="4" borderId="0" xfId="0" applyFont="1" applyFill="1"/>
    <xf numFmtId="0" fontId="1" fillId="3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0" fillId="0" borderId="6" xfId="0" applyBorder="1"/>
    <xf numFmtId="164" fontId="0" fillId="0" borderId="6" xfId="0" applyNumberFormat="1" applyBorder="1"/>
    <xf numFmtId="0" fontId="1" fillId="9" borderId="0" xfId="0" applyFont="1" applyFill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11" borderId="10" xfId="0" applyFill="1" applyBorder="1"/>
    <xf numFmtId="0" fontId="0" fillId="11" borderId="12" xfId="0" applyFill="1" applyBorder="1"/>
    <xf numFmtId="0" fontId="0" fillId="11" borderId="13" xfId="0" applyFill="1" applyBorder="1"/>
    <xf numFmtId="0" fontId="1" fillId="0" borderId="7" xfId="0" applyFont="1" applyBorder="1"/>
    <xf numFmtId="0" fontId="0" fillId="13" borderId="0" xfId="0" applyFill="1"/>
    <xf numFmtId="0" fontId="0" fillId="14" borderId="0" xfId="0" applyFill="1"/>
    <xf numFmtId="0" fontId="0" fillId="0" borderId="18" xfId="0" applyBorder="1"/>
    <xf numFmtId="0" fontId="0" fillId="0" borderId="19" xfId="0" applyBorder="1"/>
    <xf numFmtId="165" fontId="0" fillId="0" borderId="0" xfId="0" applyNumberFormat="1"/>
    <xf numFmtId="165" fontId="0" fillId="8" borderId="0" xfId="0" applyNumberFormat="1" applyFill="1"/>
    <xf numFmtId="166" fontId="0" fillId="0" borderId="0" xfId="0" applyNumberFormat="1"/>
    <xf numFmtId="0" fontId="0" fillId="15" borderId="0" xfId="0" applyFill="1"/>
    <xf numFmtId="2" fontId="0" fillId="15" borderId="0" xfId="0" applyNumberFormat="1" applyFill="1"/>
    <xf numFmtId="2" fontId="0" fillId="5" borderId="0" xfId="0" applyNumberFormat="1" applyFill="1"/>
    <xf numFmtId="0" fontId="0" fillId="16" borderId="0" xfId="0" applyFill="1"/>
    <xf numFmtId="0" fontId="0" fillId="17" borderId="0" xfId="0" applyFill="1"/>
    <xf numFmtId="1" fontId="0" fillId="17" borderId="0" xfId="0" applyNumberFormat="1" applyFill="1"/>
    <xf numFmtId="166" fontId="0" fillId="17" borderId="0" xfId="0" applyNumberFormat="1" applyFill="1"/>
    <xf numFmtId="2" fontId="0" fillId="17" borderId="0" xfId="0" applyNumberFormat="1" applyFill="1"/>
    <xf numFmtId="0" fontId="1" fillId="18" borderId="0" xfId="0" applyFont="1" applyFill="1"/>
    <xf numFmtId="0" fontId="0" fillId="18" borderId="0" xfId="0" applyFill="1"/>
    <xf numFmtId="1" fontId="0" fillId="0" borderId="6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7" fontId="0" fillId="0" borderId="0" xfId="0" applyNumberFormat="1"/>
    <xf numFmtId="0" fontId="8" fillId="0" borderId="0" xfId="0" applyFont="1"/>
    <xf numFmtId="0" fontId="0" fillId="0" borderId="22" xfId="0" applyBorder="1" applyAlignment="1">
      <alignment horizontal="center"/>
    </xf>
    <xf numFmtId="0" fontId="1" fillId="0" borderId="24" xfId="0" applyFont="1" applyBorder="1" applyAlignment="1">
      <alignment wrapText="1"/>
    </xf>
    <xf numFmtId="167" fontId="9" fillId="24" borderId="23" xfId="0" applyNumberFormat="1" applyFont="1" applyFill="1" applyBorder="1" applyAlignment="1">
      <alignment horizontal="left"/>
    </xf>
    <xf numFmtId="0" fontId="0" fillId="24" borderId="23" xfId="0" applyFill="1" applyBorder="1" applyAlignment="1">
      <alignment horizontal="left"/>
    </xf>
    <xf numFmtId="0" fontId="1" fillId="24" borderId="23" xfId="0" applyFont="1" applyFill="1" applyBorder="1" applyAlignment="1">
      <alignment wrapText="1"/>
    </xf>
    <xf numFmtId="0" fontId="0" fillId="0" borderId="25" xfId="0" applyBorder="1"/>
    <xf numFmtId="0" fontId="0" fillId="0" borderId="26" xfId="0" applyBorder="1" applyAlignment="1">
      <alignment horizontal="center"/>
    </xf>
    <xf numFmtId="0" fontId="1" fillId="0" borderId="19" xfId="0" applyFont="1" applyBorder="1"/>
    <xf numFmtId="168" fontId="9" fillId="24" borderId="6" xfId="0" applyNumberFormat="1" applyFont="1" applyFill="1" applyBorder="1" applyAlignment="1">
      <alignment horizontal="left"/>
    </xf>
    <xf numFmtId="0" fontId="0" fillId="24" borderId="6" xfId="0" applyFill="1" applyBorder="1" applyAlignment="1">
      <alignment horizontal="left"/>
    </xf>
    <xf numFmtId="0" fontId="1" fillId="24" borderId="6" xfId="0" applyFont="1" applyFill="1" applyBorder="1" applyAlignment="1">
      <alignment wrapText="1"/>
    </xf>
    <xf numFmtId="0" fontId="0" fillId="0" borderId="27" xfId="0" applyBorder="1"/>
    <xf numFmtId="0" fontId="1" fillId="0" borderId="19" xfId="0" applyFont="1" applyBorder="1" applyAlignment="1">
      <alignment wrapText="1"/>
    </xf>
    <xf numFmtId="170" fontId="0" fillId="0" borderId="6" xfId="0" applyNumberFormat="1" applyBorder="1" applyAlignment="1">
      <alignment horizontal="left"/>
    </xf>
    <xf numFmtId="171" fontId="0" fillId="0" borderId="6" xfId="0" applyNumberFormat="1" applyBorder="1" applyAlignment="1">
      <alignment horizontal="left"/>
    </xf>
    <xf numFmtId="0" fontId="0" fillId="0" borderId="6" xfId="0" applyBorder="1" applyAlignment="1">
      <alignment wrapText="1"/>
    </xf>
    <xf numFmtId="0" fontId="10" fillId="19" borderId="6" xfId="1" applyFont="1" applyBorder="1" applyAlignment="1">
      <alignment horizontal="left"/>
    </xf>
    <xf numFmtId="0" fontId="0" fillId="0" borderId="6" xfId="0" applyBorder="1" applyAlignment="1">
      <alignment horizontal="center"/>
    </xf>
    <xf numFmtId="173" fontId="1" fillId="0" borderId="6" xfId="0" applyNumberFormat="1" applyFont="1" applyBorder="1" applyAlignment="1">
      <alignment horizontal="center"/>
    </xf>
    <xf numFmtId="168" fontId="0" fillId="0" borderId="6" xfId="0" applyNumberFormat="1" applyBorder="1" applyAlignment="1">
      <alignment horizontal="left"/>
    </xf>
    <xf numFmtId="0" fontId="0" fillId="0" borderId="19" xfId="0" applyBorder="1" applyAlignment="1">
      <alignment wrapText="1"/>
    </xf>
    <xf numFmtId="0" fontId="0" fillId="0" borderId="29" xfId="0" applyBorder="1" applyAlignment="1">
      <alignment horizontal="left"/>
    </xf>
    <xf numFmtId="0" fontId="0" fillId="0" borderId="29" xfId="0" applyBorder="1"/>
    <xf numFmtId="0" fontId="0" fillId="0" borderId="30" xfId="0" applyBorder="1"/>
    <xf numFmtId="0" fontId="0" fillId="2" borderId="3" xfId="0" applyFill="1" applyBorder="1"/>
    <xf numFmtId="0" fontId="0" fillId="2" borderId="0" xfId="0" applyFill="1"/>
    <xf numFmtId="0" fontId="0" fillId="0" borderId="32" xfId="0" applyBorder="1"/>
    <xf numFmtId="0" fontId="0" fillId="0" borderId="34" xfId="0" applyBorder="1"/>
    <xf numFmtId="174" fontId="14" fillId="27" borderId="35" xfId="0" applyNumberFormat="1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74" fontId="14" fillId="27" borderId="26" xfId="0" applyNumberFormat="1" applyFont="1" applyFill="1" applyBorder="1" applyAlignment="1">
      <alignment horizontal="center"/>
    </xf>
    <xf numFmtId="0" fontId="0" fillId="2" borderId="0" xfId="0" applyFill="1" applyAlignment="1">
      <alignment vertical="center"/>
    </xf>
    <xf numFmtId="171" fontId="1" fillId="2" borderId="0" xfId="0" applyNumberFormat="1" applyFont="1" applyFill="1" applyAlignment="1">
      <alignment horizontal="right"/>
    </xf>
    <xf numFmtId="174" fontId="1" fillId="28" borderId="26" xfId="0" applyNumberFormat="1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vertical="center" wrapText="1"/>
    </xf>
    <xf numFmtId="0" fontId="0" fillId="0" borderId="40" xfId="0" applyBorder="1"/>
    <xf numFmtId="1" fontId="0" fillId="0" borderId="23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67" fontId="10" fillId="19" borderId="6" xfId="1" applyNumberFormat="1" applyFont="1" applyBorder="1" applyAlignment="1">
      <alignment horizontal="left"/>
    </xf>
    <xf numFmtId="0" fontId="10" fillId="19" borderId="6" xfId="1" applyFont="1" applyBorder="1"/>
    <xf numFmtId="168" fontId="10" fillId="19" borderId="6" xfId="1" applyNumberFormat="1" applyFont="1" applyBorder="1" applyAlignment="1">
      <alignment horizontal="left"/>
    </xf>
    <xf numFmtId="168" fontId="10" fillId="22" borderId="6" xfId="4" applyNumberFormat="1" applyFont="1" applyBorder="1" applyAlignment="1">
      <alignment horizontal="left"/>
    </xf>
    <xf numFmtId="0" fontId="2" fillId="22" borderId="6" xfId="4" applyBorder="1" applyAlignment="1">
      <alignment horizontal="left"/>
    </xf>
    <xf numFmtId="0" fontId="2" fillId="22" borderId="6" xfId="4" applyBorder="1" applyAlignment="1">
      <alignment wrapText="1"/>
    </xf>
    <xf numFmtId="0" fontId="1" fillId="0" borderId="6" xfId="0" applyFont="1" applyBorder="1" applyAlignment="1">
      <alignment horizontal="center"/>
    </xf>
    <xf numFmtId="0" fontId="13" fillId="26" borderId="33" xfId="0" applyFont="1" applyFill="1" applyBorder="1"/>
    <xf numFmtId="0" fontId="15" fillId="27" borderId="9" xfId="0" applyFont="1" applyFill="1" applyBorder="1" applyAlignment="1">
      <alignment horizontal="left"/>
    </xf>
    <xf numFmtId="0" fontId="15" fillId="27" borderId="19" xfId="0" applyFont="1" applyFill="1" applyBorder="1"/>
    <xf numFmtId="171" fontId="1" fillId="2" borderId="3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0" fontId="0" fillId="24" borderId="0" xfId="0" applyFill="1"/>
    <xf numFmtId="0" fontId="0" fillId="2" borderId="0" xfId="0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171" fontId="1" fillId="24" borderId="26" xfId="0" applyNumberFormat="1" applyFont="1" applyFill="1" applyBorder="1" applyAlignment="1">
      <alignment horizontal="center"/>
    </xf>
    <xf numFmtId="0" fontId="0" fillId="24" borderId="19" xfId="0" applyFill="1" applyBorder="1"/>
    <xf numFmtId="171" fontId="0" fillId="21" borderId="21" xfId="3" applyNumberFormat="1" applyFont="1" applyAlignment="1">
      <alignment horizontal="center"/>
    </xf>
    <xf numFmtId="0" fontId="0" fillId="21" borderId="21" xfId="3" applyFont="1"/>
    <xf numFmtId="0" fontId="1" fillId="2" borderId="0" xfId="0" applyFont="1" applyFill="1" applyAlignment="1">
      <alignment horizontal="right" vertical="center"/>
    </xf>
    <xf numFmtId="0" fontId="15" fillId="24" borderId="19" xfId="0" applyFont="1" applyFill="1" applyBorder="1" applyAlignment="1">
      <alignment wrapText="1"/>
    </xf>
    <xf numFmtId="0" fontId="0" fillId="24" borderId="19" xfId="0" applyFill="1" applyBorder="1" applyAlignment="1">
      <alignment wrapText="1"/>
    </xf>
    <xf numFmtId="0" fontId="1" fillId="0" borderId="0" xfId="0" applyFont="1" applyAlignment="1">
      <alignment wrapText="1"/>
    </xf>
    <xf numFmtId="1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176" fontId="9" fillId="24" borderId="23" xfId="0" applyNumberFormat="1" applyFont="1" applyFill="1" applyBorder="1"/>
    <xf numFmtId="0" fontId="0" fillId="24" borderId="23" xfId="0" applyFill="1" applyBorder="1"/>
    <xf numFmtId="0" fontId="0" fillId="24" borderId="23" xfId="0" applyFill="1" applyBorder="1" applyAlignment="1">
      <alignment horizontal="center"/>
    </xf>
    <xf numFmtId="169" fontId="9" fillId="24" borderId="6" xfId="0" applyNumberFormat="1" applyFont="1" applyFill="1" applyBorder="1"/>
    <xf numFmtId="0" fontId="0" fillId="24" borderId="6" xfId="0" applyFill="1" applyBorder="1"/>
    <xf numFmtId="0" fontId="0" fillId="24" borderId="6" xfId="0" applyFill="1" applyBorder="1" applyAlignment="1">
      <alignment horizontal="center"/>
    </xf>
    <xf numFmtId="177" fontId="5" fillId="16" borderId="6" xfId="0" applyNumberFormat="1" applyFont="1" applyFill="1" applyBorder="1"/>
    <xf numFmtId="0" fontId="5" fillId="16" borderId="6" xfId="0" applyFont="1" applyFill="1" applyBorder="1"/>
    <xf numFmtId="0" fontId="5" fillId="16" borderId="6" xfId="0" applyFont="1" applyFill="1" applyBorder="1" applyAlignment="1">
      <alignment horizontal="center"/>
    </xf>
    <xf numFmtId="169" fontId="5" fillId="16" borderId="6" xfId="0" applyNumberFormat="1" applyFont="1" applyFill="1" applyBorder="1"/>
    <xf numFmtId="178" fontId="0" fillId="0" borderId="6" xfId="0" applyNumberFormat="1" applyBorder="1"/>
    <xf numFmtId="171" fontId="0" fillId="0" borderId="6" xfId="0" applyNumberFormat="1" applyBorder="1" applyAlignment="1">
      <alignment horizontal="center"/>
    </xf>
    <xf numFmtId="178" fontId="7" fillId="16" borderId="6" xfId="0" applyNumberFormat="1" applyFont="1" applyFill="1" applyBorder="1"/>
    <xf numFmtId="171" fontId="7" fillId="16" borderId="6" xfId="0" applyNumberFormat="1" applyFont="1" applyFill="1" applyBorder="1" applyAlignment="1">
      <alignment horizontal="center"/>
    </xf>
    <xf numFmtId="0" fontId="5" fillId="16" borderId="6" xfId="0" applyFont="1" applyFill="1" applyBorder="1" applyAlignment="1">
      <alignment wrapText="1"/>
    </xf>
    <xf numFmtId="169" fontId="0" fillId="0" borderId="6" xfId="0" applyNumberFormat="1" applyBorder="1"/>
    <xf numFmtId="169" fontId="0" fillId="0" borderId="6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174" fontId="13" fillId="26" borderId="43" xfId="0" applyNumberFormat="1" applyFont="1" applyFill="1" applyBorder="1" applyAlignment="1">
      <alignment horizontal="center"/>
    </xf>
    <xf numFmtId="0" fontId="13" fillId="26" borderId="8" xfId="0" applyFont="1" applyFill="1" applyBorder="1"/>
    <xf numFmtId="0" fontId="15" fillId="27" borderId="19" xfId="0" applyFont="1" applyFill="1" applyBorder="1" applyAlignment="1">
      <alignment horizontal="left"/>
    </xf>
    <xf numFmtId="0" fontId="9" fillId="0" borderId="34" xfId="0" applyFont="1" applyBorder="1" applyAlignment="1">
      <alignment horizontal="right"/>
    </xf>
    <xf numFmtId="0" fontId="0" fillId="2" borderId="0" xfId="0" quotePrefix="1" applyFill="1" applyAlignment="1">
      <alignment horizontal="right"/>
    </xf>
    <xf numFmtId="0" fontId="0" fillId="28" borderId="19" xfId="0" applyFill="1" applyBorder="1"/>
    <xf numFmtId="171" fontId="1" fillId="2" borderId="3" xfId="0" applyNumberFormat="1" applyFont="1" applyFill="1" applyBorder="1" applyAlignment="1">
      <alignment horizontal="right"/>
    </xf>
    <xf numFmtId="171" fontId="14" fillId="24" borderId="36" xfId="0" applyNumberFormat="1" applyFont="1" applyFill="1" applyBorder="1" applyAlignment="1">
      <alignment horizontal="center"/>
    </xf>
    <xf numFmtId="0" fontId="0" fillId="24" borderId="14" xfId="0" applyFill="1" applyBorder="1" applyAlignment="1">
      <alignment wrapText="1"/>
    </xf>
    <xf numFmtId="0" fontId="6" fillId="0" borderId="22" xfId="0" applyFont="1" applyBorder="1" applyAlignment="1">
      <alignment horizontal="center"/>
    </xf>
    <xf numFmtId="1" fontId="6" fillId="0" borderId="23" xfId="0" applyNumberFormat="1" applyFont="1" applyBorder="1" applyAlignment="1">
      <alignment horizontal="center"/>
    </xf>
    <xf numFmtId="0" fontId="22" fillId="0" borderId="23" xfId="0" applyFont="1" applyBorder="1" applyAlignment="1">
      <alignment wrapText="1"/>
    </xf>
    <xf numFmtId="0" fontId="0" fillId="0" borderId="23" xfId="0" applyBorder="1" applyAlignment="1">
      <alignment horizontal="center"/>
    </xf>
    <xf numFmtId="176" fontId="13" fillId="16" borderId="23" xfId="0" applyNumberFormat="1" applyFont="1" applyFill="1" applyBorder="1"/>
    <xf numFmtId="0" fontId="7" fillId="16" borderId="23" xfId="0" applyFont="1" applyFill="1" applyBorder="1"/>
    <xf numFmtId="0" fontId="7" fillId="16" borderId="23" xfId="0" applyFont="1" applyFill="1" applyBorder="1" applyAlignment="1">
      <alignment horizontal="center"/>
    </xf>
    <xf numFmtId="0" fontId="5" fillId="16" borderId="23" xfId="0" applyFont="1" applyFill="1" applyBorder="1" applyAlignment="1">
      <alignment wrapText="1"/>
    </xf>
    <xf numFmtId="172" fontId="13" fillId="16" borderId="6" xfId="0" applyNumberFormat="1" applyFont="1" applyFill="1" applyBorder="1"/>
    <xf numFmtId="0" fontId="7" fillId="16" borderId="6" xfId="0" applyFont="1" applyFill="1" applyBorder="1"/>
    <xf numFmtId="0" fontId="7" fillId="16" borderId="6" xfId="0" applyFont="1" applyFill="1" applyBorder="1" applyAlignment="1">
      <alignment horizontal="center"/>
    </xf>
    <xf numFmtId="172" fontId="0" fillId="0" borderId="6" xfId="0" applyNumberFormat="1" applyBorder="1"/>
    <xf numFmtId="170" fontId="0" fillId="0" borderId="6" xfId="0" applyNumberFormat="1" applyBorder="1"/>
    <xf numFmtId="0" fontId="6" fillId="0" borderId="0" xfId="0" applyFont="1" applyAlignment="1">
      <alignment horizontal="center"/>
    </xf>
    <xf numFmtId="0" fontId="0" fillId="0" borderId="26" xfId="0" applyBorder="1" applyAlignment="1">
      <alignment horizontal="center" vertical="center"/>
    </xf>
    <xf numFmtId="172" fontId="0" fillId="0" borderId="6" xfId="0" applyNumberFormat="1" applyBorder="1" applyAlignment="1">
      <alignment horizontal="center"/>
    </xf>
    <xf numFmtId="173" fontId="1" fillId="0" borderId="16" xfId="0" applyNumberFormat="1" applyFont="1" applyBorder="1" applyAlignment="1">
      <alignment horizontal="center"/>
    </xf>
    <xf numFmtId="0" fontId="0" fillId="0" borderId="16" xfId="0" applyBorder="1" applyAlignment="1">
      <alignment wrapText="1"/>
    </xf>
    <xf numFmtId="0" fontId="0" fillId="0" borderId="47" xfId="0" applyBorder="1"/>
    <xf numFmtId="0" fontId="0" fillId="2" borderId="5" xfId="0" applyFill="1" applyBorder="1"/>
    <xf numFmtId="0" fontId="0" fillId="2" borderId="4" xfId="0" applyFill="1" applyBorder="1"/>
    <xf numFmtId="0" fontId="0" fillId="2" borderId="48" xfId="0" applyFill="1" applyBorder="1"/>
    <xf numFmtId="1" fontId="5" fillId="26" borderId="18" xfId="0" applyNumberFormat="1" applyFont="1" applyFill="1" applyBorder="1" applyAlignment="1">
      <alignment horizontal="center"/>
    </xf>
    <xf numFmtId="171" fontId="1" fillId="2" borderId="3" xfId="0" applyNumberFormat="1" applyFont="1" applyFill="1" applyBorder="1" applyAlignment="1">
      <alignment horizontal="left"/>
    </xf>
    <xf numFmtId="0" fontId="0" fillId="2" borderId="49" xfId="0" applyFill="1" applyBorder="1"/>
    <xf numFmtId="165" fontId="6" fillId="24" borderId="18" xfId="0" applyNumberFormat="1" applyFont="1" applyFill="1" applyBorder="1" applyAlignment="1">
      <alignment horizontal="center"/>
    </xf>
    <xf numFmtId="0" fontId="15" fillId="24" borderId="19" xfId="0" applyFont="1" applyFill="1" applyBorder="1" applyAlignment="1">
      <alignment horizontal="left"/>
    </xf>
    <xf numFmtId="0" fontId="0" fillId="28" borderId="18" xfId="0" applyFill="1" applyBorder="1" applyAlignment="1">
      <alignment horizontal="center"/>
    </xf>
    <xf numFmtId="0" fontId="15" fillId="29" borderId="19" xfId="0" applyFont="1" applyFill="1" applyBorder="1"/>
    <xf numFmtId="0" fontId="0" fillId="0" borderId="18" xfId="0" applyBorder="1" applyAlignment="1">
      <alignment horizontal="center"/>
    </xf>
    <xf numFmtId="0" fontId="1" fillId="21" borderId="21" xfId="3" applyFont="1" applyAlignment="1">
      <alignment horizontal="center"/>
    </xf>
    <xf numFmtId="0" fontId="1" fillId="24" borderId="18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2" xfId="0" applyFill="1" applyBorder="1"/>
    <xf numFmtId="0" fontId="0" fillId="2" borderId="1" xfId="0" applyFill="1" applyBorder="1"/>
    <xf numFmtId="0" fontId="0" fillId="2" borderId="31" xfId="0" applyFill="1" applyBorder="1"/>
    <xf numFmtId="0" fontId="1" fillId="24" borderId="12" xfId="0" applyFont="1" applyFill="1" applyBorder="1" applyAlignment="1">
      <alignment horizontal="center"/>
    </xf>
    <xf numFmtId="0" fontId="0" fillId="0" borderId="42" xfId="0" applyBorder="1"/>
    <xf numFmtId="0" fontId="0" fillId="0" borderId="50" xfId="0" applyBorder="1" applyAlignment="1">
      <alignment horizontal="center"/>
    </xf>
    <xf numFmtId="0" fontId="0" fillId="0" borderId="39" xfId="0" applyBorder="1"/>
    <xf numFmtId="0" fontId="0" fillId="24" borderId="26" xfId="0" applyFill="1" applyBorder="1" applyAlignment="1">
      <alignment horizontal="left"/>
    </xf>
    <xf numFmtId="0" fontId="0" fillId="30" borderId="26" xfId="0" applyFill="1" applyBorder="1" applyAlignment="1">
      <alignment horizontal="left"/>
    </xf>
    <xf numFmtId="0" fontId="0" fillId="30" borderId="6" xfId="0" applyFill="1" applyBorder="1" applyAlignment="1">
      <alignment horizontal="left"/>
    </xf>
    <xf numFmtId="0" fontId="0" fillId="30" borderId="27" xfId="0" applyFill="1" applyBorder="1" applyAlignment="1">
      <alignment horizontal="left"/>
    </xf>
    <xf numFmtId="0" fontId="0" fillId="30" borderId="6" xfId="0" quotePrefix="1" applyFill="1" applyBorder="1" applyAlignment="1">
      <alignment horizontal="left"/>
    </xf>
    <xf numFmtId="0" fontId="0" fillId="24" borderId="28" xfId="0" applyFill="1" applyBorder="1" applyAlignment="1">
      <alignment horizontal="left" wrapText="1"/>
    </xf>
    <xf numFmtId="0" fontId="0" fillId="30" borderId="29" xfId="0" applyFill="1" applyBorder="1" applyAlignment="1">
      <alignment horizontal="left" wrapText="1"/>
    </xf>
    <xf numFmtId="0" fontId="0" fillId="30" borderId="29" xfId="0" applyFill="1" applyBorder="1" applyAlignment="1">
      <alignment horizontal="left"/>
    </xf>
    <xf numFmtId="0" fontId="0" fillId="24" borderId="29" xfId="0" applyFill="1" applyBorder="1" applyAlignment="1">
      <alignment horizontal="left"/>
    </xf>
    <xf numFmtId="0" fontId="0" fillId="30" borderId="30" xfId="0" applyFill="1" applyBorder="1" applyAlignment="1">
      <alignment horizontal="left"/>
    </xf>
    <xf numFmtId="0" fontId="0" fillId="27" borderId="0" xfId="0" applyFill="1"/>
    <xf numFmtId="0" fontId="0" fillId="30" borderId="0" xfId="0" applyFill="1"/>
    <xf numFmtId="0" fontId="26" fillId="30" borderId="11" xfId="0" applyFont="1" applyFill="1" applyBorder="1"/>
    <xf numFmtId="0" fontId="25" fillId="0" borderId="0" xfId="0" applyFont="1"/>
    <xf numFmtId="0" fontId="26" fillId="30" borderId="15" xfId="0" applyFont="1" applyFill="1" applyBorder="1"/>
    <xf numFmtId="0" fontId="26" fillId="30" borderId="16" xfId="0" applyFont="1" applyFill="1" applyBorder="1"/>
    <xf numFmtId="0" fontId="29" fillId="0" borderId="0" xfId="0" applyFont="1"/>
    <xf numFmtId="0" fontId="1" fillId="0" borderId="19" xfId="0" applyFont="1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1" fillId="31" borderId="0" xfId="0" applyFont="1" applyFill="1"/>
    <xf numFmtId="1" fontId="0" fillId="31" borderId="0" xfId="0" applyNumberFormat="1" applyFill="1"/>
    <xf numFmtId="0" fontId="1" fillId="17" borderId="6" xfId="0" applyFont="1" applyFill="1" applyBorder="1"/>
    <xf numFmtId="0" fontId="1" fillId="32" borderId="6" xfId="0" applyFont="1" applyFill="1" applyBorder="1"/>
    <xf numFmtId="0" fontId="1" fillId="18" borderId="6" xfId="0" applyFont="1" applyFill="1" applyBorder="1"/>
    <xf numFmtId="0" fontId="0" fillId="32" borderId="6" xfId="0" applyFill="1" applyBorder="1"/>
    <xf numFmtId="0" fontId="0" fillId="17" borderId="6" xfId="0" applyFill="1" applyBorder="1"/>
    <xf numFmtId="0" fontId="0" fillId="18" borderId="6" xfId="0" applyFill="1" applyBorder="1"/>
    <xf numFmtId="2" fontId="0" fillId="18" borderId="6" xfId="0" applyNumberFormat="1" applyFill="1" applyBorder="1"/>
    <xf numFmtId="166" fontId="0" fillId="17" borderId="6" xfId="0" applyNumberFormat="1" applyFill="1" applyBorder="1"/>
    <xf numFmtId="165" fontId="0" fillId="17" borderId="6" xfId="0" applyNumberFormat="1" applyFill="1" applyBorder="1"/>
    <xf numFmtId="2" fontId="0" fillId="32" borderId="6" xfId="0" applyNumberFormat="1" applyFill="1" applyBorder="1"/>
    <xf numFmtId="0" fontId="30" fillId="30" borderId="6" xfId="0" applyFont="1" applyFill="1" applyBorder="1" applyAlignment="1">
      <alignment horizontal="left" vertical="center" wrapText="1" readingOrder="1"/>
    </xf>
    <xf numFmtId="0" fontId="30" fillId="30" borderId="16" xfId="0" applyFont="1" applyFill="1" applyBorder="1" applyAlignment="1">
      <alignment horizontal="left" vertical="center" wrapText="1" readingOrder="1"/>
    </xf>
    <xf numFmtId="0" fontId="30" fillId="30" borderId="15" xfId="0" applyFont="1" applyFill="1" applyBorder="1" applyAlignment="1">
      <alignment horizontal="left" vertical="center" wrapText="1" readingOrder="1"/>
    </xf>
    <xf numFmtId="0" fontId="31" fillId="30" borderId="6" xfId="0" applyFont="1" applyFill="1" applyBorder="1" applyAlignment="1">
      <alignment vertical="top" wrapText="1"/>
    </xf>
    <xf numFmtId="0" fontId="32" fillId="33" borderId="6" xfId="0" applyFont="1" applyFill="1" applyBorder="1" applyAlignment="1">
      <alignment horizontal="left" vertical="center" wrapText="1" readingOrder="1"/>
    </xf>
    <xf numFmtId="0" fontId="0" fillId="28" borderId="27" xfId="0" applyFill="1" applyBorder="1"/>
    <xf numFmtId="171" fontId="15" fillId="21" borderId="21" xfId="3" applyNumberFormat="1" applyFont="1" applyAlignment="1">
      <alignment horizontal="center"/>
    </xf>
    <xf numFmtId="0" fontId="0" fillId="21" borderId="21" xfId="3" applyFont="1" applyAlignment="1">
      <alignment wrapText="1"/>
    </xf>
    <xf numFmtId="0" fontId="1" fillId="0" borderId="23" xfId="0" applyFont="1" applyBorder="1" applyAlignment="1">
      <alignment wrapText="1"/>
    </xf>
    <xf numFmtId="1" fontId="6" fillId="24" borderId="18" xfId="0" applyNumberFormat="1" applyFont="1" applyFill="1" applyBorder="1" applyAlignment="1">
      <alignment horizontal="center"/>
    </xf>
    <xf numFmtId="0" fontId="0" fillId="30" borderId="35" xfId="0" applyFill="1" applyBorder="1" applyAlignment="1">
      <alignment horizontal="left"/>
    </xf>
    <xf numFmtId="0" fontId="0" fillId="30" borderId="15" xfId="0" applyFill="1" applyBorder="1" applyAlignment="1">
      <alignment horizontal="left"/>
    </xf>
    <xf numFmtId="0" fontId="0" fillId="24" borderId="15" xfId="0" applyFill="1" applyBorder="1" applyAlignment="1">
      <alignment horizontal="left"/>
    </xf>
    <xf numFmtId="0" fontId="0" fillId="30" borderId="54" xfId="0" applyFill="1" applyBorder="1" applyAlignment="1">
      <alignment horizontal="left"/>
    </xf>
    <xf numFmtId="0" fontId="0" fillId="28" borderId="0" xfId="0" applyFill="1"/>
    <xf numFmtId="0" fontId="0" fillId="28" borderId="6" xfId="0" applyFill="1" applyBorder="1"/>
    <xf numFmtId="0" fontId="0" fillId="34" borderId="6" xfId="0" applyFill="1" applyBorder="1"/>
    <xf numFmtId="0" fontId="0" fillId="12" borderId="6" xfId="0" applyFill="1" applyBorder="1"/>
    <xf numFmtId="0" fontId="0" fillId="35" borderId="6" xfId="0" applyFill="1" applyBorder="1"/>
    <xf numFmtId="0" fontId="0" fillId="28" borderId="18" xfId="0" applyFill="1" applyBorder="1"/>
    <xf numFmtId="0" fontId="0" fillId="12" borderId="9" xfId="0" applyFill="1" applyBorder="1"/>
    <xf numFmtId="0" fontId="0" fillId="28" borderId="7" xfId="0" applyFill="1" applyBorder="1"/>
    <xf numFmtId="0" fontId="0" fillId="28" borderId="9" xfId="0" applyFill="1" applyBorder="1"/>
    <xf numFmtId="0" fontId="0" fillId="34" borderId="7" xfId="0" applyFill="1" applyBorder="1"/>
    <xf numFmtId="0" fontId="0" fillId="34" borderId="9" xfId="0" applyFill="1" applyBorder="1"/>
    <xf numFmtId="0" fontId="0" fillId="35" borderId="10" xfId="0" applyFill="1" applyBorder="1"/>
    <xf numFmtId="0" fontId="0" fillId="35" borderId="11" xfId="0" applyFill="1" applyBorder="1"/>
    <xf numFmtId="0" fontId="0" fillId="35" borderId="12" xfId="0" applyFill="1" applyBorder="1"/>
    <xf numFmtId="0" fontId="0" fillId="35" borderId="14" xfId="0" applyFill="1" applyBorder="1"/>
    <xf numFmtId="0" fontId="0" fillId="28" borderId="8" xfId="0" applyFill="1" applyBorder="1"/>
    <xf numFmtId="0" fontId="0" fillId="12" borderId="8" xfId="0" applyFill="1" applyBorder="1"/>
    <xf numFmtId="0" fontId="0" fillId="35" borderId="18" xfId="0" applyFill="1" applyBorder="1"/>
    <xf numFmtId="0" fontId="0" fillId="35" borderId="19" xfId="0" applyFill="1" applyBorder="1"/>
    <xf numFmtId="0" fontId="0" fillId="0" borderId="6" xfId="0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16" borderId="6" xfId="0" applyFill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6" xfId="0" applyBorder="1"/>
    <xf numFmtId="0" fontId="0" fillId="36" borderId="28" xfId="0" applyFill="1" applyBorder="1"/>
    <xf numFmtId="0" fontId="0" fillId="36" borderId="29" xfId="0" applyFill="1" applyBorder="1"/>
    <xf numFmtId="0" fontId="0" fillId="36" borderId="30" xfId="0" applyFill="1" applyBorder="1"/>
    <xf numFmtId="0" fontId="0" fillId="37" borderId="15" xfId="0" applyFill="1" applyBorder="1"/>
    <xf numFmtId="0" fontId="0" fillId="37" borderId="6" xfId="0" applyFill="1" applyBorder="1"/>
    <xf numFmtId="2" fontId="0" fillId="0" borderId="6" xfId="0" applyNumberFormat="1" applyBorder="1" applyAlignment="1">
      <alignment horizontal="center" vertical="center"/>
    </xf>
    <xf numFmtId="0" fontId="0" fillId="16" borderId="23" xfId="0" applyFill="1" applyBorder="1"/>
    <xf numFmtId="0" fontId="0" fillId="38" borderId="25" xfId="0" applyFill="1" applyBorder="1"/>
    <xf numFmtId="0" fontId="0" fillId="28" borderId="55" xfId="0" applyFill="1" applyBorder="1"/>
    <xf numFmtId="0" fontId="0" fillId="28" borderId="25" xfId="0" applyFill="1" applyBorder="1"/>
    <xf numFmtId="0" fontId="0" fillId="27" borderId="6" xfId="0" applyFill="1" applyBorder="1"/>
    <xf numFmtId="0" fontId="0" fillId="39" borderId="27" xfId="0" applyFill="1" applyBorder="1"/>
    <xf numFmtId="0" fontId="0" fillId="5" borderId="6" xfId="0" applyFill="1" applyBorder="1"/>
    <xf numFmtId="0" fontId="0" fillId="17" borderId="26" xfId="0" applyFill="1" applyBorder="1"/>
    <xf numFmtId="0" fontId="0" fillId="28" borderId="28" xfId="0" applyFill="1" applyBorder="1"/>
    <xf numFmtId="0" fontId="0" fillId="28" borderId="29" xfId="0" applyFill="1" applyBorder="1"/>
    <xf numFmtId="0" fontId="0" fillId="28" borderId="30" xfId="0" applyFill="1" applyBorder="1"/>
    <xf numFmtId="2" fontId="0" fillId="0" borderId="0" xfId="0" applyNumberFormat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28" borderId="6" xfId="0" applyFill="1" applyBorder="1" applyAlignment="1">
      <alignment horizontal="center" vertical="center"/>
    </xf>
    <xf numFmtId="164" fontId="0" fillId="0" borderId="0" xfId="0" applyNumberFormat="1"/>
    <xf numFmtId="0" fontId="23" fillId="30" borderId="52" xfId="0" applyFont="1" applyFill="1" applyBorder="1" applyAlignment="1">
      <alignment vertical="center" wrapText="1"/>
    </xf>
    <xf numFmtId="0" fontId="28" fillId="30" borderId="0" xfId="0" applyFont="1" applyFill="1"/>
    <xf numFmtId="0" fontId="26" fillId="30" borderId="0" xfId="0" applyFont="1" applyFill="1"/>
    <xf numFmtId="0" fontId="26" fillId="30" borderId="9" xfId="0" applyFont="1" applyFill="1" applyBorder="1"/>
    <xf numFmtId="0" fontId="26" fillId="30" borderId="14" xfId="0" applyFont="1" applyFill="1" applyBorder="1"/>
    <xf numFmtId="0" fontId="26" fillId="30" borderId="19" xfId="0" applyFont="1" applyFill="1" applyBorder="1"/>
    <xf numFmtId="0" fontId="28" fillId="30" borderId="11" xfId="0" applyFont="1" applyFill="1" applyBorder="1"/>
    <xf numFmtId="0" fontId="26" fillId="30" borderId="12" xfId="0" applyFont="1" applyFill="1" applyBorder="1"/>
    <xf numFmtId="0" fontId="28" fillId="30" borderId="14" xfId="0" applyFont="1" applyFill="1" applyBorder="1"/>
    <xf numFmtId="0" fontId="26" fillId="30" borderId="7" xfId="0" applyFont="1" applyFill="1" applyBorder="1"/>
    <xf numFmtId="0" fontId="28" fillId="30" borderId="9" xfId="0" applyFont="1" applyFill="1" applyBorder="1"/>
    <xf numFmtId="0" fontId="23" fillId="30" borderId="6" xfId="0" applyFont="1" applyFill="1" applyBorder="1" applyAlignment="1">
      <alignment vertical="center" wrapText="1"/>
    </xf>
    <xf numFmtId="0" fontId="24" fillId="30" borderId="15" xfId="0" applyFont="1" applyFill="1" applyBorder="1"/>
    <xf numFmtId="0" fontId="25" fillId="30" borderId="17" xfId="0" applyFont="1" applyFill="1" applyBorder="1"/>
    <xf numFmtId="0" fontId="27" fillId="30" borderId="17" xfId="0" applyFont="1" applyFill="1" applyBorder="1" applyAlignment="1">
      <alignment vertical="center"/>
    </xf>
    <xf numFmtId="0" fontId="26" fillId="30" borderId="17" xfId="0" applyFont="1" applyFill="1" applyBorder="1"/>
    <xf numFmtId="0" fontId="24" fillId="30" borderId="8" xfId="0" applyFont="1" applyFill="1" applyBorder="1"/>
    <xf numFmtId="0" fontId="25" fillId="30" borderId="13" xfId="0" applyFont="1" applyFill="1" applyBorder="1"/>
    <xf numFmtId="0" fontId="26" fillId="0" borderId="52" xfId="0" applyFont="1" applyBorder="1"/>
    <xf numFmtId="0" fontId="25" fillId="30" borderId="12" xfId="0" applyFont="1" applyFill="1" applyBorder="1"/>
    <xf numFmtId="0" fontId="26" fillId="0" borderId="18" xfId="0" applyFont="1" applyBorder="1"/>
    <xf numFmtId="0" fontId="26" fillId="0" borderId="13" xfId="0" applyFont="1" applyBorder="1"/>
    <xf numFmtId="0" fontId="23" fillId="0" borderId="6" xfId="0" applyFont="1" applyBorder="1" applyAlignment="1">
      <alignment vertical="center" wrapText="1"/>
    </xf>
    <xf numFmtId="0" fontId="28" fillId="30" borderId="6" xfId="0" applyFont="1" applyFill="1" applyBorder="1"/>
    <xf numFmtId="0" fontId="26" fillId="30" borderId="6" xfId="0" applyFont="1" applyFill="1" applyBorder="1"/>
    <xf numFmtId="0" fontId="0" fillId="30" borderId="40" xfId="0" applyFill="1" applyBorder="1"/>
    <xf numFmtId="12" fontId="0" fillId="0" borderId="0" xfId="0" applyNumberFormat="1"/>
    <xf numFmtId="0" fontId="1" fillId="0" borderId="18" xfId="0" applyFont="1" applyBorder="1"/>
    <xf numFmtId="0" fontId="33" fillId="30" borderId="0" xfId="0" applyFont="1" applyFill="1"/>
    <xf numFmtId="0" fontId="36" fillId="14" borderId="0" xfId="0" applyFont="1" applyFill="1"/>
    <xf numFmtId="0" fontId="0" fillId="40" borderId="0" xfId="0" applyFill="1"/>
    <xf numFmtId="1" fontId="0" fillId="41" borderId="0" xfId="0" applyNumberFormat="1" applyFill="1"/>
    <xf numFmtId="0" fontId="0" fillId="2" borderId="6" xfId="0" applyFill="1" applyBorder="1"/>
    <xf numFmtId="0" fontId="0" fillId="2" borderId="15" xfId="0" applyFill="1" applyBorder="1"/>
    <xf numFmtId="0" fontId="0" fillId="2" borderId="9" xfId="0" applyFill="1" applyBorder="1"/>
    <xf numFmtId="0" fontId="0" fillId="2" borderId="19" xfId="0" applyFill="1" applyBorder="1"/>
    <xf numFmtId="0" fontId="0" fillId="2" borderId="52" xfId="0" applyFill="1" applyBorder="1"/>
    <xf numFmtId="0" fontId="0" fillId="2" borderId="8" xfId="0" applyFill="1" applyBorder="1"/>
    <xf numFmtId="0" fontId="0" fillId="2" borderId="16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7" xfId="0" applyFill="1" applyBorder="1"/>
    <xf numFmtId="0" fontId="0" fillId="2" borderId="11" xfId="0" applyFill="1" applyBorder="1"/>
    <xf numFmtId="0" fontId="1" fillId="2" borderId="15" xfId="0" applyFont="1" applyFill="1" applyBorder="1"/>
    <xf numFmtId="0" fontId="1" fillId="2" borderId="9" xfId="0" applyFont="1" applyFill="1" applyBorder="1"/>
    <xf numFmtId="0" fontId="0" fillId="30" borderId="6" xfId="0" applyFill="1" applyBorder="1"/>
    <xf numFmtId="0" fontId="0" fillId="30" borderId="15" xfId="0" applyFill="1" applyBorder="1"/>
    <xf numFmtId="0" fontId="0" fillId="37" borderId="6" xfId="0" applyFill="1" applyBorder="1" applyAlignment="1">
      <alignment horizontal="center" vertical="center"/>
    </xf>
    <xf numFmtId="0" fontId="36" fillId="35" borderId="0" xfId="0" applyFont="1" applyFill="1"/>
    <xf numFmtId="0" fontId="0" fillId="35" borderId="0" xfId="0" applyFill="1"/>
    <xf numFmtId="165" fontId="0" fillId="40" borderId="0" xfId="0" applyNumberFormat="1" applyFill="1"/>
    <xf numFmtId="1" fontId="0" fillId="40" borderId="0" xfId="0" applyNumberFormat="1" applyFill="1"/>
    <xf numFmtId="166" fontId="0" fillId="40" borderId="0" xfId="0" applyNumberFormat="1" applyFill="1"/>
    <xf numFmtId="2" fontId="0" fillId="40" borderId="0" xfId="0" applyNumberFormat="1" applyFill="1"/>
    <xf numFmtId="0" fontId="34" fillId="0" borderId="0" xfId="0" applyFont="1"/>
    <xf numFmtId="0" fontId="37" fillId="0" borderId="0" xfId="0" applyFont="1"/>
    <xf numFmtId="0" fontId="38" fillId="0" borderId="16" xfId="0" applyFont="1" applyBorder="1"/>
    <xf numFmtId="0" fontId="0" fillId="30" borderId="18" xfId="0" applyFill="1" applyBorder="1"/>
    <xf numFmtId="0" fontId="0" fillId="30" borderId="17" xfId="0" applyFill="1" applyBorder="1"/>
    <xf numFmtId="0" fontId="0" fillId="30" borderId="7" xfId="0" applyFill="1" applyBorder="1"/>
    <xf numFmtId="0" fontId="0" fillId="30" borderId="16" xfId="0" applyFill="1" applyBorder="1"/>
    <xf numFmtId="0" fontId="0" fillId="30" borderId="9" xfId="0" applyFill="1" applyBorder="1"/>
    <xf numFmtId="0" fontId="0" fillId="30" borderId="19" xfId="0" applyFill="1" applyBorder="1"/>
    <xf numFmtId="0" fontId="0" fillId="30" borderId="52" xfId="0" applyFill="1" applyBorder="1"/>
    <xf numFmtId="0" fontId="0" fillId="30" borderId="11" xfId="0" applyFill="1" applyBorder="1"/>
    <xf numFmtId="0" fontId="0" fillId="30" borderId="14" xfId="0" applyFill="1" applyBorder="1"/>
    <xf numFmtId="0" fontId="40" fillId="0" borderId="0" xfId="0" applyFont="1" applyAlignment="1">
      <alignment vertical="center" wrapText="1"/>
    </xf>
    <xf numFmtId="0" fontId="39" fillId="0" borderId="0" xfId="0" applyFont="1" applyAlignment="1">
      <alignment vertical="center" wrapText="1"/>
    </xf>
    <xf numFmtId="0" fontId="45" fillId="0" borderId="0" xfId="0" applyFont="1"/>
    <xf numFmtId="0" fontId="47" fillId="0" borderId="57" xfId="0" applyFont="1" applyBorder="1" applyAlignment="1">
      <alignment vertical="center" wrapText="1"/>
    </xf>
    <xf numFmtId="0" fontId="0" fillId="30" borderId="0" xfId="0" applyFill="1" applyAlignment="1">
      <alignment horizontal="center" vertical="center"/>
    </xf>
    <xf numFmtId="0" fontId="49" fillId="0" borderId="6" xfId="0" applyFont="1" applyBorder="1"/>
    <xf numFmtId="0" fontId="49" fillId="0" borderId="15" xfId="0" applyFont="1" applyBorder="1"/>
    <xf numFmtId="0" fontId="49" fillId="0" borderId="16" xfId="0" applyFont="1" applyBorder="1"/>
    <xf numFmtId="0" fontId="49" fillId="0" borderId="9" xfId="0" applyFont="1" applyBorder="1"/>
    <xf numFmtId="0" fontId="49" fillId="0" borderId="14" xfId="0" applyFont="1" applyBorder="1"/>
    <xf numFmtId="0" fontId="48" fillId="30" borderId="9" xfId="0" applyFont="1" applyFill="1" applyBorder="1"/>
    <xf numFmtId="0" fontId="51" fillId="30" borderId="43" xfId="0" applyFont="1" applyFill="1" applyBorder="1" applyAlignment="1">
      <alignment horizontal="justify" vertical="center"/>
    </xf>
    <xf numFmtId="0" fontId="51" fillId="30" borderId="2" xfId="0" applyFont="1" applyFill="1" applyBorder="1" applyAlignment="1">
      <alignment horizontal="justify" vertical="center"/>
    </xf>
    <xf numFmtId="0" fontId="51" fillId="30" borderId="56" xfId="0" applyFont="1" applyFill="1" applyBorder="1" applyAlignment="1">
      <alignment horizontal="justify" vertical="center"/>
    </xf>
    <xf numFmtId="0" fontId="51" fillId="30" borderId="3" xfId="0" applyFont="1" applyFill="1" applyBorder="1" applyAlignment="1">
      <alignment horizontal="justify" vertical="center"/>
    </xf>
    <xf numFmtId="0" fontId="51" fillId="30" borderId="5" xfId="0" applyFont="1" applyFill="1" applyBorder="1" applyAlignment="1">
      <alignment horizontal="justify" vertical="center"/>
    </xf>
    <xf numFmtId="0" fontId="50" fillId="30" borderId="5" xfId="0" applyFont="1" applyFill="1" applyBorder="1"/>
    <xf numFmtId="0" fontId="51" fillId="30" borderId="57" xfId="0" applyFont="1" applyFill="1" applyBorder="1" applyAlignment="1">
      <alignment horizontal="justify" vertical="center"/>
    </xf>
    <xf numFmtId="0" fontId="51" fillId="30" borderId="33" xfId="0" applyFont="1" applyFill="1" applyBorder="1" applyAlignment="1">
      <alignment horizontal="justify" vertical="center"/>
    </xf>
    <xf numFmtId="0" fontId="51" fillId="30" borderId="37" xfId="0" applyFont="1" applyFill="1" applyBorder="1" applyAlignment="1">
      <alignment horizontal="justify" vertical="center"/>
    </xf>
    <xf numFmtId="0" fontId="48" fillId="30" borderId="56" xfId="0" applyFont="1" applyFill="1" applyBorder="1" applyAlignment="1">
      <alignment horizontal="justify" vertical="center"/>
    </xf>
    <xf numFmtId="0" fontId="48" fillId="30" borderId="57" xfId="0" applyFont="1" applyFill="1" applyBorder="1" applyAlignment="1">
      <alignment horizontal="justify" vertical="center"/>
    </xf>
    <xf numFmtId="0" fontId="36" fillId="30" borderId="0" xfId="0" applyFont="1" applyFill="1"/>
    <xf numFmtId="0" fontId="52" fillId="30" borderId="33" xfId="0" applyFont="1" applyFill="1" applyBorder="1" applyAlignment="1">
      <alignment horizontal="justify" vertical="center"/>
    </xf>
    <xf numFmtId="0" fontId="52" fillId="30" borderId="37" xfId="0" applyFont="1" applyFill="1" applyBorder="1" applyAlignment="1">
      <alignment horizontal="justify" vertical="center"/>
    </xf>
    <xf numFmtId="0" fontId="34" fillId="30" borderId="0" xfId="0" applyFont="1" applyFill="1"/>
    <xf numFmtId="0" fontId="0" fillId="30" borderId="8" xfId="0" applyFill="1" applyBorder="1"/>
    <xf numFmtId="0" fontId="0" fillId="30" borderId="12" xfId="0" applyFill="1" applyBorder="1"/>
    <xf numFmtId="0" fontId="0" fillId="30" borderId="13" xfId="0" applyFill="1" applyBorder="1"/>
    <xf numFmtId="0" fontId="0" fillId="30" borderId="10" xfId="0" applyFill="1" applyBorder="1"/>
    <xf numFmtId="0" fontId="7" fillId="30" borderId="0" xfId="0" applyFont="1" applyFill="1"/>
    <xf numFmtId="0" fontId="1" fillId="30" borderId="0" xfId="0" applyFont="1" applyFill="1"/>
    <xf numFmtId="0" fontId="1" fillId="30" borderId="18" xfId="0" applyFont="1" applyFill="1" applyBorder="1"/>
    <xf numFmtId="0" fontId="1" fillId="30" borderId="52" xfId="0" applyFont="1" applyFill="1" applyBorder="1"/>
    <xf numFmtId="0" fontId="1" fillId="30" borderId="19" xfId="0" applyFont="1" applyFill="1" applyBorder="1"/>
    <xf numFmtId="0" fontId="0" fillId="30" borderId="30" xfId="0" applyFill="1" applyBorder="1"/>
    <xf numFmtId="0" fontId="0" fillId="30" borderId="27" xfId="0" applyFill="1" applyBorder="1"/>
    <xf numFmtId="0" fontId="0" fillId="30" borderId="25" xfId="0" applyFill="1" applyBorder="1"/>
    <xf numFmtId="0" fontId="48" fillId="30" borderId="30" xfId="0" applyFont="1" applyFill="1" applyBorder="1"/>
    <xf numFmtId="0" fontId="48" fillId="30" borderId="29" xfId="0" applyFont="1" applyFill="1" applyBorder="1"/>
    <xf numFmtId="0" fontId="48" fillId="30" borderId="6" xfId="0" applyFont="1" applyFill="1" applyBorder="1"/>
    <xf numFmtId="0" fontId="48" fillId="30" borderId="19" xfId="0" applyFont="1" applyFill="1" applyBorder="1" applyAlignment="1">
      <alignment wrapText="1"/>
    </xf>
    <xf numFmtId="0" fontId="49" fillId="30" borderId="6" xfId="0" applyFont="1" applyFill="1" applyBorder="1" applyAlignment="1">
      <alignment horizontal="center"/>
    </xf>
    <xf numFmtId="0" fontId="48" fillId="30" borderId="26" xfId="0" applyFont="1" applyFill="1" applyBorder="1" applyAlignment="1">
      <alignment horizontal="center"/>
    </xf>
    <xf numFmtId="0" fontId="48" fillId="30" borderId="27" xfId="0" applyFont="1" applyFill="1" applyBorder="1"/>
    <xf numFmtId="0" fontId="48" fillId="30" borderId="6" xfId="0" applyFont="1" applyFill="1" applyBorder="1" applyAlignment="1">
      <alignment wrapText="1"/>
    </xf>
    <xf numFmtId="171" fontId="48" fillId="30" borderId="6" xfId="0" applyNumberFormat="1" applyFont="1" applyFill="1" applyBorder="1" applyAlignment="1">
      <alignment horizontal="center"/>
    </xf>
    <xf numFmtId="178" fontId="48" fillId="30" borderId="6" xfId="0" applyNumberFormat="1" applyFont="1" applyFill="1" applyBorder="1"/>
    <xf numFmtId="169" fontId="48" fillId="30" borderId="6" xfId="0" applyNumberFormat="1" applyFont="1" applyFill="1" applyBorder="1"/>
    <xf numFmtId="0" fontId="48" fillId="30" borderId="19" xfId="0" applyFont="1" applyFill="1" applyBorder="1"/>
    <xf numFmtId="0" fontId="48" fillId="30" borderId="6" xfId="0" applyFont="1" applyFill="1" applyBorder="1" applyAlignment="1">
      <alignment horizontal="center"/>
    </xf>
    <xf numFmtId="0" fontId="54" fillId="30" borderId="6" xfId="0" applyFont="1" applyFill="1" applyBorder="1" applyAlignment="1">
      <alignment wrapText="1"/>
    </xf>
    <xf numFmtId="171" fontId="55" fillId="30" borderId="6" xfId="0" applyNumberFormat="1" applyFont="1" applyFill="1" applyBorder="1" applyAlignment="1">
      <alignment horizontal="center"/>
    </xf>
    <xf numFmtId="178" fontId="55" fillId="30" borderId="6" xfId="0" applyNumberFormat="1" applyFont="1" applyFill="1" applyBorder="1"/>
    <xf numFmtId="169" fontId="54" fillId="30" borderId="6" xfId="0" applyNumberFormat="1" applyFont="1" applyFill="1" applyBorder="1"/>
    <xf numFmtId="177" fontId="54" fillId="30" borderId="6" xfId="0" applyNumberFormat="1" applyFont="1" applyFill="1" applyBorder="1"/>
    <xf numFmtId="1" fontId="48" fillId="30" borderId="6" xfId="0" applyNumberFormat="1" applyFont="1" applyFill="1" applyBorder="1" applyAlignment="1">
      <alignment horizontal="center"/>
    </xf>
    <xf numFmtId="0" fontId="54" fillId="30" borderId="6" xfId="0" applyFont="1" applyFill="1" applyBorder="1"/>
    <xf numFmtId="0" fontId="54" fillId="30" borderId="6" xfId="0" applyFont="1" applyFill="1" applyBorder="1" applyAlignment="1">
      <alignment horizontal="center"/>
    </xf>
    <xf numFmtId="0" fontId="48" fillId="30" borderId="25" xfId="0" applyFont="1" applyFill="1" applyBorder="1"/>
    <xf numFmtId="0" fontId="48" fillId="30" borderId="23" xfId="0" applyFont="1" applyFill="1" applyBorder="1" applyAlignment="1">
      <alignment horizontal="center"/>
    </xf>
    <xf numFmtId="0" fontId="48" fillId="30" borderId="23" xfId="0" applyFont="1" applyFill="1" applyBorder="1"/>
    <xf numFmtId="1" fontId="48" fillId="30" borderId="23" xfId="0" applyNumberFormat="1" applyFont="1" applyFill="1" applyBorder="1" applyAlignment="1">
      <alignment horizontal="center"/>
    </xf>
    <xf numFmtId="0" fontId="48" fillId="30" borderId="22" xfId="0" applyFont="1" applyFill="1" applyBorder="1" applyAlignment="1">
      <alignment horizontal="center"/>
    </xf>
    <xf numFmtId="0" fontId="48" fillId="30" borderId="24" xfId="0" applyFont="1" applyFill="1" applyBorder="1" applyAlignment="1">
      <alignment wrapText="1"/>
    </xf>
    <xf numFmtId="169" fontId="58" fillId="30" borderId="6" xfId="0" applyNumberFormat="1" applyFont="1" applyFill="1" applyBorder="1"/>
    <xf numFmtId="176" fontId="58" fillId="30" borderId="23" xfId="0" applyNumberFormat="1" applyFont="1" applyFill="1" applyBorder="1"/>
    <xf numFmtId="0" fontId="48" fillId="30" borderId="23" xfId="0" applyFont="1" applyFill="1" applyBorder="1" applyAlignment="1">
      <alignment wrapText="1"/>
    </xf>
    <xf numFmtId="0" fontId="48" fillId="30" borderId="29" xfId="0" applyFont="1" applyFill="1" applyBorder="1" applyAlignment="1">
      <alignment horizontal="left"/>
    </xf>
    <xf numFmtId="171" fontId="48" fillId="30" borderId="6" xfId="0" applyNumberFormat="1" applyFont="1" applyFill="1" applyBorder="1" applyAlignment="1">
      <alignment horizontal="left"/>
    </xf>
    <xf numFmtId="170" fontId="48" fillId="30" borderId="6" xfId="0" applyNumberFormat="1" applyFont="1" applyFill="1" applyBorder="1" applyAlignment="1">
      <alignment horizontal="left"/>
    </xf>
    <xf numFmtId="168" fontId="48" fillId="30" borderId="6" xfId="0" applyNumberFormat="1" applyFont="1" applyFill="1" applyBorder="1" applyAlignment="1">
      <alignment horizontal="left"/>
    </xf>
    <xf numFmtId="0" fontId="48" fillId="30" borderId="15" xfId="0" applyFont="1" applyFill="1" applyBorder="1"/>
    <xf numFmtId="0" fontId="48" fillId="30" borderId="15" xfId="0" applyFont="1" applyFill="1" applyBorder="1" applyAlignment="1">
      <alignment horizontal="center"/>
    </xf>
    <xf numFmtId="0" fontId="48" fillId="30" borderId="35" xfId="0" applyFont="1" applyFill="1" applyBorder="1" applyAlignment="1">
      <alignment horizontal="center"/>
    </xf>
    <xf numFmtId="0" fontId="48" fillId="30" borderId="16" xfId="0" applyFont="1" applyFill="1" applyBorder="1"/>
    <xf numFmtId="0" fontId="48" fillId="30" borderId="14" xfId="0" applyFont="1" applyFill="1" applyBorder="1"/>
    <xf numFmtId="0" fontId="49" fillId="30" borderId="6" xfId="1" applyFont="1" applyFill="1" applyBorder="1" applyAlignment="1">
      <alignment wrapText="1"/>
    </xf>
    <xf numFmtId="0" fontId="49" fillId="30" borderId="6" xfId="1" applyFont="1" applyFill="1" applyBorder="1" applyAlignment="1">
      <alignment horizontal="left"/>
    </xf>
    <xf numFmtId="173" fontId="48" fillId="30" borderId="6" xfId="0" applyNumberFormat="1" applyFont="1" applyFill="1" applyBorder="1" applyAlignment="1">
      <alignment horizontal="center"/>
    </xf>
    <xf numFmtId="169" fontId="48" fillId="30" borderId="6" xfId="0" applyNumberFormat="1" applyFont="1" applyFill="1" applyBorder="1" applyAlignment="1">
      <alignment horizontal="left"/>
    </xf>
    <xf numFmtId="180" fontId="48" fillId="30" borderId="6" xfId="0" applyNumberFormat="1" applyFont="1" applyFill="1" applyBorder="1" applyAlignment="1">
      <alignment horizontal="center"/>
    </xf>
    <xf numFmtId="168" fontId="48" fillId="30" borderId="6" xfId="0" applyNumberFormat="1" applyFont="1" applyFill="1" applyBorder="1" applyAlignment="1">
      <alignment horizontal="center"/>
    </xf>
    <xf numFmtId="179" fontId="48" fillId="30" borderId="23" xfId="0" applyNumberFormat="1" applyFont="1" applyFill="1" applyBorder="1" applyAlignment="1">
      <alignment horizontal="center"/>
    </xf>
    <xf numFmtId="169" fontId="48" fillId="30" borderId="18" xfId="0" applyNumberFormat="1" applyFont="1" applyFill="1" applyBorder="1" applyAlignment="1">
      <alignment horizontal="left"/>
    </xf>
    <xf numFmtId="172" fontId="49" fillId="30" borderId="18" xfId="1" applyNumberFormat="1" applyFont="1" applyFill="1" applyBorder="1" applyAlignment="1">
      <alignment horizontal="left"/>
    </xf>
    <xf numFmtId="169" fontId="54" fillId="30" borderId="18" xfId="1" applyNumberFormat="1" applyFont="1" applyFill="1" applyBorder="1" applyAlignment="1">
      <alignment horizontal="left"/>
    </xf>
    <xf numFmtId="0" fontId="48" fillId="30" borderId="0" xfId="0" applyFont="1" applyFill="1"/>
    <xf numFmtId="180" fontId="48" fillId="30" borderId="0" xfId="0" applyNumberFormat="1" applyFont="1" applyFill="1" applyAlignment="1">
      <alignment horizontal="center"/>
    </xf>
    <xf numFmtId="0" fontId="48" fillId="30" borderId="11" xfId="0" applyFont="1" applyFill="1" applyBorder="1" applyAlignment="1">
      <alignment horizontal="center"/>
    </xf>
    <xf numFmtId="0" fontId="48" fillId="30" borderId="46" xfId="0" applyFont="1" applyFill="1" applyBorder="1"/>
    <xf numFmtId="0" fontId="48" fillId="30" borderId="15" xfId="1" applyFont="1" applyFill="1" applyBorder="1"/>
    <xf numFmtId="0" fontId="49" fillId="30" borderId="15" xfId="1" applyFont="1" applyFill="1" applyBorder="1" applyAlignment="1">
      <alignment horizontal="left"/>
    </xf>
    <xf numFmtId="169" fontId="48" fillId="30" borderId="15" xfId="1" applyNumberFormat="1" applyFont="1" applyFill="1" applyBorder="1" applyAlignment="1">
      <alignment horizontal="left"/>
    </xf>
    <xf numFmtId="0" fontId="49" fillId="30" borderId="7" xfId="1" applyFont="1" applyFill="1" applyBorder="1"/>
    <xf numFmtId="0" fontId="49" fillId="30" borderId="8" xfId="1" applyFont="1" applyFill="1" applyBorder="1" applyAlignment="1">
      <alignment horizontal="left"/>
    </xf>
    <xf numFmtId="0" fontId="54" fillId="30" borderId="8" xfId="1" applyFont="1" applyFill="1" applyBorder="1" applyAlignment="1">
      <alignment horizontal="left"/>
    </xf>
    <xf numFmtId="167" fontId="48" fillId="30" borderId="8" xfId="1" applyNumberFormat="1" applyFont="1" applyFill="1" applyBorder="1" applyAlignment="1">
      <alignment horizontal="left"/>
    </xf>
    <xf numFmtId="0" fontId="49" fillId="30" borderId="12" xfId="0" applyFont="1" applyFill="1" applyBorder="1" applyAlignment="1">
      <alignment wrapText="1"/>
    </xf>
    <xf numFmtId="0" fontId="48" fillId="30" borderId="13" xfId="0" applyFont="1" applyFill="1" applyBorder="1" applyAlignment="1">
      <alignment horizontal="left"/>
    </xf>
    <xf numFmtId="168" fontId="57" fillId="30" borderId="13" xfId="0" applyNumberFormat="1" applyFont="1" applyFill="1" applyBorder="1" applyAlignment="1">
      <alignment horizontal="left"/>
    </xf>
    <xf numFmtId="0" fontId="36" fillId="30" borderId="6" xfId="0" applyFont="1" applyFill="1" applyBorder="1"/>
    <xf numFmtId="0" fontId="35" fillId="30" borderId="6" xfId="0" applyFont="1" applyFill="1" applyBorder="1"/>
    <xf numFmtId="0" fontId="48" fillId="30" borderId="31" xfId="0" applyFont="1" applyFill="1" applyBorder="1" applyAlignment="1">
      <alignment horizontal="center"/>
    </xf>
    <xf numFmtId="169" fontId="48" fillId="30" borderId="6" xfId="0" applyNumberFormat="1" applyFont="1" applyFill="1" applyBorder="1" applyAlignment="1">
      <alignment horizontal="center"/>
    </xf>
    <xf numFmtId="0" fontId="48" fillId="30" borderId="29" xfId="0" applyFont="1" applyFill="1" applyBorder="1" applyAlignment="1">
      <alignment horizontal="center"/>
    </xf>
    <xf numFmtId="0" fontId="48" fillId="30" borderId="68" xfId="0" applyFont="1" applyFill="1" applyBorder="1"/>
    <xf numFmtId="0" fontId="48" fillId="30" borderId="69" xfId="0" applyFont="1" applyFill="1" applyBorder="1"/>
    <xf numFmtId="0" fontId="48" fillId="30" borderId="70" xfId="0" applyFont="1" applyFill="1" applyBorder="1"/>
    <xf numFmtId="0" fontId="1" fillId="30" borderId="6" xfId="0" applyFont="1" applyFill="1" applyBorder="1"/>
    <xf numFmtId="1" fontId="0" fillId="30" borderId="6" xfId="0" applyNumberFormat="1" applyFill="1" applyBorder="1"/>
    <xf numFmtId="1" fontId="0" fillId="30" borderId="0" xfId="0" applyNumberFormat="1" applyFill="1"/>
    <xf numFmtId="166" fontId="0" fillId="0" borderId="6" xfId="0" applyNumberFormat="1" applyBorder="1"/>
    <xf numFmtId="0" fontId="0" fillId="30" borderId="14" xfId="0" applyFill="1" applyBorder="1" applyAlignment="1">
      <alignment wrapText="1"/>
    </xf>
    <xf numFmtId="0" fontId="0" fillId="30" borderId="3" xfId="0" applyFill="1" applyBorder="1" applyAlignment="1">
      <alignment horizontal="center"/>
    </xf>
    <xf numFmtId="0" fontId="0" fillId="30" borderId="19" xfId="0" applyFill="1" applyBorder="1" applyAlignment="1">
      <alignment wrapText="1"/>
    </xf>
    <xf numFmtId="0" fontId="0" fillId="30" borderId="0" xfId="0" applyFill="1" applyAlignment="1">
      <alignment horizontal="right"/>
    </xf>
    <xf numFmtId="171" fontId="1" fillId="30" borderId="3" xfId="0" applyNumberFormat="1" applyFont="1" applyFill="1" applyBorder="1" applyAlignment="1">
      <alignment horizontal="right"/>
    </xf>
    <xf numFmtId="0" fontId="0" fillId="30" borderId="3" xfId="0" applyFill="1" applyBorder="1"/>
    <xf numFmtId="0" fontId="0" fillId="30" borderId="21" xfId="3" applyFont="1" applyFill="1"/>
    <xf numFmtId="171" fontId="0" fillId="30" borderId="21" xfId="3" applyNumberFormat="1" applyFont="1" applyFill="1" applyAlignment="1">
      <alignment horizontal="center"/>
    </xf>
    <xf numFmtId="171" fontId="1" fillId="30" borderId="3" xfId="0" applyNumberFormat="1" applyFont="1" applyFill="1" applyBorder="1" applyAlignment="1">
      <alignment horizontal="center"/>
    </xf>
    <xf numFmtId="0" fontId="0" fillId="30" borderId="0" xfId="0" quotePrefix="1" applyFill="1" applyAlignment="1">
      <alignment horizontal="right"/>
    </xf>
    <xf numFmtId="0" fontId="15" fillId="30" borderId="19" xfId="0" applyFont="1" applyFill="1" applyBorder="1"/>
    <xf numFmtId="0" fontId="15" fillId="30" borderId="19" xfId="0" applyFont="1" applyFill="1" applyBorder="1" applyAlignment="1">
      <alignment horizontal="left"/>
    </xf>
    <xf numFmtId="0" fontId="0" fillId="0" borderId="34" xfId="0" applyBorder="1" applyAlignment="1">
      <alignment horizontal="right"/>
    </xf>
    <xf numFmtId="171" fontId="15" fillId="30" borderId="36" xfId="0" applyNumberFormat="1" applyFont="1" applyFill="1" applyBorder="1" applyAlignment="1">
      <alignment horizontal="center"/>
    </xf>
    <xf numFmtId="171" fontId="0" fillId="30" borderId="26" xfId="0" applyNumberFormat="1" applyFill="1" applyBorder="1" applyAlignment="1">
      <alignment horizontal="center"/>
    </xf>
    <xf numFmtId="174" fontId="15" fillId="30" borderId="26" xfId="0" applyNumberFormat="1" applyFont="1" applyFill="1" applyBorder="1" applyAlignment="1">
      <alignment horizontal="center"/>
    </xf>
    <xf numFmtId="0" fontId="0" fillId="5" borderId="19" xfId="0" applyFill="1" applyBorder="1"/>
    <xf numFmtId="174" fontId="0" fillId="5" borderId="26" xfId="0" applyNumberFormat="1" applyFill="1" applyBorder="1" applyAlignment="1">
      <alignment horizontal="center"/>
    </xf>
    <xf numFmtId="0" fontId="0" fillId="30" borderId="45" xfId="3" applyFont="1" applyFill="1" applyBorder="1" applyAlignment="1">
      <alignment wrapText="1"/>
    </xf>
    <xf numFmtId="171" fontId="15" fillId="30" borderId="44" xfId="3" applyNumberFormat="1" applyFont="1" applyFill="1" applyBorder="1" applyAlignment="1">
      <alignment horizontal="center"/>
    </xf>
    <xf numFmtId="0" fontId="0" fillId="30" borderId="0" xfId="0" applyFill="1" applyAlignment="1">
      <alignment vertical="center" wrapText="1"/>
    </xf>
    <xf numFmtId="0" fontId="0" fillId="30" borderId="0" xfId="0" applyFill="1" applyAlignment="1">
      <alignment vertical="center"/>
    </xf>
    <xf numFmtId="0" fontId="15" fillId="30" borderId="19" xfId="0" applyFont="1" applyFill="1" applyBorder="1" applyAlignment="1">
      <alignment wrapText="1"/>
    </xf>
    <xf numFmtId="171" fontId="1" fillId="30" borderId="0" xfId="0" applyNumberFormat="1" applyFont="1" applyFill="1" applyAlignment="1">
      <alignment horizontal="right"/>
    </xf>
    <xf numFmtId="0" fontId="15" fillId="30" borderId="9" xfId="0" applyFont="1" applyFill="1" applyBorder="1" applyAlignment="1">
      <alignment horizontal="left"/>
    </xf>
    <xf numFmtId="0" fontId="7" fillId="0" borderId="34" xfId="0" applyFont="1" applyBorder="1"/>
    <xf numFmtId="0" fontId="7" fillId="30" borderId="19" xfId="0" applyFont="1" applyFill="1" applyBorder="1"/>
    <xf numFmtId="0" fontId="15" fillId="5" borderId="19" xfId="0" applyFont="1" applyFill="1" applyBorder="1"/>
    <xf numFmtId="0" fontId="0" fillId="0" borderId="46" xfId="0" applyBorder="1"/>
    <xf numFmtId="0" fontId="0" fillId="30" borderId="0" xfId="0" applyFill="1" applyAlignment="1">
      <alignment horizontal="right" vertical="center"/>
    </xf>
    <xf numFmtId="171" fontId="0" fillId="30" borderId="3" xfId="0" applyNumberFormat="1" applyFill="1" applyBorder="1" applyAlignment="1">
      <alignment horizontal="center"/>
    </xf>
    <xf numFmtId="171" fontId="0" fillId="30" borderId="0" xfId="0" applyNumberFormat="1" applyFill="1" applyAlignment="1">
      <alignment horizontal="right"/>
    </xf>
    <xf numFmtId="0" fontId="0" fillId="30" borderId="3" xfId="0" applyFill="1" applyBorder="1" applyAlignment="1">
      <alignment horizontal="center" vertical="center"/>
    </xf>
    <xf numFmtId="174" fontId="15" fillId="30" borderId="35" xfId="0" applyNumberFormat="1" applyFont="1" applyFill="1" applyBorder="1" applyAlignment="1">
      <alignment horizontal="center"/>
    </xf>
    <xf numFmtId="0" fontId="59" fillId="5" borderId="33" xfId="0" applyFont="1" applyFill="1" applyBorder="1"/>
    <xf numFmtId="175" fontId="59" fillId="5" borderId="43" xfId="0" applyNumberFormat="1" applyFont="1" applyFill="1" applyBorder="1" applyAlignment="1">
      <alignment horizontal="center"/>
    </xf>
    <xf numFmtId="0" fontId="0" fillId="0" borderId="49" xfId="0" applyBorder="1"/>
    <xf numFmtId="0" fontId="60" fillId="30" borderId="38" xfId="0" applyFont="1" applyFill="1" applyBorder="1"/>
    <xf numFmtId="175" fontId="60" fillId="30" borderId="1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74" fontId="7" fillId="30" borderId="26" xfId="0" applyNumberFormat="1" applyFont="1" applyFill="1" applyBorder="1" applyAlignment="1">
      <alignment horizontal="center"/>
    </xf>
    <xf numFmtId="0" fontId="0" fillId="30" borderId="34" xfId="0" applyFill="1" applyBorder="1"/>
    <xf numFmtId="0" fontId="0" fillId="30" borderId="21" xfId="3" applyFont="1" applyFill="1" applyAlignment="1">
      <alignment wrapText="1"/>
    </xf>
    <xf numFmtId="171" fontId="15" fillId="30" borderId="21" xfId="3" applyNumberFormat="1" applyFont="1" applyFill="1" applyAlignment="1">
      <alignment horizontal="center"/>
    </xf>
    <xf numFmtId="0" fontId="0" fillId="30" borderId="27" xfId="0" applyFill="1" applyBorder="1" applyAlignment="1">
      <alignment wrapText="1"/>
    </xf>
    <xf numFmtId="171" fontId="1" fillId="30" borderId="0" xfId="0" applyNumberFormat="1" applyFont="1" applyFill="1"/>
    <xf numFmtId="171" fontId="1" fillId="30" borderId="3" xfId="0" applyNumberFormat="1" applyFont="1" applyFill="1" applyBorder="1"/>
    <xf numFmtId="0" fontId="15" fillId="30" borderId="27" xfId="0" applyFont="1" applyFill="1" applyBorder="1"/>
    <xf numFmtId="171" fontId="1" fillId="30" borderId="0" xfId="0" applyNumberFormat="1" applyFont="1" applyFill="1" applyAlignment="1">
      <alignment horizontal="center"/>
    </xf>
    <xf numFmtId="0" fontId="15" fillId="30" borderId="27" xfId="0" applyFont="1" applyFill="1" applyBorder="1" applyAlignment="1">
      <alignment horizontal="left"/>
    </xf>
    <xf numFmtId="0" fontId="0" fillId="30" borderId="32" xfId="0" applyFill="1" applyBorder="1"/>
    <xf numFmtId="0" fontId="0" fillId="5" borderId="34" xfId="0" applyFill="1" applyBorder="1"/>
    <xf numFmtId="0" fontId="0" fillId="5" borderId="27" xfId="0" applyFill="1" applyBorder="1"/>
    <xf numFmtId="0" fontId="0" fillId="5" borderId="32" xfId="0" applyFill="1" applyBorder="1"/>
    <xf numFmtId="0" fontId="59" fillId="5" borderId="53" xfId="0" applyFont="1" applyFill="1" applyBorder="1"/>
    <xf numFmtId="174" fontId="59" fillId="5" borderId="33" xfId="0" applyNumberFormat="1" applyFont="1" applyFill="1" applyBorder="1" applyAlignment="1">
      <alignment horizontal="center"/>
    </xf>
    <xf numFmtId="0" fontId="7" fillId="30" borderId="34" xfId="0" applyFont="1" applyFill="1" applyBorder="1"/>
    <xf numFmtId="0" fontId="7" fillId="30" borderId="27" xfId="0" applyFont="1" applyFill="1" applyBorder="1"/>
    <xf numFmtId="0" fontId="0" fillId="0" borderId="33" xfId="0" applyBorder="1"/>
    <xf numFmtId="0" fontId="37" fillId="30" borderId="0" xfId="0" applyFont="1" applyFill="1"/>
    <xf numFmtId="0" fontId="66" fillId="30" borderId="15" xfId="0" applyFont="1" applyFill="1" applyBorder="1"/>
    <xf numFmtId="0" fontId="66" fillId="30" borderId="6" xfId="0" applyFont="1" applyFill="1" applyBorder="1"/>
    <xf numFmtId="0" fontId="66" fillId="30" borderId="17" xfId="0" applyFont="1" applyFill="1" applyBorder="1"/>
    <xf numFmtId="0" fontId="67" fillId="30" borderId="17" xfId="0" applyFont="1" applyFill="1" applyBorder="1" applyAlignment="1">
      <alignment horizontal="left" vertical="center" readingOrder="1"/>
    </xf>
    <xf numFmtId="0" fontId="66" fillId="30" borderId="16" xfId="0" applyFont="1" applyFill="1" applyBorder="1"/>
    <xf numFmtId="0" fontId="66" fillId="30" borderId="9" xfId="0" applyFont="1" applyFill="1" applyBorder="1"/>
    <xf numFmtId="0" fontId="66" fillId="30" borderId="11" xfId="0" applyFont="1" applyFill="1" applyBorder="1"/>
    <xf numFmtId="0" fontId="67" fillId="30" borderId="11" xfId="0" applyFont="1" applyFill="1" applyBorder="1" applyAlignment="1">
      <alignment horizontal="left" readingOrder="1"/>
    </xf>
    <xf numFmtId="0" fontId="66" fillId="30" borderId="14" xfId="0" applyFont="1" applyFill="1" applyBorder="1"/>
    <xf numFmtId="0" fontId="68" fillId="30" borderId="15" xfId="0" applyFont="1" applyFill="1" applyBorder="1"/>
    <xf numFmtId="0" fontId="68" fillId="30" borderId="6" xfId="0" applyFont="1" applyFill="1" applyBorder="1"/>
    <xf numFmtId="0" fontId="69" fillId="30" borderId="0" xfId="0" applyFont="1" applyFill="1"/>
    <xf numFmtId="0" fontId="70" fillId="30" borderId="0" xfId="0" applyFont="1" applyFill="1"/>
    <xf numFmtId="0" fontId="71" fillId="30" borderId="15" xfId="0" applyFont="1" applyFill="1" applyBorder="1" applyAlignment="1">
      <alignment horizontal="left" vertical="center" wrapText="1" readingOrder="1"/>
    </xf>
    <xf numFmtId="0" fontId="71" fillId="30" borderId="6" xfId="0" applyFont="1" applyFill="1" applyBorder="1" applyAlignment="1">
      <alignment horizontal="left" vertical="center" wrapText="1" readingOrder="1"/>
    </xf>
    <xf numFmtId="0" fontId="71" fillId="30" borderId="16" xfId="0" applyFont="1" applyFill="1" applyBorder="1" applyAlignment="1">
      <alignment horizontal="left" vertical="center" wrapText="1" readingOrder="1"/>
    </xf>
    <xf numFmtId="12" fontId="62" fillId="30" borderId="6" xfId="0" applyNumberFormat="1" applyFont="1" applyFill="1" applyBorder="1"/>
    <xf numFmtId="0" fontId="72" fillId="30" borderId="15" xfId="0" applyFont="1" applyFill="1" applyBorder="1" applyAlignment="1">
      <alignment horizontal="left" vertical="center" wrapText="1" readingOrder="1"/>
    </xf>
    <xf numFmtId="0" fontId="72" fillId="30" borderId="6" xfId="0" applyFont="1" applyFill="1" applyBorder="1" applyAlignment="1">
      <alignment horizontal="left" vertical="center" wrapText="1" readingOrder="1"/>
    </xf>
    <xf numFmtId="0" fontId="73" fillId="0" borderId="6" xfId="0" applyFont="1" applyBorder="1"/>
    <xf numFmtId="0" fontId="61" fillId="0" borderId="6" xfId="0" applyFont="1" applyBorder="1"/>
    <xf numFmtId="0" fontId="74" fillId="0" borderId="19" xfId="0" applyFont="1" applyBorder="1"/>
    <xf numFmtId="0" fontId="66" fillId="30" borderId="7" xfId="0" applyFont="1" applyFill="1" applyBorder="1"/>
    <xf numFmtId="0" fontId="66" fillId="30" borderId="18" xfId="0" applyFont="1" applyFill="1" applyBorder="1"/>
    <xf numFmtId="0" fontId="66" fillId="30" borderId="7" xfId="0" applyFont="1" applyFill="1" applyBorder="1" applyAlignment="1">
      <alignment vertical="top"/>
    </xf>
    <xf numFmtId="0" fontId="66" fillId="30" borderId="10" xfId="0" applyFont="1" applyFill="1" applyBorder="1"/>
    <xf numFmtId="0" fontId="66" fillId="30" borderId="12" xfId="0" applyFont="1" applyFill="1" applyBorder="1"/>
    <xf numFmtId="0" fontId="75" fillId="30" borderId="18" xfId="0" applyFont="1" applyFill="1" applyBorder="1"/>
    <xf numFmtId="0" fontId="67" fillId="30" borderId="6" xfId="0" applyFont="1" applyFill="1" applyBorder="1" applyAlignment="1">
      <alignment horizontal="left" vertical="center" readingOrder="1"/>
    </xf>
    <xf numFmtId="0" fontId="66" fillId="30" borderId="19" xfId="0" applyFont="1" applyFill="1" applyBorder="1"/>
    <xf numFmtId="0" fontId="1" fillId="36" borderId="6" xfId="0" applyFont="1" applyFill="1" applyBorder="1"/>
    <xf numFmtId="0" fontId="0" fillId="36" borderId="6" xfId="0" applyFill="1" applyBorder="1"/>
    <xf numFmtId="0" fontId="39" fillId="30" borderId="0" xfId="0" applyFont="1" applyFill="1" applyAlignment="1">
      <alignment vertical="center" wrapText="1"/>
    </xf>
    <xf numFmtId="0" fontId="40" fillId="30" borderId="0" xfId="0" applyFont="1" applyFill="1" applyAlignment="1">
      <alignment vertical="center" wrapText="1"/>
    </xf>
    <xf numFmtId="15" fontId="0" fillId="30" borderId="6" xfId="0" applyNumberFormat="1" applyFill="1" applyBorder="1"/>
    <xf numFmtId="15" fontId="0" fillId="30" borderId="0" xfId="0" applyNumberFormat="1" applyFill="1"/>
    <xf numFmtId="0" fontId="0" fillId="42" borderId="0" xfId="0" applyFill="1"/>
    <xf numFmtId="15" fontId="0" fillId="40" borderId="6" xfId="0" applyNumberFormat="1" applyFill="1" applyBorder="1"/>
    <xf numFmtId="0" fontId="68" fillId="42" borderId="18" xfId="0" applyFont="1" applyFill="1" applyBorder="1"/>
    <xf numFmtId="0" fontId="68" fillId="42" borderId="6" xfId="0" applyFont="1" applyFill="1" applyBorder="1"/>
    <xf numFmtId="0" fontId="68" fillId="42" borderId="19" xfId="0" applyFont="1" applyFill="1" applyBorder="1"/>
    <xf numFmtId="0" fontId="66" fillId="43" borderId="7" xfId="0" applyFont="1" applyFill="1" applyBorder="1"/>
    <xf numFmtId="0" fontId="66" fillId="43" borderId="18" xfId="0" applyFont="1" applyFill="1" applyBorder="1"/>
    <xf numFmtId="0" fontId="66" fillId="43" borderId="15" xfId="0" applyFont="1" applyFill="1" applyBorder="1"/>
    <xf numFmtId="0" fontId="66" fillId="43" borderId="9" xfId="0" applyFont="1" applyFill="1" applyBorder="1"/>
    <xf numFmtId="0" fontId="66" fillId="43" borderId="16" xfId="0" applyFont="1" applyFill="1" applyBorder="1"/>
    <xf numFmtId="0" fontId="66" fillId="43" borderId="14" xfId="0" applyFont="1" applyFill="1" applyBorder="1"/>
    <xf numFmtId="0" fontId="24" fillId="8" borderId="15" xfId="0" applyFont="1" applyFill="1" applyBorder="1"/>
    <xf numFmtId="0" fontId="25" fillId="8" borderId="17" xfId="0" applyFont="1" applyFill="1" applyBorder="1"/>
    <xf numFmtId="0" fontId="27" fillId="8" borderId="17" xfId="0" applyFont="1" applyFill="1" applyBorder="1" applyAlignment="1">
      <alignment vertical="center"/>
    </xf>
    <xf numFmtId="0" fontId="26" fillId="8" borderId="17" xfId="0" applyFont="1" applyFill="1" applyBorder="1"/>
    <xf numFmtId="0" fontId="26" fillId="8" borderId="16" xfId="0" applyFont="1" applyFill="1" applyBorder="1"/>
    <xf numFmtId="0" fontId="26" fillId="9" borderId="15" xfId="0" applyFont="1" applyFill="1" applyBorder="1"/>
    <xf numFmtId="0" fontId="26" fillId="9" borderId="16" xfId="0" applyFont="1" applyFill="1" applyBorder="1"/>
    <xf numFmtId="0" fontId="26" fillId="10" borderId="15" xfId="0" applyFont="1" applyFill="1" applyBorder="1"/>
    <xf numFmtId="0" fontId="26" fillId="10" borderId="17" xfId="0" applyFont="1" applyFill="1" applyBorder="1"/>
    <xf numFmtId="0" fontId="26" fillId="10" borderId="16" xfId="0" applyFont="1" applyFill="1" applyBorder="1"/>
    <xf numFmtId="0" fontId="26" fillId="11" borderId="15" xfId="0" applyFont="1" applyFill="1" applyBorder="1"/>
    <xf numFmtId="0" fontId="26" fillId="11" borderId="16" xfId="0" applyFont="1" applyFill="1" applyBorder="1"/>
    <xf numFmtId="0" fontId="26" fillId="8" borderId="15" xfId="0" applyFont="1" applyFill="1" applyBorder="1"/>
    <xf numFmtId="0" fontId="28" fillId="3" borderId="9" xfId="0" applyFont="1" applyFill="1" applyBorder="1"/>
    <xf numFmtId="0" fontId="28" fillId="3" borderId="11" xfId="0" applyFont="1" applyFill="1" applyBorder="1"/>
    <xf numFmtId="0" fontId="26" fillId="3" borderId="11" xfId="0" applyFont="1" applyFill="1" applyBorder="1"/>
    <xf numFmtId="0" fontId="28" fillId="3" borderId="14" xfId="0" applyFont="1" applyFill="1" applyBorder="1"/>
    <xf numFmtId="0" fontId="26" fillId="4" borderId="9" xfId="0" applyFont="1" applyFill="1" applyBorder="1"/>
    <xf numFmtId="0" fontId="26" fillId="5" borderId="11" xfId="0" applyFont="1" applyFill="1" applyBorder="1"/>
    <xf numFmtId="0" fontId="26" fillId="6" borderId="11" xfId="0" applyFont="1" applyFill="1" applyBorder="1"/>
    <xf numFmtId="0" fontId="26" fillId="6" borderId="14" xfId="0" applyFont="1" applyFill="1" applyBorder="1"/>
    <xf numFmtId="0" fontId="26" fillId="3" borderId="9" xfId="0" applyFont="1" applyFill="1" applyBorder="1"/>
    <xf numFmtId="0" fontId="26" fillId="3" borderId="14" xfId="0" applyFont="1" applyFill="1" applyBorder="1"/>
    <xf numFmtId="0" fontId="26" fillId="4" borderId="19" xfId="0" applyFont="1" applyFill="1" applyBorder="1"/>
    <xf numFmtId="0" fontId="26" fillId="5" borderId="19" xfId="0" applyFont="1" applyFill="1" applyBorder="1"/>
    <xf numFmtId="0" fontId="26" fillId="6" borderId="9" xfId="0" applyFont="1" applyFill="1" applyBorder="1"/>
    <xf numFmtId="0" fontId="23" fillId="36" borderId="6" xfId="0" applyFont="1" applyFill="1" applyBorder="1" applyAlignment="1">
      <alignment vertical="center" wrapText="1"/>
    </xf>
    <xf numFmtId="0" fontId="23" fillId="36" borderId="52" xfId="0" applyFont="1" applyFill="1" applyBorder="1" applyAlignment="1">
      <alignment vertical="center" wrapText="1"/>
    </xf>
    <xf numFmtId="0" fontId="0" fillId="36" borderId="18" xfId="0" applyFill="1" applyBorder="1"/>
    <xf numFmtId="0" fontId="43" fillId="36" borderId="6" xfId="0" applyFont="1" applyFill="1" applyBorder="1"/>
    <xf numFmtId="0" fontId="62" fillId="2" borderId="15" xfId="0" applyFont="1" applyFill="1" applyBorder="1"/>
    <xf numFmtId="0" fontId="43" fillId="2" borderId="0" xfId="0" applyFont="1" applyFill="1"/>
    <xf numFmtId="0" fontId="48" fillId="2" borderId="0" xfId="0" applyFont="1" applyFill="1"/>
    <xf numFmtId="0" fontId="63" fillId="2" borderId="17" xfId="0" applyFont="1" applyFill="1" applyBorder="1"/>
    <xf numFmtId="0" fontId="61" fillId="2" borderId="6" xfId="0" applyFont="1" applyFill="1" applyBorder="1"/>
    <xf numFmtId="0" fontId="43" fillId="2" borderId="16" xfId="0" applyFont="1" applyFill="1" applyBorder="1"/>
    <xf numFmtId="0" fontId="43" fillId="2" borderId="15" xfId="0" applyFont="1" applyFill="1" applyBorder="1"/>
    <xf numFmtId="0" fontId="44" fillId="0" borderId="43" xfId="0" applyFont="1" applyBorder="1" applyAlignment="1">
      <alignment vertical="center" wrapText="1"/>
    </xf>
    <xf numFmtId="0" fontId="44" fillId="0" borderId="56" xfId="0" applyFont="1" applyBorder="1" applyAlignment="1">
      <alignment vertical="center" wrapText="1"/>
    </xf>
    <xf numFmtId="0" fontId="44" fillId="2" borderId="0" xfId="0" applyFont="1" applyFill="1" applyAlignment="1">
      <alignment vertical="center"/>
    </xf>
    <xf numFmtId="0" fontId="46" fillId="30" borderId="0" xfId="0" applyFont="1" applyFill="1" applyAlignment="1">
      <alignment horizontal="center" vertical="center"/>
    </xf>
    <xf numFmtId="0" fontId="78" fillId="0" borderId="0" xfId="0" applyFont="1"/>
    <xf numFmtId="0" fontId="78" fillId="0" borderId="6" xfId="0" applyFont="1" applyBorder="1"/>
    <xf numFmtId="0" fontId="78" fillId="0" borderId="14" xfId="0" applyFont="1" applyBorder="1"/>
    <xf numFmtId="0" fontId="76" fillId="30" borderId="6" xfId="0" applyFont="1" applyFill="1" applyBorder="1"/>
    <xf numFmtId="0" fontId="77" fillId="30" borderId="6" xfId="0" applyFont="1" applyFill="1" applyBorder="1"/>
    <xf numFmtId="0" fontId="78" fillId="30" borderId="6" xfId="0" applyFont="1" applyFill="1" applyBorder="1"/>
    <xf numFmtId="0" fontId="78" fillId="30" borderId="0" xfId="0" applyFont="1" applyFill="1"/>
    <xf numFmtId="0" fontId="78" fillId="30" borderId="15" xfId="0" applyFont="1" applyFill="1" applyBorder="1"/>
    <xf numFmtId="0" fontId="78" fillId="30" borderId="17" xfId="0" applyFont="1" applyFill="1" applyBorder="1"/>
    <xf numFmtId="0" fontId="78" fillId="30" borderId="7" xfId="0" applyFont="1" applyFill="1" applyBorder="1"/>
    <xf numFmtId="0" fontId="78" fillId="30" borderId="9" xfId="0" applyFont="1" applyFill="1" applyBorder="1"/>
    <xf numFmtId="0" fontId="78" fillId="30" borderId="10" xfId="0" applyFont="1" applyFill="1" applyBorder="1"/>
    <xf numFmtId="0" fontId="78" fillId="30" borderId="11" xfId="0" applyFont="1" applyFill="1" applyBorder="1"/>
    <xf numFmtId="0" fontId="78" fillId="30" borderId="12" xfId="0" applyFont="1" applyFill="1" applyBorder="1"/>
    <xf numFmtId="0" fontId="78" fillId="30" borderId="14" xfId="0" applyFont="1" applyFill="1" applyBorder="1"/>
    <xf numFmtId="0" fontId="79" fillId="30" borderId="0" xfId="0" applyFont="1" applyFill="1"/>
    <xf numFmtId="0" fontId="79" fillId="30" borderId="7" xfId="0" applyFont="1" applyFill="1" applyBorder="1"/>
    <xf numFmtId="0" fontId="78" fillId="30" borderId="8" xfId="0" applyFont="1" applyFill="1" applyBorder="1"/>
    <xf numFmtId="0" fontId="78" fillId="30" borderId="16" xfId="0" applyFont="1" applyFill="1" applyBorder="1"/>
    <xf numFmtId="0" fontId="79" fillId="30" borderId="6" xfId="0" applyFont="1" applyFill="1" applyBorder="1"/>
    <xf numFmtId="0" fontId="80" fillId="30" borderId="0" xfId="0" applyFont="1" applyFill="1"/>
    <xf numFmtId="0" fontId="79" fillId="30" borderId="18" xfId="0" applyFont="1" applyFill="1" applyBorder="1"/>
    <xf numFmtId="0" fontId="78" fillId="30" borderId="19" xfId="0" applyFont="1" applyFill="1" applyBorder="1"/>
    <xf numFmtId="0" fontId="78" fillId="30" borderId="18" xfId="0" applyFont="1" applyFill="1" applyBorder="1"/>
    <xf numFmtId="0" fontId="79" fillId="30" borderId="19" xfId="0" applyFont="1" applyFill="1" applyBorder="1"/>
    <xf numFmtId="0" fontId="78" fillId="30" borderId="52" xfId="0" applyFont="1" applyFill="1" applyBorder="1"/>
    <xf numFmtId="0" fontId="79" fillId="30" borderId="15" xfId="0" applyFont="1" applyFill="1" applyBorder="1"/>
    <xf numFmtId="0" fontId="81" fillId="30" borderId="0" xfId="0" applyFont="1" applyFill="1"/>
    <xf numFmtId="0" fontId="1" fillId="30" borderId="7" xfId="0" applyFont="1" applyFill="1" applyBorder="1"/>
    <xf numFmtId="0" fontId="1" fillId="30" borderId="12" xfId="0" applyFont="1" applyFill="1" applyBorder="1"/>
    <xf numFmtId="0" fontId="79" fillId="0" borderId="7" xfId="0" applyFont="1" applyBorder="1"/>
    <xf numFmtId="0" fontId="80" fillId="30" borderId="6" xfId="0" applyFont="1" applyFill="1" applyBorder="1"/>
    <xf numFmtId="0" fontId="35" fillId="30" borderId="0" xfId="0" applyFont="1" applyFill="1"/>
    <xf numFmtId="0" fontId="43" fillId="30" borderId="0" xfId="0" applyFont="1" applyFill="1"/>
    <xf numFmtId="0" fontId="82" fillId="30" borderId="0" xfId="0" applyFont="1" applyFill="1"/>
    <xf numFmtId="0" fontId="48" fillId="0" borderId="0" xfId="0" applyFont="1"/>
    <xf numFmtId="0" fontId="49" fillId="30" borderId="0" xfId="0" applyFont="1" applyFill="1"/>
    <xf numFmtId="0" fontId="48" fillId="0" borderId="6" xfId="0" applyFont="1" applyBorder="1"/>
    <xf numFmtId="0" fontId="48" fillId="30" borderId="8" xfId="0" applyFont="1" applyFill="1" applyBorder="1"/>
    <xf numFmtId="0" fontId="55" fillId="30" borderId="0" xfId="0" applyFont="1" applyFill="1"/>
    <xf numFmtId="0" fontId="52" fillId="30" borderId="18" xfId="0" applyFont="1" applyFill="1" applyBorder="1"/>
    <xf numFmtId="0" fontId="48" fillId="30" borderId="52" xfId="0" applyFont="1" applyFill="1" applyBorder="1"/>
    <xf numFmtId="0" fontId="49" fillId="30" borderId="6" xfId="0" applyFont="1" applyFill="1" applyBorder="1"/>
    <xf numFmtId="0" fontId="49" fillId="30" borderId="18" xfId="0" applyFont="1" applyFill="1" applyBorder="1"/>
    <xf numFmtId="0" fontId="49" fillId="30" borderId="52" xfId="0" applyFont="1" applyFill="1" applyBorder="1"/>
    <xf numFmtId="0" fontId="49" fillId="30" borderId="19" xfId="0" applyFont="1" applyFill="1" applyBorder="1"/>
    <xf numFmtId="0" fontId="49" fillId="30" borderId="15" xfId="0" applyFont="1" applyFill="1" applyBorder="1"/>
    <xf numFmtId="0" fontId="49" fillId="30" borderId="12" xfId="0" applyFont="1" applyFill="1" applyBorder="1"/>
    <xf numFmtId="0" fontId="0" fillId="28" borderId="15" xfId="0" applyFill="1" applyBorder="1" applyAlignment="1">
      <alignment horizontal="center" vertical="center"/>
    </xf>
    <xf numFmtId="0" fontId="0" fillId="28" borderId="1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8" borderId="17" xfId="0" applyFill="1" applyBorder="1" applyAlignment="1">
      <alignment horizontal="center" vertical="center"/>
    </xf>
    <xf numFmtId="0" fontId="0" fillId="28" borderId="42" xfId="0" applyFill="1" applyBorder="1" applyAlignment="1">
      <alignment horizontal="center"/>
    </xf>
    <xf numFmtId="0" fontId="0" fillId="28" borderId="41" xfId="0" applyFill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71" fillId="30" borderId="19" xfId="0" applyFont="1" applyFill="1" applyBorder="1" applyAlignment="1">
      <alignment horizontal="left" vertical="center" wrapText="1" readingOrder="1"/>
    </xf>
    <xf numFmtId="0" fontId="51" fillId="30" borderId="43" xfId="0" applyFont="1" applyFill="1" applyBorder="1" applyAlignment="1">
      <alignment horizontal="justify" vertical="center"/>
    </xf>
    <xf numFmtId="0" fontId="51" fillId="30" borderId="56" xfId="0" applyFont="1" applyFill="1" applyBorder="1" applyAlignment="1">
      <alignment horizontal="justify" vertical="center"/>
    </xf>
    <xf numFmtId="0" fontId="51" fillId="30" borderId="31" xfId="0" applyFont="1" applyFill="1" applyBorder="1" applyAlignment="1">
      <alignment horizontal="justify" vertical="center"/>
    </xf>
    <xf numFmtId="0" fontId="51" fillId="30" borderId="49" xfId="0" applyFont="1" applyFill="1" applyBorder="1" applyAlignment="1">
      <alignment horizontal="justify" vertical="center"/>
    </xf>
    <xf numFmtId="0" fontId="51" fillId="30" borderId="2" xfId="0" applyFont="1" applyFill="1" applyBorder="1" applyAlignment="1">
      <alignment horizontal="justify" vertical="center"/>
    </xf>
    <xf numFmtId="0" fontId="51" fillId="30" borderId="3" xfId="0" applyFont="1" applyFill="1" applyBorder="1" applyAlignment="1">
      <alignment horizontal="justify" vertical="center"/>
    </xf>
    <xf numFmtId="0" fontId="51" fillId="30" borderId="57" xfId="0" applyFont="1" applyFill="1" applyBorder="1" applyAlignment="1">
      <alignment horizontal="justify" vertical="center"/>
    </xf>
    <xf numFmtId="0" fontId="51" fillId="30" borderId="48" xfId="0" applyFont="1" applyFill="1" applyBorder="1" applyAlignment="1">
      <alignment horizontal="justify" vertical="center"/>
    </xf>
    <xf numFmtId="0" fontId="51" fillId="30" borderId="5" xfId="0" applyFont="1" applyFill="1" applyBorder="1" applyAlignment="1">
      <alignment horizontal="justify" vertical="center"/>
    </xf>
    <xf numFmtId="0" fontId="39" fillId="0" borderId="0" xfId="0" applyFont="1" applyAlignment="1">
      <alignment vertical="center" wrapText="1"/>
    </xf>
    <xf numFmtId="0" fontId="40" fillId="0" borderId="0" xfId="0" applyFont="1" applyAlignment="1">
      <alignment vertical="center" wrapText="1"/>
    </xf>
    <xf numFmtId="0" fontId="39" fillId="30" borderId="0" xfId="0" applyFont="1" applyFill="1" applyAlignment="1">
      <alignment vertical="center" wrapText="1"/>
    </xf>
    <xf numFmtId="0" fontId="40" fillId="30" borderId="0" xfId="0" applyFont="1" applyFill="1" applyAlignment="1">
      <alignment vertical="center" wrapText="1"/>
    </xf>
    <xf numFmtId="0" fontId="32" fillId="33" borderId="6" xfId="0" applyFont="1" applyFill="1" applyBorder="1" applyAlignment="1">
      <alignment horizontal="left" vertical="center" wrapText="1" readingOrder="1"/>
    </xf>
    <xf numFmtId="0" fontId="30" fillId="30" borderId="6" xfId="0" applyFont="1" applyFill="1" applyBorder="1" applyAlignment="1">
      <alignment horizontal="left" vertical="center" wrapText="1" readingOrder="1"/>
    </xf>
    <xf numFmtId="0" fontId="30" fillId="30" borderId="18" xfId="0" applyFont="1" applyFill="1" applyBorder="1" applyAlignment="1">
      <alignment horizontal="left" vertical="center" wrapText="1" readingOrder="1"/>
    </xf>
    <xf numFmtId="0" fontId="30" fillId="30" borderId="19" xfId="0" applyFont="1" applyFill="1" applyBorder="1" applyAlignment="1">
      <alignment horizontal="left" vertical="center" wrapText="1" readingOrder="1"/>
    </xf>
    <xf numFmtId="0" fontId="48" fillId="30" borderId="20" xfId="2" applyFont="1" applyFill="1" applyAlignment="1">
      <alignment horizontal="center"/>
    </xf>
    <xf numFmtId="0" fontId="0" fillId="30" borderId="1" xfId="0" applyFill="1" applyBorder="1" applyAlignment="1">
      <alignment horizontal="center"/>
    </xf>
    <xf numFmtId="0" fontId="0" fillId="30" borderId="0" xfId="0" applyFill="1" applyAlignment="1">
      <alignment horizontal="center" vertical="center" wrapText="1"/>
    </xf>
    <xf numFmtId="0" fontId="17" fillId="0" borderId="39" xfId="0" applyFont="1" applyBorder="1" applyAlignment="1">
      <alignment horizontal="center"/>
    </xf>
    <xf numFmtId="0" fontId="16" fillId="0" borderId="31" xfId="0" applyFont="1" applyBorder="1" applyAlignment="1">
      <alignment horizontal="center"/>
    </xf>
    <xf numFmtId="0" fontId="15" fillId="23" borderId="39" xfId="5" applyFont="1" applyBorder="1" applyAlignment="1">
      <alignment horizontal="center"/>
    </xf>
    <xf numFmtId="0" fontId="17" fillId="0" borderId="51" xfId="0" applyFont="1" applyBorder="1" applyAlignment="1">
      <alignment horizontal="center"/>
    </xf>
    <xf numFmtId="0" fontId="16" fillId="0" borderId="39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19" fillId="25" borderId="39" xfId="0" applyFont="1" applyFill="1" applyBorder="1" applyAlignment="1">
      <alignment horizontal="center"/>
    </xf>
    <xf numFmtId="0" fontId="12" fillId="25" borderId="41" xfId="0" applyFont="1" applyFill="1" applyBorder="1" applyAlignment="1">
      <alignment horizontal="center"/>
    </xf>
    <xf numFmtId="0" fontId="4" fillId="20" borderId="20" xfId="2" applyAlignment="1">
      <alignment horizontal="center"/>
    </xf>
    <xf numFmtId="0" fontId="16" fillId="30" borderId="39" xfId="0" applyFont="1" applyFill="1" applyBorder="1" applyAlignment="1">
      <alignment horizontal="center"/>
    </xf>
    <xf numFmtId="0" fontId="49" fillId="30" borderId="39" xfId="0" applyFont="1" applyFill="1" applyBorder="1" applyAlignment="1">
      <alignment horizontal="center"/>
    </xf>
    <xf numFmtId="0" fontId="49" fillId="30" borderId="42" xfId="0" applyFont="1" applyFill="1" applyBorder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21" fillId="25" borderId="39" xfId="0" applyFont="1" applyFill="1" applyBorder="1" applyAlignment="1">
      <alignment horizontal="center"/>
    </xf>
    <xf numFmtId="0" fontId="12" fillId="25" borderId="42" xfId="0" applyFont="1" applyFill="1" applyBorder="1" applyAlignment="1">
      <alignment horizontal="center"/>
    </xf>
    <xf numFmtId="0" fontId="48" fillId="30" borderId="31" xfId="0" applyFont="1" applyFill="1" applyBorder="1" applyAlignment="1">
      <alignment horizontal="center"/>
    </xf>
    <xf numFmtId="0" fontId="48" fillId="30" borderId="8" xfId="2" applyFont="1" applyFill="1" applyBorder="1" applyAlignment="1">
      <alignment horizontal="center"/>
    </xf>
    <xf numFmtId="0" fontId="48" fillId="30" borderId="9" xfId="2" applyFont="1" applyFill="1" applyBorder="1" applyAlignment="1">
      <alignment horizontal="center"/>
    </xf>
    <xf numFmtId="0" fontId="48" fillId="30" borderId="13" xfId="2" applyFont="1" applyFill="1" applyBorder="1" applyAlignment="1">
      <alignment horizontal="center"/>
    </xf>
    <xf numFmtId="0" fontId="48" fillId="30" borderId="58" xfId="2" applyFont="1" applyFill="1" applyBorder="1" applyAlignment="1">
      <alignment horizontal="center"/>
    </xf>
    <xf numFmtId="0" fontId="0" fillId="30" borderId="4" xfId="0" applyFill="1" applyBorder="1" applyAlignment="1">
      <alignment horizontal="center"/>
    </xf>
    <xf numFmtId="0" fontId="0" fillId="30" borderId="31" xfId="0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7" fillId="0" borderId="38" xfId="0" applyFont="1" applyBorder="1" applyAlignment="1">
      <alignment horizontal="center"/>
    </xf>
    <xf numFmtId="0" fontId="49" fillId="30" borderId="38" xfId="0" applyFont="1" applyFill="1" applyBorder="1" applyAlignment="1">
      <alignment horizontal="center"/>
    </xf>
    <xf numFmtId="0" fontId="49" fillId="30" borderId="37" xfId="0" applyFont="1" applyFill="1" applyBorder="1" applyAlignment="1">
      <alignment horizontal="center"/>
    </xf>
    <xf numFmtId="0" fontId="0" fillId="30" borderId="34" xfId="0" applyFill="1" applyBorder="1" applyAlignment="1">
      <alignment horizontal="right"/>
    </xf>
    <xf numFmtId="0" fontId="0" fillId="30" borderId="8" xfId="0" applyFont="1" applyFill="1" applyBorder="1"/>
    <xf numFmtId="174" fontId="59" fillId="30" borderId="43" xfId="0" applyNumberFormat="1" applyFont="1" applyFill="1" applyBorder="1" applyAlignment="1">
      <alignment horizontal="center"/>
    </xf>
    <xf numFmtId="0" fontId="0" fillId="30" borderId="6" xfId="0" applyFont="1" applyFill="1" applyBorder="1"/>
    <xf numFmtId="0" fontId="0" fillId="30" borderId="19" xfId="0" applyFont="1" applyFill="1" applyBorder="1"/>
    <xf numFmtId="0" fontId="0" fillId="30" borderId="3" xfId="0" applyFill="1" applyBorder="1" applyAlignment="1">
      <alignment horizontal="center" vertical="center" wrapText="1"/>
    </xf>
    <xf numFmtId="0" fontId="0" fillId="30" borderId="4" xfId="0" applyFill="1" applyBorder="1" applyAlignment="1">
      <alignment horizontal="center" vertical="center" wrapText="1"/>
    </xf>
    <xf numFmtId="0" fontId="0" fillId="30" borderId="5" xfId="0" applyFill="1" applyBorder="1" applyAlignment="1">
      <alignment horizontal="center" vertical="center" wrapText="1"/>
    </xf>
    <xf numFmtId="0" fontId="43" fillId="30" borderId="29" xfId="0" applyFont="1" applyFill="1" applyBorder="1"/>
    <xf numFmtId="0" fontId="43" fillId="30" borderId="29" xfId="0" applyFont="1" applyFill="1" applyBorder="1" applyAlignment="1">
      <alignment horizontal="left"/>
    </xf>
    <xf numFmtId="0" fontId="43" fillId="30" borderId="6" xfId="0" applyFont="1" applyFill="1" applyBorder="1" applyAlignment="1">
      <alignment horizontal="left"/>
    </xf>
    <xf numFmtId="0" fontId="83" fillId="30" borderId="62" xfId="0" applyFont="1" applyFill="1" applyBorder="1" applyAlignment="1">
      <alignment horizontal="center"/>
    </xf>
    <xf numFmtId="0" fontId="83" fillId="30" borderId="63" xfId="0" applyFont="1" applyFill="1" applyBorder="1" applyAlignment="1">
      <alignment horizontal="center"/>
    </xf>
    <xf numFmtId="0" fontId="43" fillId="30" borderId="6" xfId="0" applyFont="1" applyFill="1" applyBorder="1" applyAlignment="1">
      <alignment wrapText="1"/>
    </xf>
    <xf numFmtId="171" fontId="43" fillId="30" borderId="6" xfId="0" applyNumberFormat="1" applyFont="1" applyFill="1" applyBorder="1" applyAlignment="1">
      <alignment horizontal="left"/>
    </xf>
    <xf numFmtId="170" fontId="43" fillId="30" borderId="6" xfId="0" applyNumberFormat="1" applyFont="1" applyFill="1" applyBorder="1" applyAlignment="1">
      <alignment horizontal="left"/>
    </xf>
    <xf numFmtId="168" fontId="43" fillId="30" borderId="6" xfId="0" applyNumberFormat="1" applyFont="1" applyFill="1" applyBorder="1" applyAlignment="1">
      <alignment horizontal="left"/>
    </xf>
    <xf numFmtId="0" fontId="0" fillId="0" borderId="64" xfId="0" applyFont="1" applyBorder="1"/>
    <xf numFmtId="0" fontId="83" fillId="30" borderId="65" xfId="0" applyFont="1" applyFill="1" applyBorder="1" applyAlignment="1">
      <alignment horizontal="center"/>
    </xf>
    <xf numFmtId="0" fontId="83" fillId="30" borderId="66" xfId="0" applyFont="1" applyFill="1" applyBorder="1" applyAlignment="1">
      <alignment horizontal="center"/>
    </xf>
    <xf numFmtId="0" fontId="83" fillId="30" borderId="67" xfId="0" applyFont="1" applyFill="1" applyBorder="1" applyAlignment="1">
      <alignment horizontal="center"/>
    </xf>
    <xf numFmtId="0" fontId="43" fillId="30" borderId="6" xfId="0" applyFont="1" applyFill="1" applyBorder="1"/>
    <xf numFmtId="0" fontId="83" fillId="30" borderId="6" xfId="0" applyFont="1" applyFill="1" applyBorder="1" applyAlignment="1">
      <alignment horizontal="center"/>
    </xf>
    <xf numFmtId="0" fontId="43" fillId="30" borderId="6" xfId="0" applyFont="1" applyFill="1" applyBorder="1" applyAlignment="1">
      <alignment horizontal="center"/>
    </xf>
    <xf numFmtId="0" fontId="43" fillId="30" borderId="19" xfId="0" applyFont="1" applyFill="1" applyBorder="1" applyAlignment="1">
      <alignment wrapText="1"/>
    </xf>
    <xf numFmtId="0" fontId="43" fillId="30" borderId="26" xfId="0" applyFont="1" applyFill="1" applyBorder="1" applyAlignment="1">
      <alignment horizontal="center"/>
    </xf>
    <xf numFmtId="168" fontId="43" fillId="30" borderId="18" xfId="0" applyNumberFormat="1" applyFont="1" applyFill="1" applyBorder="1" applyAlignment="1">
      <alignment horizontal="left"/>
    </xf>
    <xf numFmtId="0" fontId="43" fillId="30" borderId="9" xfId="0" applyFont="1" applyFill="1" applyBorder="1"/>
    <xf numFmtId="0" fontId="43" fillId="30" borderId="15" xfId="0" applyFont="1" applyFill="1" applyBorder="1" applyAlignment="1">
      <alignment horizontal="center"/>
    </xf>
    <xf numFmtId="0" fontId="85" fillId="30" borderId="6" xfId="1" applyFont="1" applyFill="1" applyBorder="1" applyAlignment="1">
      <alignment horizontal="left"/>
    </xf>
    <xf numFmtId="168" fontId="43" fillId="30" borderId="18" xfId="1" applyNumberFormat="1" applyFont="1" applyFill="1" applyBorder="1" applyAlignment="1">
      <alignment horizontal="left"/>
    </xf>
    <xf numFmtId="0" fontId="43" fillId="30" borderId="7" xfId="0" applyFont="1" applyFill="1" applyBorder="1"/>
    <xf numFmtId="0" fontId="43" fillId="30" borderId="59" xfId="0" applyFont="1" applyFill="1" applyBorder="1"/>
    <xf numFmtId="0" fontId="43" fillId="30" borderId="60" xfId="0" applyFont="1" applyFill="1" applyBorder="1" applyAlignment="1">
      <alignment horizontal="center"/>
    </xf>
    <xf numFmtId="0" fontId="43" fillId="30" borderId="61" xfId="0" applyFont="1" applyFill="1" applyBorder="1" applyAlignment="1">
      <alignment horizontal="center"/>
    </xf>
    <xf numFmtId="167" fontId="43" fillId="30" borderId="6" xfId="1" applyNumberFormat="1" applyFont="1" applyFill="1" applyBorder="1" applyAlignment="1">
      <alignment horizontal="left"/>
    </xf>
    <xf numFmtId="0" fontId="43" fillId="30" borderId="16" xfId="0" applyFont="1" applyFill="1" applyBorder="1"/>
    <xf numFmtId="0" fontId="43" fillId="30" borderId="14" xfId="0" applyFont="1" applyFill="1" applyBorder="1"/>
    <xf numFmtId="1" fontId="43" fillId="30" borderId="16" xfId="0" applyNumberFormat="1" applyFont="1" applyFill="1" applyBorder="1" applyAlignment="1">
      <alignment horizontal="center"/>
    </xf>
    <xf numFmtId="0" fontId="43" fillId="30" borderId="36" xfId="0" applyFont="1" applyFill="1" applyBorder="1" applyAlignment="1">
      <alignment horizontal="center"/>
    </xf>
    <xf numFmtId="0" fontId="85" fillId="30" borderId="6" xfId="0" applyFont="1" applyFill="1" applyBorder="1" applyAlignment="1">
      <alignment wrapText="1"/>
    </xf>
    <xf numFmtId="0" fontId="82" fillId="30" borderId="6" xfId="0" applyFont="1" applyFill="1" applyBorder="1" applyAlignment="1">
      <alignment horizontal="left"/>
    </xf>
    <xf numFmtId="168" fontId="86" fillId="30" borderId="6" xfId="0" applyNumberFormat="1" applyFont="1" applyFill="1" applyBorder="1" applyAlignment="1">
      <alignment horizontal="left"/>
    </xf>
    <xf numFmtId="0" fontId="43" fillId="30" borderId="19" xfId="0" applyFont="1" applyFill="1" applyBorder="1"/>
    <xf numFmtId="1" fontId="43" fillId="30" borderId="6" xfId="0" applyNumberFormat="1" applyFont="1" applyFill="1" applyBorder="1" applyAlignment="1">
      <alignment horizontal="center"/>
    </xf>
    <xf numFmtId="0" fontId="83" fillId="30" borderId="23" xfId="0" applyFont="1" applyFill="1" applyBorder="1" applyAlignment="1">
      <alignment wrapText="1"/>
    </xf>
    <xf numFmtId="0" fontId="43" fillId="30" borderId="23" xfId="0" applyFont="1" applyFill="1" applyBorder="1" applyAlignment="1">
      <alignment horizontal="left"/>
    </xf>
    <xf numFmtId="167" fontId="86" fillId="30" borderId="23" xfId="0" applyNumberFormat="1" applyFont="1" applyFill="1" applyBorder="1" applyAlignment="1">
      <alignment horizontal="left"/>
    </xf>
    <xf numFmtId="0" fontId="43" fillId="30" borderId="24" xfId="0" applyFont="1" applyFill="1" applyBorder="1" applyAlignment="1">
      <alignment wrapText="1"/>
    </xf>
    <xf numFmtId="1" fontId="43" fillId="30" borderId="23" xfId="0" applyNumberFormat="1" applyFont="1" applyFill="1" applyBorder="1" applyAlignment="1">
      <alignment horizontal="center"/>
    </xf>
    <xf numFmtId="0" fontId="43" fillId="30" borderId="22" xfId="0" applyFont="1" applyFill="1" applyBorder="1" applyAlignment="1">
      <alignment horizontal="center"/>
    </xf>
    <xf numFmtId="0" fontId="43" fillId="30" borderId="6" xfId="1" applyFont="1" applyFill="1" applyBorder="1"/>
    <xf numFmtId="0" fontId="7" fillId="0" borderId="0" xfId="0" applyFont="1"/>
  </cellXfs>
  <cellStyles count="6">
    <cellStyle name="20% - Accent3" xfId="4" builtinId="38"/>
    <cellStyle name="60% - Accent4" xfId="5" builtinId="44"/>
    <cellStyle name="Calculation" xfId="2" builtinId="22"/>
    <cellStyle name="Good" xfId="1" builtinId="26"/>
    <cellStyle name="Normal" xfId="0" builtinId="0"/>
    <cellStyle name="Note" xfId="3" builtinId="1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58383769248401"/>
          <c:y val="0.14566189030354698"/>
          <c:w val="0.84156769734012038"/>
          <c:h val="0.69184741768088565"/>
        </c:manualLayout>
      </c:layout>
      <c:scatterChart>
        <c:scatterStyle val="lineMarker"/>
        <c:varyColors val="0"/>
        <c:ser>
          <c:idx val="0"/>
          <c:order val="0"/>
          <c:tx>
            <c:v>fracture pressure (mud logs)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'pressure interpretation'!$L$5:$L$39</c:f>
              <c:numCache>
                <c:formatCode>General</c:formatCode>
                <c:ptCount val="35"/>
                <c:pt idx="0">
                  <c:v>197.34</c:v>
                </c:pt>
                <c:pt idx="1">
                  <c:v>286</c:v>
                </c:pt>
                <c:pt idx="2">
                  <c:v>572</c:v>
                </c:pt>
                <c:pt idx="3">
                  <c:v>858</c:v>
                </c:pt>
                <c:pt idx="4">
                  <c:v>1206.9199999999998</c:v>
                </c:pt>
                <c:pt idx="5">
                  <c:v>1430</c:v>
                </c:pt>
                <c:pt idx="6">
                  <c:v>1622.3999999999999</c:v>
                </c:pt>
                <c:pt idx="7">
                  <c:v>2059.1999999999998</c:v>
                </c:pt>
                <c:pt idx="8">
                  <c:v>2808</c:v>
                </c:pt>
                <c:pt idx="9">
                  <c:v>2878.2</c:v>
                </c:pt>
                <c:pt idx="10">
                  <c:v>3640</c:v>
                </c:pt>
                <c:pt idx="11">
                  <c:v>4524</c:v>
                </c:pt>
                <c:pt idx="12">
                  <c:v>5460</c:v>
                </c:pt>
                <c:pt idx="13">
                  <c:v>6006</c:v>
                </c:pt>
                <c:pt idx="14">
                  <c:v>6531.2</c:v>
                </c:pt>
                <c:pt idx="15">
                  <c:v>6612.84</c:v>
                </c:pt>
                <c:pt idx="16">
                  <c:v>6653.66</c:v>
                </c:pt>
                <c:pt idx="17">
                  <c:v>6694.48</c:v>
                </c:pt>
                <c:pt idx="18">
                  <c:v>6735.2999999999993</c:v>
                </c:pt>
                <c:pt idx="19">
                  <c:v>6776.12</c:v>
                </c:pt>
                <c:pt idx="20">
                  <c:v>6816.94</c:v>
                </c:pt>
                <c:pt idx="21">
                  <c:v>6857.7599999999993</c:v>
                </c:pt>
                <c:pt idx="22">
                  <c:v>6898.58</c:v>
                </c:pt>
                <c:pt idx="23">
                  <c:v>6906.7439999999997</c:v>
                </c:pt>
                <c:pt idx="24">
                  <c:v>6939.4</c:v>
                </c:pt>
                <c:pt idx="25">
                  <c:v>6980.2199999999993</c:v>
                </c:pt>
                <c:pt idx="26">
                  <c:v>7021.04</c:v>
                </c:pt>
                <c:pt idx="27">
                  <c:v>7061.86</c:v>
                </c:pt>
                <c:pt idx="28">
                  <c:v>7102.6799999999994</c:v>
                </c:pt>
                <c:pt idx="29">
                  <c:v>7143.5</c:v>
                </c:pt>
                <c:pt idx="30">
                  <c:v>7184.32</c:v>
                </c:pt>
                <c:pt idx="31">
                  <c:v>7225.1399999999994</c:v>
                </c:pt>
                <c:pt idx="32">
                  <c:v>7265.96</c:v>
                </c:pt>
                <c:pt idx="33">
                  <c:v>7306.78</c:v>
                </c:pt>
                <c:pt idx="34">
                  <c:v>7347.5999999999995</c:v>
                </c:pt>
              </c:numCache>
            </c:numRef>
          </c:xVal>
          <c:yVal>
            <c:numRef>
              <c:f>'pressure interpretation'!$B$5:$B$39</c:f>
              <c:numCache>
                <c:formatCode>General</c:formatCode>
                <c:ptCount val="35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3300</c:v>
                </c:pt>
                <c:pt idx="8">
                  <c:v>4000</c:v>
                </c:pt>
                <c:pt idx="9">
                  <c:v>4100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7700</c:v>
                </c:pt>
                <c:pt idx="14">
                  <c:v>8000</c:v>
                </c:pt>
                <c:pt idx="15">
                  <c:v>8100</c:v>
                </c:pt>
                <c:pt idx="16">
                  <c:v>8150</c:v>
                </c:pt>
                <c:pt idx="17">
                  <c:v>8200</c:v>
                </c:pt>
                <c:pt idx="18">
                  <c:v>8250</c:v>
                </c:pt>
                <c:pt idx="19">
                  <c:v>8300</c:v>
                </c:pt>
                <c:pt idx="20">
                  <c:v>8350</c:v>
                </c:pt>
                <c:pt idx="21">
                  <c:v>8400</c:v>
                </c:pt>
                <c:pt idx="22">
                  <c:v>8450</c:v>
                </c:pt>
                <c:pt idx="23">
                  <c:v>8460</c:v>
                </c:pt>
                <c:pt idx="24">
                  <c:v>8500</c:v>
                </c:pt>
                <c:pt idx="25">
                  <c:v>8550</c:v>
                </c:pt>
                <c:pt idx="26">
                  <c:v>8600</c:v>
                </c:pt>
                <c:pt idx="27">
                  <c:v>8650</c:v>
                </c:pt>
                <c:pt idx="28">
                  <c:v>8700</c:v>
                </c:pt>
                <c:pt idx="29">
                  <c:v>8750</c:v>
                </c:pt>
                <c:pt idx="30">
                  <c:v>8800</c:v>
                </c:pt>
                <c:pt idx="31">
                  <c:v>8850</c:v>
                </c:pt>
                <c:pt idx="32">
                  <c:v>8900</c:v>
                </c:pt>
                <c:pt idx="33">
                  <c:v>8950</c:v>
                </c:pt>
                <c:pt idx="34">
                  <c:v>9000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C-4E52-9EC8-46374C8DAA89}"/>
            </c:ext>
          </c:extLst>
        </c:ser>
        <c:ser>
          <c:idx val="1"/>
          <c:order val="1"/>
          <c:tx>
            <c:v>pore presure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'pressure interpretation'!$E$5:$E$39</c:f>
              <c:numCache>
                <c:formatCode>General</c:formatCode>
                <c:ptCount val="35"/>
                <c:pt idx="0">
                  <c:v>152.48999999999998</c:v>
                </c:pt>
                <c:pt idx="1">
                  <c:v>221</c:v>
                </c:pt>
                <c:pt idx="2">
                  <c:v>442</c:v>
                </c:pt>
                <c:pt idx="3">
                  <c:v>663</c:v>
                </c:pt>
                <c:pt idx="4">
                  <c:v>932.62</c:v>
                </c:pt>
                <c:pt idx="5">
                  <c:v>1131</c:v>
                </c:pt>
                <c:pt idx="6">
                  <c:v>1176.2399999999998</c:v>
                </c:pt>
                <c:pt idx="7">
                  <c:v>1492.9199999999998</c:v>
                </c:pt>
                <c:pt idx="8">
                  <c:v>1809.6</c:v>
                </c:pt>
                <c:pt idx="9">
                  <c:v>1918.8</c:v>
                </c:pt>
                <c:pt idx="10">
                  <c:v>2340</c:v>
                </c:pt>
                <c:pt idx="11">
                  <c:v>2808</c:v>
                </c:pt>
                <c:pt idx="12">
                  <c:v>3276</c:v>
                </c:pt>
                <c:pt idx="13">
                  <c:v>3603.6</c:v>
                </c:pt>
                <c:pt idx="14">
                  <c:v>3952</c:v>
                </c:pt>
                <c:pt idx="15">
                  <c:v>4001.3999999999996</c:v>
                </c:pt>
                <c:pt idx="16">
                  <c:v>4026.1</c:v>
                </c:pt>
                <c:pt idx="17">
                  <c:v>4050.7999999999997</c:v>
                </c:pt>
                <c:pt idx="18">
                  <c:v>4075.5</c:v>
                </c:pt>
                <c:pt idx="19">
                  <c:v>4100.2</c:v>
                </c:pt>
                <c:pt idx="20">
                  <c:v>4124.8999999999996</c:v>
                </c:pt>
                <c:pt idx="21">
                  <c:v>4149.5999999999995</c:v>
                </c:pt>
                <c:pt idx="22">
                  <c:v>4174.3</c:v>
                </c:pt>
                <c:pt idx="23">
                  <c:v>4179.24</c:v>
                </c:pt>
                <c:pt idx="24">
                  <c:v>4199</c:v>
                </c:pt>
                <c:pt idx="25">
                  <c:v>4223.7</c:v>
                </c:pt>
                <c:pt idx="26">
                  <c:v>4248.3999999999996</c:v>
                </c:pt>
                <c:pt idx="27">
                  <c:v>4273.0999999999995</c:v>
                </c:pt>
                <c:pt idx="28">
                  <c:v>4297.8</c:v>
                </c:pt>
                <c:pt idx="29">
                  <c:v>4322.5</c:v>
                </c:pt>
                <c:pt idx="30">
                  <c:v>4347.2</c:v>
                </c:pt>
                <c:pt idx="31">
                  <c:v>4371.8999999999996</c:v>
                </c:pt>
                <c:pt idx="32">
                  <c:v>4396.5999999999995</c:v>
                </c:pt>
                <c:pt idx="33">
                  <c:v>4421.3</c:v>
                </c:pt>
                <c:pt idx="34">
                  <c:v>4446</c:v>
                </c:pt>
              </c:numCache>
            </c:numRef>
          </c:xVal>
          <c:yVal>
            <c:numRef>
              <c:f>'pressure interpretation'!$B$5:$B$39</c:f>
              <c:numCache>
                <c:formatCode>General</c:formatCode>
                <c:ptCount val="35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3300</c:v>
                </c:pt>
                <c:pt idx="8">
                  <c:v>4000</c:v>
                </c:pt>
                <c:pt idx="9">
                  <c:v>4100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7700</c:v>
                </c:pt>
                <c:pt idx="14">
                  <c:v>8000</c:v>
                </c:pt>
                <c:pt idx="15">
                  <c:v>8100</c:v>
                </c:pt>
                <c:pt idx="16">
                  <c:v>8150</c:v>
                </c:pt>
                <c:pt idx="17">
                  <c:v>8200</c:v>
                </c:pt>
                <c:pt idx="18">
                  <c:v>8250</c:v>
                </c:pt>
                <c:pt idx="19">
                  <c:v>8300</c:v>
                </c:pt>
                <c:pt idx="20">
                  <c:v>8350</c:v>
                </c:pt>
                <c:pt idx="21">
                  <c:v>8400</c:v>
                </c:pt>
                <c:pt idx="22">
                  <c:v>8450</c:v>
                </c:pt>
                <c:pt idx="23">
                  <c:v>8460</c:v>
                </c:pt>
                <c:pt idx="24">
                  <c:v>8500</c:v>
                </c:pt>
                <c:pt idx="25">
                  <c:v>8550</c:v>
                </c:pt>
                <c:pt idx="26">
                  <c:v>8600</c:v>
                </c:pt>
                <c:pt idx="27">
                  <c:v>8650</c:v>
                </c:pt>
                <c:pt idx="28">
                  <c:v>8700</c:v>
                </c:pt>
                <c:pt idx="29">
                  <c:v>8750</c:v>
                </c:pt>
                <c:pt idx="30">
                  <c:v>8800</c:v>
                </c:pt>
                <c:pt idx="31">
                  <c:v>8850</c:v>
                </c:pt>
                <c:pt idx="32">
                  <c:v>8900</c:v>
                </c:pt>
                <c:pt idx="33">
                  <c:v>8950</c:v>
                </c:pt>
                <c:pt idx="34">
                  <c:v>9000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C-4E52-9EC8-46374C8DAA89}"/>
            </c:ext>
          </c:extLst>
        </c:ser>
        <c:ser>
          <c:idx val="2"/>
          <c:order val="2"/>
          <c:tx>
            <c:v>overbalance pressure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'pressure interpretation'!$F$5:$F$39</c:f>
              <c:numCache>
                <c:formatCode>0</c:formatCode>
                <c:ptCount val="35"/>
                <c:pt idx="0">
                  <c:v>161.45999999999998</c:v>
                </c:pt>
                <c:pt idx="1">
                  <c:v>234</c:v>
                </c:pt>
                <c:pt idx="2">
                  <c:v>468</c:v>
                </c:pt>
                <c:pt idx="3">
                  <c:v>702</c:v>
                </c:pt>
                <c:pt idx="4">
                  <c:v>987.4799999999999</c:v>
                </c:pt>
                <c:pt idx="5">
                  <c:v>1196</c:v>
                </c:pt>
                <c:pt idx="6">
                  <c:v>1243.8399999999997</c:v>
                </c:pt>
                <c:pt idx="7">
                  <c:v>1578.7199999999998</c:v>
                </c:pt>
                <c:pt idx="8">
                  <c:v>1913.6</c:v>
                </c:pt>
                <c:pt idx="9">
                  <c:v>2025.3999999999999</c:v>
                </c:pt>
                <c:pt idx="10">
                  <c:v>2470</c:v>
                </c:pt>
                <c:pt idx="11">
                  <c:v>2964</c:v>
                </c:pt>
                <c:pt idx="12">
                  <c:v>3458</c:v>
                </c:pt>
                <c:pt idx="13">
                  <c:v>3803.7999999999997</c:v>
                </c:pt>
                <c:pt idx="14">
                  <c:v>4160</c:v>
                </c:pt>
                <c:pt idx="15">
                  <c:v>4212</c:v>
                </c:pt>
                <c:pt idx="16">
                  <c:v>4238</c:v>
                </c:pt>
                <c:pt idx="17">
                  <c:v>4264</c:v>
                </c:pt>
                <c:pt idx="18">
                  <c:v>4290</c:v>
                </c:pt>
                <c:pt idx="19">
                  <c:v>4316</c:v>
                </c:pt>
                <c:pt idx="20">
                  <c:v>4342</c:v>
                </c:pt>
                <c:pt idx="21">
                  <c:v>4368</c:v>
                </c:pt>
                <c:pt idx="22">
                  <c:v>4394</c:v>
                </c:pt>
                <c:pt idx="23">
                  <c:v>4399.2</c:v>
                </c:pt>
                <c:pt idx="24">
                  <c:v>4420</c:v>
                </c:pt>
                <c:pt idx="25">
                  <c:v>4446</c:v>
                </c:pt>
                <c:pt idx="26">
                  <c:v>4472</c:v>
                </c:pt>
                <c:pt idx="27">
                  <c:v>4498</c:v>
                </c:pt>
                <c:pt idx="28">
                  <c:v>4524</c:v>
                </c:pt>
                <c:pt idx="29">
                  <c:v>4550</c:v>
                </c:pt>
                <c:pt idx="30">
                  <c:v>4576</c:v>
                </c:pt>
                <c:pt idx="31">
                  <c:v>4602</c:v>
                </c:pt>
                <c:pt idx="32">
                  <c:v>4628</c:v>
                </c:pt>
                <c:pt idx="33">
                  <c:v>4654</c:v>
                </c:pt>
                <c:pt idx="34">
                  <c:v>4680</c:v>
                </c:pt>
              </c:numCache>
            </c:numRef>
          </c:xVal>
          <c:yVal>
            <c:numRef>
              <c:f>'pressure interpretation'!$B$5:$B$39</c:f>
              <c:numCache>
                <c:formatCode>General</c:formatCode>
                <c:ptCount val="35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3300</c:v>
                </c:pt>
                <c:pt idx="8">
                  <c:v>4000</c:v>
                </c:pt>
                <c:pt idx="9">
                  <c:v>4100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7700</c:v>
                </c:pt>
                <c:pt idx="14">
                  <c:v>8000</c:v>
                </c:pt>
                <c:pt idx="15">
                  <c:v>8100</c:v>
                </c:pt>
                <c:pt idx="16">
                  <c:v>8150</c:v>
                </c:pt>
                <c:pt idx="17">
                  <c:v>8200</c:v>
                </c:pt>
                <c:pt idx="18">
                  <c:v>8250</c:v>
                </c:pt>
                <c:pt idx="19">
                  <c:v>8300</c:v>
                </c:pt>
                <c:pt idx="20">
                  <c:v>8350</c:v>
                </c:pt>
                <c:pt idx="21">
                  <c:v>8400</c:v>
                </c:pt>
                <c:pt idx="22">
                  <c:v>8450</c:v>
                </c:pt>
                <c:pt idx="23">
                  <c:v>8460</c:v>
                </c:pt>
                <c:pt idx="24">
                  <c:v>8500</c:v>
                </c:pt>
                <c:pt idx="25">
                  <c:v>8550</c:v>
                </c:pt>
                <c:pt idx="26">
                  <c:v>8600</c:v>
                </c:pt>
                <c:pt idx="27">
                  <c:v>8650</c:v>
                </c:pt>
                <c:pt idx="28">
                  <c:v>8700</c:v>
                </c:pt>
                <c:pt idx="29">
                  <c:v>8750</c:v>
                </c:pt>
                <c:pt idx="30">
                  <c:v>8800</c:v>
                </c:pt>
                <c:pt idx="31">
                  <c:v>8850</c:v>
                </c:pt>
                <c:pt idx="32">
                  <c:v>8900</c:v>
                </c:pt>
                <c:pt idx="33">
                  <c:v>8950</c:v>
                </c:pt>
                <c:pt idx="34">
                  <c:v>9000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C-4E52-9EC8-46374C8DAA89}"/>
            </c:ext>
          </c:extLst>
        </c:ser>
        <c:ser>
          <c:idx val="3"/>
          <c:order val="3"/>
          <c:tx>
            <c:v>fracture pressure (safety margin)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'pressure interpretation'!$P$5:$P$39</c:f>
              <c:numCache>
                <c:formatCode>0</c:formatCode>
                <c:ptCount val="35"/>
                <c:pt idx="0">
                  <c:v>188.36999999999998</c:v>
                </c:pt>
                <c:pt idx="1">
                  <c:v>272.99999999999994</c:v>
                </c:pt>
                <c:pt idx="2">
                  <c:v>545.99999999999989</c:v>
                </c:pt>
                <c:pt idx="3">
                  <c:v>818.99999999999989</c:v>
                </c:pt>
                <c:pt idx="4">
                  <c:v>1152.06</c:v>
                </c:pt>
                <c:pt idx="5">
                  <c:v>1364.9999999999998</c:v>
                </c:pt>
                <c:pt idx="6">
                  <c:v>1554.8</c:v>
                </c:pt>
                <c:pt idx="7">
                  <c:v>1973.3999999999999</c:v>
                </c:pt>
                <c:pt idx="8">
                  <c:v>2703.9999999999995</c:v>
                </c:pt>
                <c:pt idx="9">
                  <c:v>2771.6</c:v>
                </c:pt>
                <c:pt idx="10">
                  <c:v>3510</c:v>
                </c:pt>
                <c:pt idx="11">
                  <c:v>4368</c:v>
                </c:pt>
                <c:pt idx="12">
                  <c:v>5278</c:v>
                </c:pt>
                <c:pt idx="13">
                  <c:v>5805.8</c:v>
                </c:pt>
                <c:pt idx="14">
                  <c:v>6323.1999999999989</c:v>
                </c:pt>
                <c:pt idx="15">
                  <c:v>6402.2399999999989</c:v>
                </c:pt>
                <c:pt idx="16">
                  <c:v>6441.7599999999993</c:v>
                </c:pt>
                <c:pt idx="17">
                  <c:v>6481.2799999999988</c:v>
                </c:pt>
                <c:pt idx="18">
                  <c:v>6520.7999999999993</c:v>
                </c:pt>
                <c:pt idx="19">
                  <c:v>6560.3199999999988</c:v>
                </c:pt>
                <c:pt idx="20">
                  <c:v>6599.8399999999992</c:v>
                </c:pt>
                <c:pt idx="21">
                  <c:v>6639.3599999999988</c:v>
                </c:pt>
                <c:pt idx="22">
                  <c:v>6678.8799999999992</c:v>
                </c:pt>
                <c:pt idx="23">
                  <c:v>6686.7839999999987</c:v>
                </c:pt>
                <c:pt idx="24">
                  <c:v>6718.3999999999987</c:v>
                </c:pt>
                <c:pt idx="25">
                  <c:v>6757.9199999999992</c:v>
                </c:pt>
                <c:pt idx="26">
                  <c:v>6797.4399999999987</c:v>
                </c:pt>
                <c:pt idx="27">
                  <c:v>6836.9599999999991</c:v>
                </c:pt>
                <c:pt idx="28">
                  <c:v>6876.4799999999987</c:v>
                </c:pt>
                <c:pt idx="29">
                  <c:v>6915.9999999999991</c:v>
                </c:pt>
                <c:pt idx="30">
                  <c:v>6955.5199999999986</c:v>
                </c:pt>
                <c:pt idx="31">
                  <c:v>6995.0399999999991</c:v>
                </c:pt>
                <c:pt idx="32">
                  <c:v>7034.5599999999986</c:v>
                </c:pt>
                <c:pt idx="33">
                  <c:v>7074.079999999999</c:v>
                </c:pt>
                <c:pt idx="34">
                  <c:v>7113.5999999999985</c:v>
                </c:pt>
              </c:numCache>
            </c:numRef>
          </c:xVal>
          <c:yVal>
            <c:numRef>
              <c:f>'pressure interpretation'!$B$5:$B$39</c:f>
              <c:numCache>
                <c:formatCode>General</c:formatCode>
                <c:ptCount val="35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3300</c:v>
                </c:pt>
                <c:pt idx="8">
                  <c:v>4000</c:v>
                </c:pt>
                <c:pt idx="9">
                  <c:v>4100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7700</c:v>
                </c:pt>
                <c:pt idx="14">
                  <c:v>8000</c:v>
                </c:pt>
                <c:pt idx="15">
                  <c:v>8100</c:v>
                </c:pt>
                <c:pt idx="16">
                  <c:v>8150</c:v>
                </c:pt>
                <c:pt idx="17">
                  <c:v>8200</c:v>
                </c:pt>
                <c:pt idx="18">
                  <c:v>8250</c:v>
                </c:pt>
                <c:pt idx="19">
                  <c:v>8300</c:v>
                </c:pt>
                <c:pt idx="20">
                  <c:v>8350</c:v>
                </c:pt>
                <c:pt idx="21">
                  <c:v>8400</c:v>
                </c:pt>
                <c:pt idx="22">
                  <c:v>8450</c:v>
                </c:pt>
                <c:pt idx="23">
                  <c:v>8460</c:v>
                </c:pt>
                <c:pt idx="24">
                  <c:v>8500</c:v>
                </c:pt>
                <c:pt idx="25">
                  <c:v>8550</c:v>
                </c:pt>
                <c:pt idx="26">
                  <c:v>8600</c:v>
                </c:pt>
                <c:pt idx="27">
                  <c:v>8650</c:v>
                </c:pt>
                <c:pt idx="28">
                  <c:v>8700</c:v>
                </c:pt>
                <c:pt idx="29">
                  <c:v>8750</c:v>
                </c:pt>
                <c:pt idx="30">
                  <c:v>8800</c:v>
                </c:pt>
                <c:pt idx="31">
                  <c:v>8850</c:v>
                </c:pt>
                <c:pt idx="32">
                  <c:v>8900</c:v>
                </c:pt>
                <c:pt idx="33">
                  <c:v>8950</c:v>
                </c:pt>
                <c:pt idx="34">
                  <c:v>9000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C-4E52-9EC8-46374C8DA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0479807"/>
        <c:axId val="1380476927"/>
      </c:scatterChart>
      <c:valAx>
        <c:axId val="138047980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PRESSURES</a:t>
                </a:r>
                <a:r>
                  <a:rPr lang="en-GB" b="1" baseline="0">
                    <a:solidFill>
                      <a:schemeClr val="tx1"/>
                    </a:solidFill>
                  </a:rPr>
                  <a:t> (PSI)</a:t>
                </a:r>
                <a:endParaRPr lang="en-GB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6554859263281745"/>
              <c:y val="4.0722463571363922E-2"/>
            </c:manualLayout>
          </c:layout>
          <c:overlay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476927"/>
        <c:crosses val="autoZero"/>
        <c:crossBetween val="midCat"/>
      </c:valAx>
      <c:valAx>
        <c:axId val="138047692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</a:t>
                </a:r>
                <a:r>
                  <a:rPr lang="en-GB" b="1">
                    <a:solidFill>
                      <a:schemeClr val="tx1"/>
                    </a:solidFill>
                  </a:rPr>
                  <a:t>DEPTH (FT)</a:t>
                </a:r>
                <a:endParaRPr lang="en-GB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1.9093420219024351E-2"/>
              <c:y val="0.486132907955471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4798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2925672323587264"/>
          <c:y val="0.87387179794160574"/>
          <c:w val="0.70115261787103356"/>
          <c:h val="0.126084621019452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329139166528872E-2"/>
          <c:y val="6.4065360910648697E-2"/>
          <c:w val="0.88665447927152152"/>
          <c:h val="0.90990248571869681"/>
        </c:manualLayout>
      </c:layout>
      <c:scatterChart>
        <c:scatterStyle val="smoothMarker"/>
        <c:varyColors val="0"/>
        <c:ser>
          <c:idx val="0"/>
          <c:order val="0"/>
          <c:tx>
            <c:v>Frac Pressure (mud logs)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'updated pressures'!$E$3:$E$36</c:f>
              <c:numCache>
                <c:formatCode>General</c:formatCode>
                <c:ptCount val="34"/>
                <c:pt idx="0">
                  <c:v>197.34</c:v>
                </c:pt>
                <c:pt idx="1">
                  <c:v>286</c:v>
                </c:pt>
                <c:pt idx="2">
                  <c:v>572</c:v>
                </c:pt>
                <c:pt idx="3">
                  <c:v>858</c:v>
                </c:pt>
                <c:pt idx="4">
                  <c:v>1206.9199999999998</c:v>
                </c:pt>
                <c:pt idx="5">
                  <c:v>1430</c:v>
                </c:pt>
                <c:pt idx="6">
                  <c:v>1622.3999999999999</c:v>
                </c:pt>
                <c:pt idx="7">
                  <c:v>1996.8</c:v>
                </c:pt>
                <c:pt idx="8">
                  <c:v>2808</c:v>
                </c:pt>
                <c:pt idx="9">
                  <c:v>2878.2</c:v>
                </c:pt>
                <c:pt idx="10">
                  <c:v>3640</c:v>
                </c:pt>
                <c:pt idx="11">
                  <c:v>4524</c:v>
                </c:pt>
                <c:pt idx="12">
                  <c:v>5460</c:v>
                </c:pt>
                <c:pt idx="13">
                  <c:v>6531.2</c:v>
                </c:pt>
                <c:pt idx="14">
                  <c:v>6612.84</c:v>
                </c:pt>
                <c:pt idx="15">
                  <c:v>6653.66</c:v>
                </c:pt>
                <c:pt idx="16">
                  <c:v>6694.48</c:v>
                </c:pt>
                <c:pt idx="17">
                  <c:v>6735.2999999999993</c:v>
                </c:pt>
                <c:pt idx="18">
                  <c:v>6776.12</c:v>
                </c:pt>
                <c:pt idx="19">
                  <c:v>6816.94</c:v>
                </c:pt>
                <c:pt idx="20">
                  <c:v>6857.7599999999993</c:v>
                </c:pt>
                <c:pt idx="21">
                  <c:v>6898.58</c:v>
                </c:pt>
                <c:pt idx="22">
                  <c:v>6906.7439999999997</c:v>
                </c:pt>
                <c:pt idx="23">
                  <c:v>6939.4</c:v>
                </c:pt>
                <c:pt idx="24">
                  <c:v>6980.2199999999993</c:v>
                </c:pt>
                <c:pt idx="25">
                  <c:v>7021.04</c:v>
                </c:pt>
                <c:pt idx="26">
                  <c:v>7061.86</c:v>
                </c:pt>
                <c:pt idx="27">
                  <c:v>7102.6799999999994</c:v>
                </c:pt>
                <c:pt idx="28">
                  <c:v>7143.5</c:v>
                </c:pt>
                <c:pt idx="29">
                  <c:v>7184.32</c:v>
                </c:pt>
                <c:pt idx="30">
                  <c:v>7225.1399999999994</c:v>
                </c:pt>
                <c:pt idx="31">
                  <c:v>7265.96</c:v>
                </c:pt>
                <c:pt idx="32">
                  <c:v>7306.78</c:v>
                </c:pt>
                <c:pt idx="33">
                  <c:v>7347.5999999999995</c:v>
                </c:pt>
              </c:numCache>
            </c:numRef>
          </c:xVal>
          <c:yVal>
            <c:numRef>
              <c:f>'updated pressures'!$B$3:$B$36</c:f>
              <c:numCache>
                <c:formatCode>General</c:formatCode>
                <c:ptCount val="34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3200</c:v>
                </c:pt>
                <c:pt idx="8">
                  <c:v>4000</c:v>
                </c:pt>
                <c:pt idx="9">
                  <c:v>4200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8000</c:v>
                </c:pt>
                <c:pt idx="14">
                  <c:v>8100</c:v>
                </c:pt>
                <c:pt idx="15">
                  <c:v>8150</c:v>
                </c:pt>
                <c:pt idx="16">
                  <c:v>8200</c:v>
                </c:pt>
                <c:pt idx="17">
                  <c:v>8250</c:v>
                </c:pt>
                <c:pt idx="18">
                  <c:v>8300</c:v>
                </c:pt>
                <c:pt idx="19">
                  <c:v>8350</c:v>
                </c:pt>
                <c:pt idx="20">
                  <c:v>8400</c:v>
                </c:pt>
                <c:pt idx="21">
                  <c:v>8450</c:v>
                </c:pt>
                <c:pt idx="22">
                  <c:v>8460</c:v>
                </c:pt>
                <c:pt idx="23">
                  <c:v>8500</c:v>
                </c:pt>
                <c:pt idx="24">
                  <c:v>8550</c:v>
                </c:pt>
                <c:pt idx="25">
                  <c:v>8600</c:v>
                </c:pt>
                <c:pt idx="26">
                  <c:v>8650</c:v>
                </c:pt>
                <c:pt idx="27">
                  <c:v>8700</c:v>
                </c:pt>
                <c:pt idx="28">
                  <c:v>8750</c:v>
                </c:pt>
                <c:pt idx="29">
                  <c:v>8800</c:v>
                </c:pt>
                <c:pt idx="30">
                  <c:v>8850</c:v>
                </c:pt>
                <c:pt idx="31">
                  <c:v>8900</c:v>
                </c:pt>
                <c:pt idx="32">
                  <c:v>8950</c:v>
                </c:pt>
                <c:pt idx="33">
                  <c:v>9000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51-476F-8A82-69060F68ABF7}"/>
            </c:ext>
          </c:extLst>
        </c:ser>
        <c:ser>
          <c:idx val="1"/>
          <c:order val="1"/>
          <c:tx>
            <c:strRef>
              <c:f>'updated pressures'!$D$2</c:f>
              <c:strCache>
                <c:ptCount val="1"/>
                <c:pt idx="0">
                  <c:v>PORE PRESSURE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'updated pressures'!$D$3:$D$36</c:f>
              <c:numCache>
                <c:formatCode>General</c:formatCode>
                <c:ptCount val="34"/>
                <c:pt idx="0">
                  <c:v>152.48999999999998</c:v>
                </c:pt>
                <c:pt idx="1">
                  <c:v>221</c:v>
                </c:pt>
                <c:pt idx="2">
                  <c:v>442</c:v>
                </c:pt>
                <c:pt idx="3">
                  <c:v>663</c:v>
                </c:pt>
                <c:pt idx="4">
                  <c:v>932.62</c:v>
                </c:pt>
                <c:pt idx="5">
                  <c:v>1131</c:v>
                </c:pt>
                <c:pt idx="6">
                  <c:v>1176.2399999999998</c:v>
                </c:pt>
                <c:pt idx="7">
                  <c:v>1414.3999999999999</c:v>
                </c:pt>
                <c:pt idx="8">
                  <c:v>1809.6</c:v>
                </c:pt>
                <c:pt idx="9">
                  <c:v>1965.6</c:v>
                </c:pt>
                <c:pt idx="10">
                  <c:v>2340</c:v>
                </c:pt>
                <c:pt idx="11">
                  <c:v>2808</c:v>
                </c:pt>
                <c:pt idx="12">
                  <c:v>3276</c:v>
                </c:pt>
                <c:pt idx="13">
                  <c:v>3744</c:v>
                </c:pt>
                <c:pt idx="14">
                  <c:v>4001.3999999999996</c:v>
                </c:pt>
                <c:pt idx="15">
                  <c:v>4026.1</c:v>
                </c:pt>
                <c:pt idx="16">
                  <c:v>4050.7999999999997</c:v>
                </c:pt>
                <c:pt idx="17">
                  <c:v>4075.5</c:v>
                </c:pt>
                <c:pt idx="18">
                  <c:v>4100.2</c:v>
                </c:pt>
                <c:pt idx="19">
                  <c:v>4124.8999999999996</c:v>
                </c:pt>
                <c:pt idx="20">
                  <c:v>4149.5999999999995</c:v>
                </c:pt>
                <c:pt idx="21">
                  <c:v>4174.3</c:v>
                </c:pt>
                <c:pt idx="22">
                  <c:v>4179.24</c:v>
                </c:pt>
                <c:pt idx="23">
                  <c:v>4199</c:v>
                </c:pt>
                <c:pt idx="24">
                  <c:v>4223.7</c:v>
                </c:pt>
                <c:pt idx="25">
                  <c:v>4248.3999999999996</c:v>
                </c:pt>
                <c:pt idx="26">
                  <c:v>4273.0999999999995</c:v>
                </c:pt>
                <c:pt idx="27">
                  <c:v>4297.8</c:v>
                </c:pt>
                <c:pt idx="28">
                  <c:v>4322.5</c:v>
                </c:pt>
                <c:pt idx="29">
                  <c:v>4347.2</c:v>
                </c:pt>
                <c:pt idx="30">
                  <c:v>4371.8999999999996</c:v>
                </c:pt>
                <c:pt idx="31">
                  <c:v>4396.5999999999995</c:v>
                </c:pt>
                <c:pt idx="32">
                  <c:v>4421.3</c:v>
                </c:pt>
                <c:pt idx="33">
                  <c:v>4446</c:v>
                </c:pt>
              </c:numCache>
            </c:numRef>
          </c:xVal>
          <c:yVal>
            <c:numRef>
              <c:f>'updated pressures'!$B$3:$B$36</c:f>
              <c:numCache>
                <c:formatCode>General</c:formatCode>
                <c:ptCount val="34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3200</c:v>
                </c:pt>
                <c:pt idx="8">
                  <c:v>4000</c:v>
                </c:pt>
                <c:pt idx="9">
                  <c:v>4200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8000</c:v>
                </c:pt>
                <c:pt idx="14">
                  <c:v>8100</c:v>
                </c:pt>
                <c:pt idx="15">
                  <c:v>8150</c:v>
                </c:pt>
                <c:pt idx="16">
                  <c:v>8200</c:v>
                </c:pt>
                <c:pt idx="17">
                  <c:v>8250</c:v>
                </c:pt>
                <c:pt idx="18">
                  <c:v>8300</c:v>
                </c:pt>
                <c:pt idx="19">
                  <c:v>8350</c:v>
                </c:pt>
                <c:pt idx="20">
                  <c:v>8400</c:v>
                </c:pt>
                <c:pt idx="21">
                  <c:v>8450</c:v>
                </c:pt>
                <c:pt idx="22">
                  <c:v>8460</c:v>
                </c:pt>
                <c:pt idx="23">
                  <c:v>8500</c:v>
                </c:pt>
                <c:pt idx="24">
                  <c:v>8550</c:v>
                </c:pt>
                <c:pt idx="25">
                  <c:v>8600</c:v>
                </c:pt>
                <c:pt idx="26">
                  <c:v>8650</c:v>
                </c:pt>
                <c:pt idx="27">
                  <c:v>8700</c:v>
                </c:pt>
                <c:pt idx="28">
                  <c:v>8750</c:v>
                </c:pt>
                <c:pt idx="29">
                  <c:v>8800</c:v>
                </c:pt>
                <c:pt idx="30">
                  <c:v>8850</c:v>
                </c:pt>
                <c:pt idx="31">
                  <c:v>8900</c:v>
                </c:pt>
                <c:pt idx="32">
                  <c:v>8950</c:v>
                </c:pt>
                <c:pt idx="33">
                  <c:v>9000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51-476F-8A82-69060F68ABF7}"/>
            </c:ext>
          </c:extLst>
        </c:ser>
        <c:ser>
          <c:idx val="2"/>
          <c:order val="2"/>
          <c:tx>
            <c:v>overbalance pressure (+0.5ppg)</c:v>
          </c:tx>
          <c:spPr>
            <a:ln w="19050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'updated pressures'!$G$3:$G$36</c:f>
              <c:numCache>
                <c:formatCode>General</c:formatCode>
                <c:ptCount val="34"/>
                <c:pt idx="0">
                  <c:v>161.45999999999998</c:v>
                </c:pt>
                <c:pt idx="1">
                  <c:v>234</c:v>
                </c:pt>
                <c:pt idx="2">
                  <c:v>468</c:v>
                </c:pt>
                <c:pt idx="3">
                  <c:v>702</c:v>
                </c:pt>
                <c:pt idx="4">
                  <c:v>987.4799999999999</c:v>
                </c:pt>
                <c:pt idx="5">
                  <c:v>1196</c:v>
                </c:pt>
                <c:pt idx="6">
                  <c:v>1243.8399999999997</c:v>
                </c:pt>
                <c:pt idx="7">
                  <c:v>1497.6</c:v>
                </c:pt>
                <c:pt idx="8">
                  <c:v>1913.6</c:v>
                </c:pt>
                <c:pt idx="9">
                  <c:v>2074.7999999999997</c:v>
                </c:pt>
                <c:pt idx="10">
                  <c:v>2470</c:v>
                </c:pt>
                <c:pt idx="11">
                  <c:v>2964</c:v>
                </c:pt>
                <c:pt idx="12">
                  <c:v>3458</c:v>
                </c:pt>
                <c:pt idx="13">
                  <c:v>3952</c:v>
                </c:pt>
                <c:pt idx="14">
                  <c:v>4212</c:v>
                </c:pt>
                <c:pt idx="15">
                  <c:v>4238</c:v>
                </c:pt>
                <c:pt idx="16">
                  <c:v>4264</c:v>
                </c:pt>
                <c:pt idx="17">
                  <c:v>4290</c:v>
                </c:pt>
                <c:pt idx="18">
                  <c:v>4316</c:v>
                </c:pt>
                <c:pt idx="19">
                  <c:v>4342</c:v>
                </c:pt>
                <c:pt idx="20">
                  <c:v>4368</c:v>
                </c:pt>
                <c:pt idx="21">
                  <c:v>4394</c:v>
                </c:pt>
                <c:pt idx="22">
                  <c:v>4399.2</c:v>
                </c:pt>
                <c:pt idx="23">
                  <c:v>4420</c:v>
                </c:pt>
                <c:pt idx="24">
                  <c:v>4446</c:v>
                </c:pt>
                <c:pt idx="25">
                  <c:v>4472</c:v>
                </c:pt>
                <c:pt idx="26">
                  <c:v>4498</c:v>
                </c:pt>
                <c:pt idx="27">
                  <c:v>4524</c:v>
                </c:pt>
                <c:pt idx="28">
                  <c:v>4550</c:v>
                </c:pt>
                <c:pt idx="29">
                  <c:v>4576</c:v>
                </c:pt>
                <c:pt idx="30">
                  <c:v>4602</c:v>
                </c:pt>
                <c:pt idx="31">
                  <c:v>4628</c:v>
                </c:pt>
                <c:pt idx="32">
                  <c:v>4654</c:v>
                </c:pt>
                <c:pt idx="33">
                  <c:v>4680</c:v>
                </c:pt>
              </c:numCache>
            </c:numRef>
          </c:xVal>
          <c:yVal>
            <c:numRef>
              <c:f>'updated pressures'!$B$3:$B$36</c:f>
              <c:numCache>
                <c:formatCode>General</c:formatCode>
                <c:ptCount val="34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3200</c:v>
                </c:pt>
                <c:pt idx="8">
                  <c:v>4000</c:v>
                </c:pt>
                <c:pt idx="9">
                  <c:v>4200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8000</c:v>
                </c:pt>
                <c:pt idx="14">
                  <c:v>8100</c:v>
                </c:pt>
                <c:pt idx="15">
                  <c:v>8150</c:v>
                </c:pt>
                <c:pt idx="16">
                  <c:v>8200</c:v>
                </c:pt>
                <c:pt idx="17">
                  <c:v>8250</c:v>
                </c:pt>
                <c:pt idx="18">
                  <c:v>8300</c:v>
                </c:pt>
                <c:pt idx="19">
                  <c:v>8350</c:v>
                </c:pt>
                <c:pt idx="20">
                  <c:v>8400</c:v>
                </c:pt>
                <c:pt idx="21">
                  <c:v>8450</c:v>
                </c:pt>
                <c:pt idx="22">
                  <c:v>8460</c:v>
                </c:pt>
                <c:pt idx="23">
                  <c:v>8500</c:v>
                </c:pt>
                <c:pt idx="24">
                  <c:v>8550</c:v>
                </c:pt>
                <c:pt idx="25">
                  <c:v>8600</c:v>
                </c:pt>
                <c:pt idx="26">
                  <c:v>8650</c:v>
                </c:pt>
                <c:pt idx="27">
                  <c:v>8700</c:v>
                </c:pt>
                <c:pt idx="28">
                  <c:v>8750</c:v>
                </c:pt>
                <c:pt idx="29">
                  <c:v>8800</c:v>
                </c:pt>
                <c:pt idx="30">
                  <c:v>8850</c:v>
                </c:pt>
                <c:pt idx="31">
                  <c:v>8900</c:v>
                </c:pt>
                <c:pt idx="32">
                  <c:v>8950</c:v>
                </c:pt>
                <c:pt idx="33">
                  <c:v>9000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CB51-476F-8A82-69060F68ABF7}"/>
            </c:ext>
          </c:extLst>
        </c:ser>
        <c:ser>
          <c:idx val="3"/>
          <c:order val="8"/>
          <c:tx>
            <c:v>fracture presure (-0.5ppg)</c:v>
          </c:tx>
          <c:spPr>
            <a:ln w="19050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'updated pressures'!$H$3:$H$36</c:f>
              <c:numCache>
                <c:formatCode>General</c:formatCode>
                <c:ptCount val="34"/>
                <c:pt idx="0">
                  <c:v>188.36999999999998</c:v>
                </c:pt>
                <c:pt idx="1">
                  <c:v>272.99999999999994</c:v>
                </c:pt>
                <c:pt idx="2">
                  <c:v>545.99999999999989</c:v>
                </c:pt>
                <c:pt idx="3">
                  <c:v>818.99999999999989</c:v>
                </c:pt>
                <c:pt idx="4">
                  <c:v>1152.06</c:v>
                </c:pt>
                <c:pt idx="5">
                  <c:v>1364.9999999999998</c:v>
                </c:pt>
                <c:pt idx="6">
                  <c:v>1554.8</c:v>
                </c:pt>
                <c:pt idx="7">
                  <c:v>1913.6</c:v>
                </c:pt>
                <c:pt idx="8">
                  <c:v>2703.9999999999995</c:v>
                </c:pt>
                <c:pt idx="9">
                  <c:v>2771.6</c:v>
                </c:pt>
                <c:pt idx="10">
                  <c:v>3510</c:v>
                </c:pt>
                <c:pt idx="11">
                  <c:v>4368</c:v>
                </c:pt>
                <c:pt idx="12">
                  <c:v>5278</c:v>
                </c:pt>
                <c:pt idx="13">
                  <c:v>6323.1999999999989</c:v>
                </c:pt>
                <c:pt idx="14">
                  <c:v>6402.2399999999989</c:v>
                </c:pt>
                <c:pt idx="15">
                  <c:v>6441.7599999999993</c:v>
                </c:pt>
                <c:pt idx="16">
                  <c:v>6481.2799999999988</c:v>
                </c:pt>
                <c:pt idx="17">
                  <c:v>6520.7999999999993</c:v>
                </c:pt>
                <c:pt idx="18">
                  <c:v>6560.3199999999988</c:v>
                </c:pt>
                <c:pt idx="19">
                  <c:v>6599.8399999999992</c:v>
                </c:pt>
                <c:pt idx="20">
                  <c:v>6639.3599999999988</c:v>
                </c:pt>
                <c:pt idx="21">
                  <c:v>6678.8799999999992</c:v>
                </c:pt>
                <c:pt idx="22">
                  <c:v>6686.7839999999987</c:v>
                </c:pt>
                <c:pt idx="23">
                  <c:v>6718.3999999999987</c:v>
                </c:pt>
                <c:pt idx="24">
                  <c:v>6757.9199999999992</c:v>
                </c:pt>
                <c:pt idx="25">
                  <c:v>6797.4399999999987</c:v>
                </c:pt>
                <c:pt idx="26">
                  <c:v>6836.9599999999991</c:v>
                </c:pt>
                <c:pt idx="27">
                  <c:v>6876.4799999999987</c:v>
                </c:pt>
                <c:pt idx="28">
                  <c:v>6915.9999999999991</c:v>
                </c:pt>
                <c:pt idx="29">
                  <c:v>6955.5199999999986</c:v>
                </c:pt>
                <c:pt idx="30">
                  <c:v>6995.0399999999991</c:v>
                </c:pt>
                <c:pt idx="31">
                  <c:v>7034.5599999999986</c:v>
                </c:pt>
                <c:pt idx="32">
                  <c:v>7074.079999999999</c:v>
                </c:pt>
                <c:pt idx="33">
                  <c:v>7113.5999999999985</c:v>
                </c:pt>
              </c:numCache>
            </c:numRef>
          </c:xVal>
          <c:yVal>
            <c:numRef>
              <c:f>'updated pressures'!$B$3:$B$36</c:f>
              <c:numCache>
                <c:formatCode>General</c:formatCode>
                <c:ptCount val="34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3200</c:v>
                </c:pt>
                <c:pt idx="8">
                  <c:v>4000</c:v>
                </c:pt>
                <c:pt idx="9">
                  <c:v>4200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8000</c:v>
                </c:pt>
                <c:pt idx="14">
                  <c:v>8100</c:v>
                </c:pt>
                <c:pt idx="15">
                  <c:v>8150</c:v>
                </c:pt>
                <c:pt idx="16">
                  <c:v>8200</c:v>
                </c:pt>
                <c:pt idx="17">
                  <c:v>8250</c:v>
                </c:pt>
                <c:pt idx="18">
                  <c:v>8300</c:v>
                </c:pt>
                <c:pt idx="19">
                  <c:v>8350</c:v>
                </c:pt>
                <c:pt idx="20">
                  <c:v>8400</c:v>
                </c:pt>
                <c:pt idx="21">
                  <c:v>8450</c:v>
                </c:pt>
                <c:pt idx="22">
                  <c:v>8460</c:v>
                </c:pt>
                <c:pt idx="23">
                  <c:v>8500</c:v>
                </c:pt>
                <c:pt idx="24">
                  <c:v>8550</c:v>
                </c:pt>
                <c:pt idx="25">
                  <c:v>8600</c:v>
                </c:pt>
                <c:pt idx="26">
                  <c:v>8650</c:v>
                </c:pt>
                <c:pt idx="27">
                  <c:v>8700</c:v>
                </c:pt>
                <c:pt idx="28">
                  <c:v>8750</c:v>
                </c:pt>
                <c:pt idx="29">
                  <c:v>8800</c:v>
                </c:pt>
                <c:pt idx="30">
                  <c:v>8850</c:v>
                </c:pt>
                <c:pt idx="31">
                  <c:v>8900</c:v>
                </c:pt>
                <c:pt idx="32">
                  <c:v>8950</c:v>
                </c:pt>
                <c:pt idx="33">
                  <c:v>9000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B51-476F-8A82-69060F68ABF7}"/>
            </c:ext>
          </c:extLst>
        </c:ser>
        <c:ser>
          <c:idx val="9"/>
          <c:order val="9"/>
          <c:tx>
            <c:v>7" liner 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'updated pressures'!$S$32:$S$33</c:f>
              <c:numCache>
                <c:formatCode>General</c:formatCode>
                <c:ptCount val="2"/>
                <c:pt idx="0">
                  <c:v>4380</c:v>
                </c:pt>
                <c:pt idx="1">
                  <c:v>4680</c:v>
                </c:pt>
              </c:numCache>
            </c:numRef>
          </c:xVal>
          <c:yVal>
            <c:numRef>
              <c:f>'updated pressures'!$R$32:$R$33</c:f>
              <c:numCache>
                <c:formatCode>General</c:formatCode>
                <c:ptCount val="2"/>
                <c:pt idx="0">
                  <c:v>6000</c:v>
                </c:pt>
                <c:pt idx="1">
                  <c:v>9000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B51-476F-8A82-69060F68ABF7}"/>
            </c:ext>
          </c:extLst>
        </c:ser>
        <c:ser>
          <c:idx val="10"/>
          <c:order val="10"/>
          <c:tx>
            <c:v>9-5/8" CSG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'updated pressures'!$S$36:$S$39</c:f>
              <c:numCache>
                <c:formatCode>General</c:formatCode>
                <c:ptCount val="4"/>
                <c:pt idx="0">
                  <c:v>2774</c:v>
                </c:pt>
                <c:pt idx="1">
                  <c:v>2964</c:v>
                </c:pt>
                <c:pt idx="2">
                  <c:v>2774</c:v>
                </c:pt>
                <c:pt idx="3">
                  <c:v>2074.7999999999997</c:v>
                </c:pt>
              </c:numCache>
            </c:numRef>
          </c:xVal>
          <c:yVal>
            <c:numRef>
              <c:f>'updated pressures'!$R$36:$R$37</c:f>
              <c:numCache>
                <c:formatCode>General</c:formatCode>
                <c:ptCount val="2"/>
                <c:pt idx="0">
                  <c:v>4100</c:v>
                </c:pt>
                <c:pt idx="1">
                  <c:v>6000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B51-476F-8A82-69060F68ABF7}"/>
            </c:ext>
          </c:extLst>
        </c:ser>
        <c:ser>
          <c:idx val="11"/>
          <c:order val="11"/>
          <c:tx>
            <c:v>13-3/8" CSG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'updated pressures'!$S$40:$S$41</c:f>
              <c:numCache>
                <c:formatCode>General</c:formatCode>
                <c:ptCount val="2"/>
                <c:pt idx="0">
                  <c:v>1994.7999999999997</c:v>
                </c:pt>
                <c:pt idx="1">
                  <c:v>2074.7999999999997</c:v>
                </c:pt>
              </c:numCache>
            </c:numRef>
          </c:xVal>
          <c:yVal>
            <c:numRef>
              <c:f>'updated pressures'!$R$40:$R$41</c:f>
              <c:numCache>
                <c:formatCode>General</c:formatCode>
                <c:ptCount val="2"/>
                <c:pt idx="0">
                  <c:v>3300</c:v>
                </c:pt>
                <c:pt idx="1">
                  <c:v>4100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B51-476F-8A82-69060F68ABF7}"/>
            </c:ext>
          </c:extLst>
        </c:ser>
        <c:ser>
          <c:idx val="13"/>
          <c:order val="12"/>
          <c:tx>
            <c:v>Top 7"</c:v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CB51-476F-8A82-69060F68ABF7}"/>
              </c:ext>
            </c:extLst>
          </c:dPt>
          <c:xVal>
            <c:numRef>
              <c:f>'updated pressures'!$S$34:$S$35</c:f>
              <c:numCache>
                <c:formatCode>General</c:formatCode>
                <c:ptCount val="2"/>
                <c:pt idx="0">
                  <c:v>4380</c:v>
                </c:pt>
                <c:pt idx="1">
                  <c:v>2964</c:v>
                </c:pt>
              </c:numCache>
            </c:numRef>
          </c:xVal>
          <c:yVal>
            <c:numRef>
              <c:f>'updated pressures'!$R$34:$R$35</c:f>
              <c:numCache>
                <c:formatCode>General</c:formatCode>
                <c:ptCount val="2"/>
                <c:pt idx="0">
                  <c:v>6000</c:v>
                </c:pt>
                <c:pt idx="1">
                  <c:v>6000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B51-476F-8A82-69060F68ABF7}"/>
            </c:ext>
          </c:extLst>
        </c:ser>
        <c:ser>
          <c:idx val="14"/>
          <c:order val="13"/>
          <c:tx>
            <c:v>TOP 9-5/8" CSG</c:v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CB51-476F-8A82-69060F68ABF7}"/>
              </c:ext>
            </c:extLst>
          </c:dPt>
          <c:xVal>
            <c:numRef>
              <c:f>'updated pressures'!$S$38:$S$39</c:f>
              <c:numCache>
                <c:formatCode>General</c:formatCode>
                <c:ptCount val="2"/>
                <c:pt idx="0">
                  <c:v>2774</c:v>
                </c:pt>
                <c:pt idx="1">
                  <c:v>2074.7999999999997</c:v>
                </c:pt>
              </c:numCache>
            </c:numRef>
          </c:xVal>
          <c:yVal>
            <c:numRef>
              <c:f>'updated pressures'!$R$38:$R$39</c:f>
              <c:numCache>
                <c:formatCode>General</c:formatCode>
                <c:ptCount val="2"/>
                <c:pt idx="0">
                  <c:v>4100</c:v>
                </c:pt>
                <c:pt idx="1">
                  <c:v>4100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CB51-476F-8A82-69060F68ABF7}"/>
            </c:ext>
          </c:extLst>
        </c:ser>
        <c:ser>
          <c:idx val="12"/>
          <c:order val="14"/>
          <c:tx>
            <c:v>overburden pressure(1psi/ft)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'updated pressures'!$L$3:$L$36</c:f>
              <c:numCache>
                <c:formatCode>0.00</c:formatCode>
                <c:ptCount val="34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3200</c:v>
                </c:pt>
                <c:pt idx="8">
                  <c:v>4000</c:v>
                </c:pt>
                <c:pt idx="9">
                  <c:v>4200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8000</c:v>
                </c:pt>
                <c:pt idx="14">
                  <c:v>8100</c:v>
                </c:pt>
                <c:pt idx="15">
                  <c:v>8150</c:v>
                </c:pt>
                <c:pt idx="16">
                  <c:v>8200</c:v>
                </c:pt>
                <c:pt idx="17">
                  <c:v>8250</c:v>
                </c:pt>
                <c:pt idx="18">
                  <c:v>8300</c:v>
                </c:pt>
                <c:pt idx="19">
                  <c:v>8350</c:v>
                </c:pt>
                <c:pt idx="20">
                  <c:v>8400</c:v>
                </c:pt>
                <c:pt idx="21">
                  <c:v>8450</c:v>
                </c:pt>
                <c:pt idx="22">
                  <c:v>8460</c:v>
                </c:pt>
                <c:pt idx="23">
                  <c:v>8500</c:v>
                </c:pt>
                <c:pt idx="24">
                  <c:v>8550</c:v>
                </c:pt>
                <c:pt idx="25">
                  <c:v>8600</c:v>
                </c:pt>
                <c:pt idx="26">
                  <c:v>8650</c:v>
                </c:pt>
                <c:pt idx="27">
                  <c:v>8700</c:v>
                </c:pt>
                <c:pt idx="28">
                  <c:v>8750</c:v>
                </c:pt>
                <c:pt idx="29">
                  <c:v>8800</c:v>
                </c:pt>
                <c:pt idx="30">
                  <c:v>8850</c:v>
                </c:pt>
                <c:pt idx="31">
                  <c:v>8900</c:v>
                </c:pt>
                <c:pt idx="32">
                  <c:v>8950</c:v>
                </c:pt>
                <c:pt idx="33">
                  <c:v>9000</c:v>
                </c:pt>
              </c:numCache>
            </c:numRef>
          </c:xVal>
          <c:yVal>
            <c:numRef>
              <c:f>'updated pressures'!$B$3:$B$36</c:f>
              <c:numCache>
                <c:formatCode>General</c:formatCode>
                <c:ptCount val="34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3200</c:v>
                </c:pt>
                <c:pt idx="8">
                  <c:v>4000</c:v>
                </c:pt>
                <c:pt idx="9">
                  <c:v>4200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8000</c:v>
                </c:pt>
                <c:pt idx="14">
                  <c:v>8100</c:v>
                </c:pt>
                <c:pt idx="15">
                  <c:v>8150</c:v>
                </c:pt>
                <c:pt idx="16">
                  <c:v>8200</c:v>
                </c:pt>
                <c:pt idx="17">
                  <c:v>8250</c:v>
                </c:pt>
                <c:pt idx="18">
                  <c:v>8300</c:v>
                </c:pt>
                <c:pt idx="19">
                  <c:v>8350</c:v>
                </c:pt>
                <c:pt idx="20">
                  <c:v>8400</c:v>
                </c:pt>
                <c:pt idx="21">
                  <c:v>8450</c:v>
                </c:pt>
                <c:pt idx="22">
                  <c:v>8460</c:v>
                </c:pt>
                <c:pt idx="23">
                  <c:v>8500</c:v>
                </c:pt>
                <c:pt idx="24">
                  <c:v>8550</c:v>
                </c:pt>
                <c:pt idx="25">
                  <c:v>8600</c:v>
                </c:pt>
                <c:pt idx="26">
                  <c:v>8650</c:v>
                </c:pt>
                <c:pt idx="27">
                  <c:v>8700</c:v>
                </c:pt>
                <c:pt idx="28">
                  <c:v>8750</c:v>
                </c:pt>
                <c:pt idx="29">
                  <c:v>8800</c:v>
                </c:pt>
                <c:pt idx="30">
                  <c:v>8850</c:v>
                </c:pt>
                <c:pt idx="31">
                  <c:v>8900</c:v>
                </c:pt>
                <c:pt idx="32">
                  <c:v>8950</c:v>
                </c:pt>
                <c:pt idx="33">
                  <c:v>9000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CB51-476F-8A82-69060F68ABF7}"/>
            </c:ext>
          </c:extLst>
        </c:ser>
        <c:ser>
          <c:idx val="15"/>
          <c:order val="15"/>
          <c:tx>
            <c:v>last line</c:v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'updated pressures'!$S$43</c:f>
              <c:numCache>
                <c:formatCode>General</c:formatCode>
                <c:ptCount val="1"/>
                <c:pt idx="0">
                  <c:v>1544</c:v>
                </c:pt>
              </c:numCache>
            </c:numRef>
          </c:xVal>
          <c:yVal>
            <c:numRef>
              <c:f>'updated pressures'!$R$42:$R$43</c:f>
              <c:numCache>
                <c:formatCode>General</c:formatCode>
                <c:ptCount val="2"/>
                <c:pt idx="0">
                  <c:v>3300</c:v>
                </c:pt>
                <c:pt idx="1">
                  <c:v>3300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CB51-476F-8A82-69060F68ABF7}"/>
            </c:ext>
          </c:extLst>
        </c:ser>
        <c:ser>
          <c:idx val="16"/>
          <c:order val="16"/>
          <c:tx>
            <c:v>KOP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'updated pressures'!$S$42:$S$43</c:f>
              <c:numCache>
                <c:formatCode>General</c:formatCode>
                <c:ptCount val="2"/>
                <c:pt idx="0">
                  <c:v>1994.7999999999997</c:v>
                </c:pt>
                <c:pt idx="1">
                  <c:v>1544</c:v>
                </c:pt>
              </c:numCache>
            </c:numRef>
          </c:xVal>
          <c:yVal>
            <c:numRef>
              <c:f>'updated pressures'!$R$42:$R$43</c:f>
              <c:numCache>
                <c:formatCode>General</c:formatCode>
                <c:ptCount val="2"/>
                <c:pt idx="0">
                  <c:v>3300</c:v>
                </c:pt>
                <c:pt idx="1">
                  <c:v>3300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CB51-476F-8A82-69060F68ABF7}"/>
            </c:ext>
          </c:extLst>
        </c:ser>
        <c:ser>
          <c:idx val="17"/>
          <c:order val="17"/>
          <c:tx>
            <c:v>hydraustaic</c:v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'formation coleration (2)'!$D$91:$D$124</c:f>
              <c:numCache>
                <c:formatCode>General</c:formatCode>
                <c:ptCount val="34"/>
                <c:pt idx="0">
                  <c:v>155.25</c:v>
                </c:pt>
                <c:pt idx="1">
                  <c:v>225</c:v>
                </c:pt>
                <c:pt idx="2">
                  <c:v>450</c:v>
                </c:pt>
                <c:pt idx="3">
                  <c:v>675</c:v>
                </c:pt>
                <c:pt idx="4">
                  <c:v>949.5</c:v>
                </c:pt>
                <c:pt idx="5">
                  <c:v>1125</c:v>
                </c:pt>
                <c:pt idx="6">
                  <c:v>1170</c:v>
                </c:pt>
                <c:pt idx="7">
                  <c:v>1440</c:v>
                </c:pt>
                <c:pt idx="8">
                  <c:v>1800</c:v>
                </c:pt>
                <c:pt idx="9">
                  <c:v>1890</c:v>
                </c:pt>
                <c:pt idx="10">
                  <c:v>2250</c:v>
                </c:pt>
                <c:pt idx="11">
                  <c:v>2700</c:v>
                </c:pt>
                <c:pt idx="12">
                  <c:v>3150</c:v>
                </c:pt>
                <c:pt idx="13">
                  <c:v>3600</c:v>
                </c:pt>
                <c:pt idx="14">
                  <c:v>3645</c:v>
                </c:pt>
                <c:pt idx="15">
                  <c:v>3667.5</c:v>
                </c:pt>
                <c:pt idx="16">
                  <c:v>3690</c:v>
                </c:pt>
                <c:pt idx="17">
                  <c:v>3712.5</c:v>
                </c:pt>
                <c:pt idx="18">
                  <c:v>3735</c:v>
                </c:pt>
                <c:pt idx="19">
                  <c:v>3757.5</c:v>
                </c:pt>
                <c:pt idx="20">
                  <c:v>3780</c:v>
                </c:pt>
                <c:pt idx="21">
                  <c:v>3802.5</c:v>
                </c:pt>
                <c:pt idx="22">
                  <c:v>3807</c:v>
                </c:pt>
                <c:pt idx="23">
                  <c:v>3825</c:v>
                </c:pt>
                <c:pt idx="24">
                  <c:v>3847.5</c:v>
                </c:pt>
                <c:pt idx="25">
                  <c:v>3870</c:v>
                </c:pt>
                <c:pt idx="26">
                  <c:v>3892.5</c:v>
                </c:pt>
                <c:pt idx="27">
                  <c:v>3915</c:v>
                </c:pt>
                <c:pt idx="28">
                  <c:v>3937.5</c:v>
                </c:pt>
                <c:pt idx="29">
                  <c:v>3960</c:v>
                </c:pt>
                <c:pt idx="30">
                  <c:v>3982.5</c:v>
                </c:pt>
                <c:pt idx="31">
                  <c:v>4005</c:v>
                </c:pt>
                <c:pt idx="32">
                  <c:v>4027.5</c:v>
                </c:pt>
                <c:pt idx="33">
                  <c:v>4050</c:v>
                </c:pt>
              </c:numCache>
            </c:numRef>
          </c:xVal>
          <c:yVal>
            <c:numRef>
              <c:f>'formation coleration (2)'!$C$91:$C$124</c:f>
              <c:numCache>
                <c:formatCode>General</c:formatCode>
                <c:ptCount val="34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3200</c:v>
                </c:pt>
                <c:pt idx="8">
                  <c:v>4000</c:v>
                </c:pt>
                <c:pt idx="9">
                  <c:v>4200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8000</c:v>
                </c:pt>
                <c:pt idx="14">
                  <c:v>8100</c:v>
                </c:pt>
                <c:pt idx="15">
                  <c:v>8150</c:v>
                </c:pt>
                <c:pt idx="16">
                  <c:v>8200</c:v>
                </c:pt>
                <c:pt idx="17">
                  <c:v>8250</c:v>
                </c:pt>
                <c:pt idx="18">
                  <c:v>8300</c:v>
                </c:pt>
                <c:pt idx="19">
                  <c:v>8350</c:v>
                </c:pt>
                <c:pt idx="20">
                  <c:v>8400</c:v>
                </c:pt>
                <c:pt idx="21">
                  <c:v>8450</c:v>
                </c:pt>
                <c:pt idx="22">
                  <c:v>8460</c:v>
                </c:pt>
                <c:pt idx="23">
                  <c:v>8500</c:v>
                </c:pt>
                <c:pt idx="24">
                  <c:v>8550</c:v>
                </c:pt>
                <c:pt idx="25">
                  <c:v>8600</c:v>
                </c:pt>
                <c:pt idx="26">
                  <c:v>8650</c:v>
                </c:pt>
                <c:pt idx="27">
                  <c:v>8700</c:v>
                </c:pt>
                <c:pt idx="28">
                  <c:v>8750</c:v>
                </c:pt>
                <c:pt idx="29">
                  <c:v>8800</c:v>
                </c:pt>
                <c:pt idx="30">
                  <c:v>8850</c:v>
                </c:pt>
                <c:pt idx="31">
                  <c:v>8900</c:v>
                </c:pt>
                <c:pt idx="32">
                  <c:v>8950</c:v>
                </c:pt>
                <c:pt idx="33">
                  <c:v>9000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CB51-476F-8A82-69060F68A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558367"/>
        <c:axId val="186562207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3"/>
                <c:tx>
                  <c:strRef>
                    <c:extLst>
                      <c:ext uri="{02D57815-91ED-43cb-92C2-25804820EDAC}">
                        <c15:formulaRef>
                          <c15:sqref>'updated pressures'!$D$35</c15:sqref>
                        </c15:formulaRef>
                      </c:ext>
                    </c:extLst>
                    <c:strCache>
                      <c:ptCount val="1"/>
                      <c:pt idx="0">
                        <c:v>4421.3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'updated pressures'!$H$37:$H$38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8424</c:v>
                      </c:pt>
                      <c:pt idx="1">
                        <c:v>9391.1999999999989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'updated pressures'!$G$37:$G$38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11-CB51-476F-8A82-69060F68ABF7}"/>
                  </c:ext>
                </c:extLst>
              </c15:ser>
            </c15:filteredScatterSeries>
            <c15:filteredScatterSeries>
              <c15:ser>
                <c:idx val="5"/>
                <c:order val="4"/>
                <c:tx>
                  <c:v>line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pressures'!$H$41:$H$42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pressures'!$G$41:$G$42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CB51-476F-8A82-69060F68ABF7}"/>
                  </c:ext>
                </c:extLst>
              </c15:ser>
            </c15:filteredScatterSeries>
            <c15:filteredScatterSeries>
              <c15:ser>
                <c:idx val="6"/>
                <c:order val="5"/>
                <c:tx>
                  <c:v>line1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pressures'!$H$44:$H$45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pressures'!$G$44:$G$45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CB51-476F-8A82-69060F68ABF7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7 liner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pressures'!$H$47:$H$48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pressures'!$G$47:$G$48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CB51-476F-8A82-69060F68ABF7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line 7 liner</c:v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pressures'!$H$50:$H$51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pressures'!$G$50:$G$51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CB51-476F-8A82-69060F68ABF7}"/>
                  </c:ext>
                </c:extLst>
              </c15:ser>
            </c15:filteredScatterSeries>
          </c:ext>
        </c:extLst>
      </c:scatterChart>
      <c:valAx>
        <c:axId val="186558367"/>
        <c:scaling>
          <c:orientation val="minMax"/>
          <c:max val="80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62207"/>
        <c:crosses val="autoZero"/>
        <c:crossBetween val="midCat"/>
        <c:majorUnit val="1000"/>
      </c:valAx>
      <c:valAx>
        <c:axId val="186562207"/>
        <c:scaling>
          <c:orientation val="maxMin"/>
          <c:max val="1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58367"/>
        <c:crosses val="autoZero"/>
        <c:crossBetween val="midCat"/>
        <c:majorUnit val="1000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329139166528872E-2"/>
          <c:y val="6.4065360910648697E-2"/>
          <c:w val="0.88665447927152152"/>
          <c:h val="0.78441223428885676"/>
        </c:manualLayout>
      </c:layout>
      <c:scatterChart>
        <c:scatterStyle val="smoothMarker"/>
        <c:varyColors val="0"/>
        <c:ser>
          <c:idx val="0"/>
          <c:order val="0"/>
          <c:tx>
            <c:v>Frac Pressure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'updated pressures'!$E$3:$E$36</c:f>
              <c:numCache>
                <c:formatCode>General</c:formatCode>
                <c:ptCount val="34"/>
                <c:pt idx="0">
                  <c:v>197.34</c:v>
                </c:pt>
                <c:pt idx="1">
                  <c:v>286</c:v>
                </c:pt>
                <c:pt idx="2">
                  <c:v>572</c:v>
                </c:pt>
                <c:pt idx="3">
                  <c:v>858</c:v>
                </c:pt>
                <c:pt idx="4">
                  <c:v>1206.9199999999998</c:v>
                </c:pt>
                <c:pt idx="5">
                  <c:v>1430</c:v>
                </c:pt>
                <c:pt idx="6">
                  <c:v>1622.3999999999999</c:v>
                </c:pt>
                <c:pt idx="7">
                  <c:v>1996.8</c:v>
                </c:pt>
                <c:pt idx="8">
                  <c:v>2808</c:v>
                </c:pt>
                <c:pt idx="9">
                  <c:v>2878.2</c:v>
                </c:pt>
                <c:pt idx="10">
                  <c:v>3640</c:v>
                </c:pt>
                <c:pt idx="11">
                  <c:v>4524</c:v>
                </c:pt>
                <c:pt idx="12">
                  <c:v>5460</c:v>
                </c:pt>
                <c:pt idx="13">
                  <c:v>6531.2</c:v>
                </c:pt>
                <c:pt idx="14">
                  <c:v>6612.84</c:v>
                </c:pt>
                <c:pt idx="15">
                  <c:v>6653.66</c:v>
                </c:pt>
                <c:pt idx="16">
                  <c:v>6694.48</c:v>
                </c:pt>
                <c:pt idx="17">
                  <c:v>6735.2999999999993</c:v>
                </c:pt>
                <c:pt idx="18">
                  <c:v>6776.12</c:v>
                </c:pt>
                <c:pt idx="19">
                  <c:v>6816.94</c:v>
                </c:pt>
                <c:pt idx="20">
                  <c:v>6857.7599999999993</c:v>
                </c:pt>
                <c:pt idx="21">
                  <c:v>6898.58</c:v>
                </c:pt>
                <c:pt idx="22">
                  <c:v>6906.7439999999997</c:v>
                </c:pt>
                <c:pt idx="23">
                  <c:v>6939.4</c:v>
                </c:pt>
                <c:pt idx="24">
                  <c:v>6980.2199999999993</c:v>
                </c:pt>
                <c:pt idx="25">
                  <c:v>7021.04</c:v>
                </c:pt>
                <c:pt idx="26">
                  <c:v>7061.86</c:v>
                </c:pt>
                <c:pt idx="27">
                  <c:v>7102.6799999999994</c:v>
                </c:pt>
                <c:pt idx="28">
                  <c:v>7143.5</c:v>
                </c:pt>
                <c:pt idx="29">
                  <c:v>7184.32</c:v>
                </c:pt>
                <c:pt idx="30">
                  <c:v>7225.1399999999994</c:v>
                </c:pt>
                <c:pt idx="31">
                  <c:v>7265.96</c:v>
                </c:pt>
                <c:pt idx="32">
                  <c:v>7306.78</c:v>
                </c:pt>
                <c:pt idx="33">
                  <c:v>7347.5999999999995</c:v>
                </c:pt>
              </c:numCache>
            </c:numRef>
          </c:xVal>
          <c:yVal>
            <c:numRef>
              <c:f>'updated pressures'!$B$3:$B$36</c:f>
              <c:numCache>
                <c:formatCode>General</c:formatCode>
                <c:ptCount val="34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3200</c:v>
                </c:pt>
                <c:pt idx="8">
                  <c:v>4000</c:v>
                </c:pt>
                <c:pt idx="9">
                  <c:v>4200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8000</c:v>
                </c:pt>
                <c:pt idx="14">
                  <c:v>8100</c:v>
                </c:pt>
                <c:pt idx="15">
                  <c:v>8150</c:v>
                </c:pt>
                <c:pt idx="16">
                  <c:v>8200</c:v>
                </c:pt>
                <c:pt idx="17">
                  <c:v>8250</c:v>
                </c:pt>
                <c:pt idx="18">
                  <c:v>8300</c:v>
                </c:pt>
                <c:pt idx="19">
                  <c:v>8350</c:v>
                </c:pt>
                <c:pt idx="20">
                  <c:v>8400</c:v>
                </c:pt>
                <c:pt idx="21">
                  <c:v>8450</c:v>
                </c:pt>
                <c:pt idx="22">
                  <c:v>8460</c:v>
                </c:pt>
                <c:pt idx="23">
                  <c:v>8500</c:v>
                </c:pt>
                <c:pt idx="24">
                  <c:v>8550</c:v>
                </c:pt>
                <c:pt idx="25">
                  <c:v>8600</c:v>
                </c:pt>
                <c:pt idx="26">
                  <c:v>8650</c:v>
                </c:pt>
                <c:pt idx="27">
                  <c:v>8700</c:v>
                </c:pt>
                <c:pt idx="28">
                  <c:v>8750</c:v>
                </c:pt>
                <c:pt idx="29">
                  <c:v>8800</c:v>
                </c:pt>
                <c:pt idx="30">
                  <c:v>8850</c:v>
                </c:pt>
                <c:pt idx="31">
                  <c:v>8900</c:v>
                </c:pt>
                <c:pt idx="32">
                  <c:v>8950</c:v>
                </c:pt>
                <c:pt idx="33">
                  <c:v>9000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C1-46B9-9768-EEE7F1FF9698}"/>
            </c:ext>
          </c:extLst>
        </c:ser>
        <c:ser>
          <c:idx val="1"/>
          <c:order val="1"/>
          <c:tx>
            <c:strRef>
              <c:f>'updated pressures'!$D$2</c:f>
              <c:strCache>
                <c:ptCount val="1"/>
                <c:pt idx="0">
                  <c:v>PORE PRESSURE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'updated pressures'!$D$3:$D$36</c:f>
              <c:numCache>
                <c:formatCode>General</c:formatCode>
                <c:ptCount val="34"/>
                <c:pt idx="0">
                  <c:v>152.48999999999998</c:v>
                </c:pt>
                <c:pt idx="1">
                  <c:v>221</c:v>
                </c:pt>
                <c:pt idx="2">
                  <c:v>442</c:v>
                </c:pt>
                <c:pt idx="3">
                  <c:v>663</c:v>
                </c:pt>
                <c:pt idx="4">
                  <c:v>932.62</c:v>
                </c:pt>
                <c:pt idx="5">
                  <c:v>1131</c:v>
                </c:pt>
                <c:pt idx="6">
                  <c:v>1176.2399999999998</c:v>
                </c:pt>
                <c:pt idx="7">
                  <c:v>1414.3999999999999</c:v>
                </c:pt>
                <c:pt idx="8">
                  <c:v>1809.6</c:v>
                </c:pt>
                <c:pt idx="9">
                  <c:v>1965.6</c:v>
                </c:pt>
                <c:pt idx="10">
                  <c:v>2340</c:v>
                </c:pt>
                <c:pt idx="11">
                  <c:v>2808</c:v>
                </c:pt>
                <c:pt idx="12">
                  <c:v>3276</c:v>
                </c:pt>
                <c:pt idx="13">
                  <c:v>3744</c:v>
                </c:pt>
                <c:pt idx="14">
                  <c:v>4001.3999999999996</c:v>
                </c:pt>
                <c:pt idx="15">
                  <c:v>4026.1</c:v>
                </c:pt>
                <c:pt idx="16">
                  <c:v>4050.7999999999997</c:v>
                </c:pt>
                <c:pt idx="17">
                  <c:v>4075.5</c:v>
                </c:pt>
                <c:pt idx="18">
                  <c:v>4100.2</c:v>
                </c:pt>
                <c:pt idx="19">
                  <c:v>4124.8999999999996</c:v>
                </c:pt>
                <c:pt idx="20">
                  <c:v>4149.5999999999995</c:v>
                </c:pt>
                <c:pt idx="21">
                  <c:v>4174.3</c:v>
                </c:pt>
                <c:pt idx="22">
                  <c:v>4179.24</c:v>
                </c:pt>
                <c:pt idx="23">
                  <c:v>4199</c:v>
                </c:pt>
                <c:pt idx="24">
                  <c:v>4223.7</c:v>
                </c:pt>
                <c:pt idx="25">
                  <c:v>4248.3999999999996</c:v>
                </c:pt>
                <c:pt idx="26">
                  <c:v>4273.0999999999995</c:v>
                </c:pt>
                <c:pt idx="27">
                  <c:v>4297.8</c:v>
                </c:pt>
                <c:pt idx="28">
                  <c:v>4322.5</c:v>
                </c:pt>
                <c:pt idx="29">
                  <c:v>4347.2</c:v>
                </c:pt>
                <c:pt idx="30">
                  <c:v>4371.8999999999996</c:v>
                </c:pt>
                <c:pt idx="31">
                  <c:v>4396.5999999999995</c:v>
                </c:pt>
                <c:pt idx="32">
                  <c:v>4421.3</c:v>
                </c:pt>
                <c:pt idx="33">
                  <c:v>4446</c:v>
                </c:pt>
              </c:numCache>
            </c:numRef>
          </c:xVal>
          <c:yVal>
            <c:numRef>
              <c:f>'updated pressures'!$B$3:$B$36</c:f>
              <c:numCache>
                <c:formatCode>General</c:formatCode>
                <c:ptCount val="34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3200</c:v>
                </c:pt>
                <c:pt idx="8">
                  <c:v>4000</c:v>
                </c:pt>
                <c:pt idx="9">
                  <c:v>4200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8000</c:v>
                </c:pt>
                <c:pt idx="14">
                  <c:v>8100</c:v>
                </c:pt>
                <c:pt idx="15">
                  <c:v>8150</c:v>
                </c:pt>
                <c:pt idx="16">
                  <c:v>8200</c:v>
                </c:pt>
                <c:pt idx="17">
                  <c:v>8250</c:v>
                </c:pt>
                <c:pt idx="18">
                  <c:v>8300</c:v>
                </c:pt>
                <c:pt idx="19">
                  <c:v>8350</c:v>
                </c:pt>
                <c:pt idx="20">
                  <c:v>8400</c:v>
                </c:pt>
                <c:pt idx="21">
                  <c:v>8450</c:v>
                </c:pt>
                <c:pt idx="22">
                  <c:v>8460</c:v>
                </c:pt>
                <c:pt idx="23">
                  <c:v>8500</c:v>
                </c:pt>
                <c:pt idx="24">
                  <c:v>8550</c:v>
                </c:pt>
                <c:pt idx="25">
                  <c:v>8600</c:v>
                </c:pt>
                <c:pt idx="26">
                  <c:v>8650</c:v>
                </c:pt>
                <c:pt idx="27">
                  <c:v>8700</c:v>
                </c:pt>
                <c:pt idx="28">
                  <c:v>8750</c:v>
                </c:pt>
                <c:pt idx="29">
                  <c:v>8800</c:v>
                </c:pt>
                <c:pt idx="30">
                  <c:v>8850</c:v>
                </c:pt>
                <c:pt idx="31">
                  <c:v>8900</c:v>
                </c:pt>
                <c:pt idx="32">
                  <c:v>8950</c:v>
                </c:pt>
                <c:pt idx="33">
                  <c:v>9000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C1-46B9-9768-EEE7F1FF9698}"/>
            </c:ext>
          </c:extLst>
        </c:ser>
        <c:ser>
          <c:idx val="2"/>
          <c:order val="2"/>
          <c:tx>
            <c:v>overbalance(+0.5ppg)</c:v>
          </c:tx>
          <c:spPr>
            <a:ln w="19050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'updated pressures'!$G$3:$G$36</c:f>
              <c:numCache>
                <c:formatCode>General</c:formatCode>
                <c:ptCount val="34"/>
                <c:pt idx="0">
                  <c:v>161.45999999999998</c:v>
                </c:pt>
                <c:pt idx="1">
                  <c:v>234</c:v>
                </c:pt>
                <c:pt idx="2">
                  <c:v>468</c:v>
                </c:pt>
                <c:pt idx="3">
                  <c:v>702</c:v>
                </c:pt>
                <c:pt idx="4">
                  <c:v>987.4799999999999</c:v>
                </c:pt>
                <c:pt idx="5">
                  <c:v>1196</c:v>
                </c:pt>
                <c:pt idx="6">
                  <c:v>1243.8399999999997</c:v>
                </c:pt>
                <c:pt idx="7">
                  <c:v>1497.6</c:v>
                </c:pt>
                <c:pt idx="8">
                  <c:v>1913.6</c:v>
                </c:pt>
                <c:pt idx="9">
                  <c:v>2074.7999999999997</c:v>
                </c:pt>
                <c:pt idx="10">
                  <c:v>2470</c:v>
                </c:pt>
                <c:pt idx="11">
                  <c:v>2964</c:v>
                </c:pt>
                <c:pt idx="12">
                  <c:v>3458</c:v>
                </c:pt>
                <c:pt idx="13">
                  <c:v>3952</c:v>
                </c:pt>
                <c:pt idx="14">
                  <c:v>4212</c:v>
                </c:pt>
                <c:pt idx="15">
                  <c:v>4238</c:v>
                </c:pt>
                <c:pt idx="16">
                  <c:v>4264</c:v>
                </c:pt>
                <c:pt idx="17">
                  <c:v>4290</c:v>
                </c:pt>
                <c:pt idx="18">
                  <c:v>4316</c:v>
                </c:pt>
                <c:pt idx="19">
                  <c:v>4342</c:v>
                </c:pt>
                <c:pt idx="20">
                  <c:v>4368</c:v>
                </c:pt>
                <c:pt idx="21">
                  <c:v>4394</c:v>
                </c:pt>
                <c:pt idx="22">
                  <c:v>4399.2</c:v>
                </c:pt>
                <c:pt idx="23">
                  <c:v>4420</c:v>
                </c:pt>
                <c:pt idx="24">
                  <c:v>4446</c:v>
                </c:pt>
                <c:pt idx="25">
                  <c:v>4472</c:v>
                </c:pt>
                <c:pt idx="26">
                  <c:v>4498</c:v>
                </c:pt>
                <c:pt idx="27">
                  <c:v>4524</c:v>
                </c:pt>
                <c:pt idx="28">
                  <c:v>4550</c:v>
                </c:pt>
                <c:pt idx="29">
                  <c:v>4576</c:v>
                </c:pt>
                <c:pt idx="30">
                  <c:v>4602</c:v>
                </c:pt>
                <c:pt idx="31">
                  <c:v>4628</c:v>
                </c:pt>
                <c:pt idx="32">
                  <c:v>4654</c:v>
                </c:pt>
                <c:pt idx="33">
                  <c:v>4680</c:v>
                </c:pt>
              </c:numCache>
            </c:numRef>
          </c:xVal>
          <c:yVal>
            <c:numRef>
              <c:f>'updated pressures'!$B$3:$B$36</c:f>
              <c:numCache>
                <c:formatCode>General</c:formatCode>
                <c:ptCount val="34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3200</c:v>
                </c:pt>
                <c:pt idx="8">
                  <c:v>4000</c:v>
                </c:pt>
                <c:pt idx="9">
                  <c:v>4200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8000</c:v>
                </c:pt>
                <c:pt idx="14">
                  <c:v>8100</c:v>
                </c:pt>
                <c:pt idx="15">
                  <c:v>8150</c:v>
                </c:pt>
                <c:pt idx="16">
                  <c:v>8200</c:v>
                </c:pt>
                <c:pt idx="17">
                  <c:v>8250</c:v>
                </c:pt>
                <c:pt idx="18">
                  <c:v>8300</c:v>
                </c:pt>
                <c:pt idx="19">
                  <c:v>8350</c:v>
                </c:pt>
                <c:pt idx="20">
                  <c:v>8400</c:v>
                </c:pt>
                <c:pt idx="21">
                  <c:v>8450</c:v>
                </c:pt>
                <c:pt idx="22">
                  <c:v>8460</c:v>
                </c:pt>
                <c:pt idx="23">
                  <c:v>8500</c:v>
                </c:pt>
                <c:pt idx="24">
                  <c:v>8550</c:v>
                </c:pt>
                <c:pt idx="25">
                  <c:v>8600</c:v>
                </c:pt>
                <c:pt idx="26">
                  <c:v>8650</c:v>
                </c:pt>
                <c:pt idx="27">
                  <c:v>8700</c:v>
                </c:pt>
                <c:pt idx="28">
                  <c:v>8750</c:v>
                </c:pt>
                <c:pt idx="29">
                  <c:v>8800</c:v>
                </c:pt>
                <c:pt idx="30">
                  <c:v>8850</c:v>
                </c:pt>
                <c:pt idx="31">
                  <c:v>8900</c:v>
                </c:pt>
                <c:pt idx="32">
                  <c:v>8950</c:v>
                </c:pt>
                <c:pt idx="33">
                  <c:v>9000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80C1-46B9-9768-EEE7F1FF9698}"/>
            </c:ext>
          </c:extLst>
        </c:ser>
        <c:ser>
          <c:idx val="3"/>
          <c:order val="8"/>
          <c:tx>
            <c:v>fracture presure (-0.5ppg)</c:v>
          </c:tx>
          <c:spPr>
            <a:ln w="19050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'updated pressures'!$H$3:$H$36</c:f>
              <c:numCache>
                <c:formatCode>General</c:formatCode>
                <c:ptCount val="34"/>
                <c:pt idx="0">
                  <c:v>188.36999999999998</c:v>
                </c:pt>
                <c:pt idx="1">
                  <c:v>272.99999999999994</c:v>
                </c:pt>
                <c:pt idx="2">
                  <c:v>545.99999999999989</c:v>
                </c:pt>
                <c:pt idx="3">
                  <c:v>818.99999999999989</c:v>
                </c:pt>
                <c:pt idx="4">
                  <c:v>1152.06</c:v>
                </c:pt>
                <c:pt idx="5">
                  <c:v>1364.9999999999998</c:v>
                </c:pt>
                <c:pt idx="6">
                  <c:v>1554.8</c:v>
                </c:pt>
                <c:pt idx="7">
                  <c:v>1913.6</c:v>
                </c:pt>
                <c:pt idx="8">
                  <c:v>2703.9999999999995</c:v>
                </c:pt>
                <c:pt idx="9">
                  <c:v>2771.6</c:v>
                </c:pt>
                <c:pt idx="10">
                  <c:v>3510</c:v>
                </c:pt>
                <c:pt idx="11">
                  <c:v>4368</c:v>
                </c:pt>
                <c:pt idx="12">
                  <c:v>5278</c:v>
                </c:pt>
                <c:pt idx="13">
                  <c:v>6323.1999999999989</c:v>
                </c:pt>
                <c:pt idx="14">
                  <c:v>6402.2399999999989</c:v>
                </c:pt>
                <c:pt idx="15">
                  <c:v>6441.7599999999993</c:v>
                </c:pt>
                <c:pt idx="16">
                  <c:v>6481.2799999999988</c:v>
                </c:pt>
                <c:pt idx="17">
                  <c:v>6520.7999999999993</c:v>
                </c:pt>
                <c:pt idx="18">
                  <c:v>6560.3199999999988</c:v>
                </c:pt>
                <c:pt idx="19">
                  <c:v>6599.8399999999992</c:v>
                </c:pt>
                <c:pt idx="20">
                  <c:v>6639.3599999999988</c:v>
                </c:pt>
                <c:pt idx="21">
                  <c:v>6678.8799999999992</c:v>
                </c:pt>
                <c:pt idx="22">
                  <c:v>6686.7839999999987</c:v>
                </c:pt>
                <c:pt idx="23">
                  <c:v>6718.3999999999987</c:v>
                </c:pt>
                <c:pt idx="24">
                  <c:v>6757.9199999999992</c:v>
                </c:pt>
                <c:pt idx="25">
                  <c:v>6797.4399999999987</c:v>
                </c:pt>
                <c:pt idx="26">
                  <c:v>6836.9599999999991</c:v>
                </c:pt>
                <c:pt idx="27">
                  <c:v>6876.4799999999987</c:v>
                </c:pt>
                <c:pt idx="28">
                  <c:v>6915.9999999999991</c:v>
                </c:pt>
                <c:pt idx="29">
                  <c:v>6955.5199999999986</c:v>
                </c:pt>
                <c:pt idx="30">
                  <c:v>6995.0399999999991</c:v>
                </c:pt>
                <c:pt idx="31">
                  <c:v>7034.5599999999986</c:v>
                </c:pt>
                <c:pt idx="32">
                  <c:v>7074.079999999999</c:v>
                </c:pt>
                <c:pt idx="33">
                  <c:v>7113.5999999999985</c:v>
                </c:pt>
              </c:numCache>
            </c:numRef>
          </c:xVal>
          <c:yVal>
            <c:numRef>
              <c:f>'updated pressures'!$B$3:$B$36</c:f>
              <c:numCache>
                <c:formatCode>General</c:formatCode>
                <c:ptCount val="34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3200</c:v>
                </c:pt>
                <c:pt idx="8">
                  <c:v>4000</c:v>
                </c:pt>
                <c:pt idx="9">
                  <c:v>4200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8000</c:v>
                </c:pt>
                <c:pt idx="14">
                  <c:v>8100</c:v>
                </c:pt>
                <c:pt idx="15">
                  <c:v>8150</c:v>
                </c:pt>
                <c:pt idx="16">
                  <c:v>8200</c:v>
                </c:pt>
                <c:pt idx="17">
                  <c:v>8250</c:v>
                </c:pt>
                <c:pt idx="18">
                  <c:v>8300</c:v>
                </c:pt>
                <c:pt idx="19">
                  <c:v>8350</c:v>
                </c:pt>
                <c:pt idx="20">
                  <c:v>8400</c:v>
                </c:pt>
                <c:pt idx="21">
                  <c:v>8450</c:v>
                </c:pt>
                <c:pt idx="22">
                  <c:v>8460</c:v>
                </c:pt>
                <c:pt idx="23">
                  <c:v>8500</c:v>
                </c:pt>
                <c:pt idx="24">
                  <c:v>8550</c:v>
                </c:pt>
                <c:pt idx="25">
                  <c:v>8600</c:v>
                </c:pt>
                <c:pt idx="26">
                  <c:v>8650</c:v>
                </c:pt>
                <c:pt idx="27">
                  <c:v>8700</c:v>
                </c:pt>
                <c:pt idx="28">
                  <c:v>8750</c:v>
                </c:pt>
                <c:pt idx="29">
                  <c:v>8800</c:v>
                </c:pt>
                <c:pt idx="30">
                  <c:v>8850</c:v>
                </c:pt>
                <c:pt idx="31">
                  <c:v>8900</c:v>
                </c:pt>
                <c:pt idx="32">
                  <c:v>8950</c:v>
                </c:pt>
                <c:pt idx="33">
                  <c:v>9000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C1-46B9-9768-EEE7F1FF9698}"/>
            </c:ext>
          </c:extLst>
        </c:ser>
        <c:ser>
          <c:idx val="12"/>
          <c:order val="9"/>
          <c:tx>
            <c:v>overburden pressure(1psi/ft)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'updated pressures'!$L$3:$L$36</c:f>
              <c:numCache>
                <c:formatCode>0.00</c:formatCode>
                <c:ptCount val="34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3200</c:v>
                </c:pt>
                <c:pt idx="8">
                  <c:v>4000</c:v>
                </c:pt>
                <c:pt idx="9">
                  <c:v>4200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8000</c:v>
                </c:pt>
                <c:pt idx="14">
                  <c:v>8100</c:v>
                </c:pt>
                <c:pt idx="15">
                  <c:v>8150</c:v>
                </c:pt>
                <c:pt idx="16">
                  <c:v>8200</c:v>
                </c:pt>
                <c:pt idx="17">
                  <c:v>8250</c:v>
                </c:pt>
                <c:pt idx="18">
                  <c:v>8300</c:v>
                </c:pt>
                <c:pt idx="19">
                  <c:v>8350</c:v>
                </c:pt>
                <c:pt idx="20">
                  <c:v>8400</c:v>
                </c:pt>
                <c:pt idx="21">
                  <c:v>8450</c:v>
                </c:pt>
                <c:pt idx="22">
                  <c:v>8460</c:v>
                </c:pt>
                <c:pt idx="23">
                  <c:v>8500</c:v>
                </c:pt>
                <c:pt idx="24">
                  <c:v>8550</c:v>
                </c:pt>
                <c:pt idx="25">
                  <c:v>8600</c:v>
                </c:pt>
                <c:pt idx="26">
                  <c:v>8650</c:v>
                </c:pt>
                <c:pt idx="27">
                  <c:v>8700</c:v>
                </c:pt>
                <c:pt idx="28">
                  <c:v>8750</c:v>
                </c:pt>
                <c:pt idx="29">
                  <c:v>8800</c:v>
                </c:pt>
                <c:pt idx="30">
                  <c:v>8850</c:v>
                </c:pt>
                <c:pt idx="31">
                  <c:v>8900</c:v>
                </c:pt>
                <c:pt idx="32">
                  <c:v>8950</c:v>
                </c:pt>
                <c:pt idx="33">
                  <c:v>9000</c:v>
                </c:pt>
              </c:numCache>
            </c:numRef>
          </c:xVal>
          <c:yVal>
            <c:numRef>
              <c:f>'updated pressures'!$B$3:$B$36</c:f>
              <c:numCache>
                <c:formatCode>General</c:formatCode>
                <c:ptCount val="34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3200</c:v>
                </c:pt>
                <c:pt idx="8">
                  <c:v>4000</c:v>
                </c:pt>
                <c:pt idx="9">
                  <c:v>4200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8000</c:v>
                </c:pt>
                <c:pt idx="14">
                  <c:v>8100</c:v>
                </c:pt>
                <c:pt idx="15">
                  <c:v>8150</c:v>
                </c:pt>
                <c:pt idx="16">
                  <c:v>8200</c:v>
                </c:pt>
                <c:pt idx="17">
                  <c:v>8250</c:v>
                </c:pt>
                <c:pt idx="18">
                  <c:v>8300</c:v>
                </c:pt>
                <c:pt idx="19">
                  <c:v>8350</c:v>
                </c:pt>
                <c:pt idx="20">
                  <c:v>8400</c:v>
                </c:pt>
                <c:pt idx="21">
                  <c:v>8450</c:v>
                </c:pt>
                <c:pt idx="22">
                  <c:v>8460</c:v>
                </c:pt>
                <c:pt idx="23">
                  <c:v>8500</c:v>
                </c:pt>
                <c:pt idx="24">
                  <c:v>8550</c:v>
                </c:pt>
                <c:pt idx="25">
                  <c:v>8600</c:v>
                </c:pt>
                <c:pt idx="26">
                  <c:v>8650</c:v>
                </c:pt>
                <c:pt idx="27">
                  <c:v>8700</c:v>
                </c:pt>
                <c:pt idx="28">
                  <c:v>8750</c:v>
                </c:pt>
                <c:pt idx="29">
                  <c:v>8800</c:v>
                </c:pt>
                <c:pt idx="30">
                  <c:v>8850</c:v>
                </c:pt>
                <c:pt idx="31">
                  <c:v>8900</c:v>
                </c:pt>
                <c:pt idx="32">
                  <c:v>8950</c:v>
                </c:pt>
                <c:pt idx="33">
                  <c:v>9000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80C1-46B9-9768-EEE7F1FF9698}"/>
            </c:ext>
          </c:extLst>
        </c:ser>
        <c:ser>
          <c:idx val="15"/>
          <c:order val="10"/>
          <c:tx>
            <c:v>last line</c:v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'updated pressures'!$S$43</c:f>
              <c:numCache>
                <c:formatCode>General</c:formatCode>
                <c:ptCount val="1"/>
                <c:pt idx="0">
                  <c:v>1544</c:v>
                </c:pt>
              </c:numCache>
            </c:numRef>
          </c:xVal>
          <c:yVal>
            <c:numRef>
              <c:f>'updated pressures'!$R$42:$R$43</c:f>
              <c:numCache>
                <c:formatCode>General</c:formatCode>
                <c:ptCount val="2"/>
                <c:pt idx="0">
                  <c:v>3300</c:v>
                </c:pt>
                <c:pt idx="1">
                  <c:v>3300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80C1-46B9-9768-EEE7F1FF9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558367"/>
        <c:axId val="186562207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3"/>
                <c:tx>
                  <c:strRef>
                    <c:extLst>
                      <c:ext uri="{02D57815-91ED-43cb-92C2-25804820EDAC}">
                        <c15:formulaRef>
                          <c15:sqref>'updated pressures'!$D$35</c15:sqref>
                        </c15:formulaRef>
                      </c:ext>
                    </c:extLst>
                    <c:strCache>
                      <c:ptCount val="1"/>
                      <c:pt idx="0">
                        <c:v>4421.3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'updated pressures'!$H$37:$H$38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8424</c:v>
                      </c:pt>
                      <c:pt idx="1">
                        <c:v>9391.1999999999989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'updated pressures'!$G$37:$G$38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10-80C1-46B9-9768-EEE7F1FF9698}"/>
                  </c:ext>
                </c:extLst>
              </c15:ser>
            </c15:filteredScatterSeries>
            <c15:filteredScatterSeries>
              <c15:ser>
                <c:idx val="5"/>
                <c:order val="4"/>
                <c:tx>
                  <c:v>line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pressures'!$H$41:$H$42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pressures'!$G$41:$G$42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80C1-46B9-9768-EEE7F1FF9698}"/>
                  </c:ext>
                </c:extLst>
              </c15:ser>
            </c15:filteredScatterSeries>
            <c15:filteredScatterSeries>
              <c15:ser>
                <c:idx val="6"/>
                <c:order val="5"/>
                <c:tx>
                  <c:v>line1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pressures'!$H$44:$H$45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pressures'!$G$44:$G$45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80C1-46B9-9768-EEE7F1FF9698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7 liner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pressures'!$H$47:$H$48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pressures'!$G$47:$G$48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80C1-46B9-9768-EEE7F1FF9698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line 7 liner</c:v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pressures'!$H$50:$H$51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pressures'!$G$50:$G$51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80C1-46B9-9768-EEE7F1FF9698}"/>
                  </c:ext>
                </c:extLst>
              </c15:ser>
            </c15:filteredScatterSeries>
          </c:ext>
        </c:extLst>
      </c:scatterChart>
      <c:valAx>
        <c:axId val="186558367"/>
        <c:scaling>
          <c:orientation val="minMax"/>
          <c:max val="80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PRESSURES(PSI)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62207"/>
        <c:crosses val="autoZero"/>
        <c:crossBetween val="midCat"/>
        <c:majorUnit val="1000"/>
      </c:valAx>
      <c:valAx>
        <c:axId val="186562207"/>
        <c:scaling>
          <c:orientation val="maxMin"/>
          <c:max val="1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DEPTH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58367"/>
        <c:crosses val="autoZero"/>
        <c:crossBetween val="midCat"/>
        <c:majorUnit val="1000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ayout>
        <c:manualLayout>
          <c:xMode val="edge"/>
          <c:yMode val="edge"/>
          <c:x val="6.3916950702652547E-2"/>
          <c:y val="0.90255117886855252"/>
          <c:w val="0.82448452423376495"/>
          <c:h val="6.97181416341308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109601730925609E-2"/>
          <c:y val="0.13135958005249346"/>
          <c:w val="0.85966695833122109"/>
          <c:h val="0.72352648776045847"/>
        </c:manualLayout>
      </c:layout>
      <c:scatterChart>
        <c:scatterStyle val="smoothMarker"/>
        <c:varyColors val="0"/>
        <c:ser>
          <c:idx val="0"/>
          <c:order val="0"/>
          <c:tx>
            <c:v>Frac Pressure (mud logs)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'updated pressures'!$E$3:$E$36</c:f>
              <c:numCache>
                <c:formatCode>General</c:formatCode>
                <c:ptCount val="34"/>
                <c:pt idx="0">
                  <c:v>197.34</c:v>
                </c:pt>
                <c:pt idx="1">
                  <c:v>286</c:v>
                </c:pt>
                <c:pt idx="2">
                  <c:v>572</c:v>
                </c:pt>
                <c:pt idx="3">
                  <c:v>858</c:v>
                </c:pt>
                <c:pt idx="4">
                  <c:v>1206.9199999999998</c:v>
                </c:pt>
                <c:pt idx="5">
                  <c:v>1430</c:v>
                </c:pt>
                <c:pt idx="6">
                  <c:v>1622.3999999999999</c:v>
                </c:pt>
                <c:pt idx="7">
                  <c:v>1996.8</c:v>
                </c:pt>
                <c:pt idx="8">
                  <c:v>2808</c:v>
                </c:pt>
                <c:pt idx="9">
                  <c:v>2878.2</c:v>
                </c:pt>
                <c:pt idx="10">
                  <c:v>3640</c:v>
                </c:pt>
                <c:pt idx="11">
                  <c:v>4524</c:v>
                </c:pt>
                <c:pt idx="12">
                  <c:v>5460</c:v>
                </c:pt>
                <c:pt idx="13">
                  <c:v>6531.2</c:v>
                </c:pt>
                <c:pt idx="14">
                  <c:v>6612.84</c:v>
                </c:pt>
                <c:pt idx="15">
                  <c:v>6653.66</c:v>
                </c:pt>
                <c:pt idx="16">
                  <c:v>6694.48</c:v>
                </c:pt>
                <c:pt idx="17">
                  <c:v>6735.2999999999993</c:v>
                </c:pt>
                <c:pt idx="18">
                  <c:v>6776.12</c:v>
                </c:pt>
                <c:pt idx="19">
                  <c:v>6816.94</c:v>
                </c:pt>
                <c:pt idx="20">
                  <c:v>6857.7599999999993</c:v>
                </c:pt>
                <c:pt idx="21">
                  <c:v>6898.58</c:v>
                </c:pt>
                <c:pt idx="22">
                  <c:v>6906.7439999999997</c:v>
                </c:pt>
                <c:pt idx="23">
                  <c:v>6939.4</c:v>
                </c:pt>
                <c:pt idx="24">
                  <c:v>6980.2199999999993</c:v>
                </c:pt>
                <c:pt idx="25">
                  <c:v>7021.04</c:v>
                </c:pt>
                <c:pt idx="26">
                  <c:v>7061.86</c:v>
                </c:pt>
                <c:pt idx="27">
                  <c:v>7102.6799999999994</c:v>
                </c:pt>
                <c:pt idx="28">
                  <c:v>7143.5</c:v>
                </c:pt>
                <c:pt idx="29">
                  <c:v>7184.32</c:v>
                </c:pt>
                <c:pt idx="30">
                  <c:v>7225.1399999999994</c:v>
                </c:pt>
                <c:pt idx="31">
                  <c:v>7265.96</c:v>
                </c:pt>
                <c:pt idx="32">
                  <c:v>7306.78</c:v>
                </c:pt>
                <c:pt idx="33">
                  <c:v>7347.5999999999995</c:v>
                </c:pt>
              </c:numCache>
            </c:numRef>
          </c:xVal>
          <c:yVal>
            <c:numRef>
              <c:f>'updated pressures'!$B$3:$B$36</c:f>
              <c:numCache>
                <c:formatCode>General</c:formatCode>
                <c:ptCount val="34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3200</c:v>
                </c:pt>
                <c:pt idx="8">
                  <c:v>4000</c:v>
                </c:pt>
                <c:pt idx="9">
                  <c:v>4200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8000</c:v>
                </c:pt>
                <c:pt idx="14">
                  <c:v>8100</c:v>
                </c:pt>
                <c:pt idx="15">
                  <c:v>8150</c:v>
                </c:pt>
                <c:pt idx="16">
                  <c:v>8200</c:v>
                </c:pt>
                <c:pt idx="17">
                  <c:v>8250</c:v>
                </c:pt>
                <c:pt idx="18">
                  <c:v>8300</c:v>
                </c:pt>
                <c:pt idx="19">
                  <c:v>8350</c:v>
                </c:pt>
                <c:pt idx="20">
                  <c:v>8400</c:v>
                </c:pt>
                <c:pt idx="21">
                  <c:v>8450</c:v>
                </c:pt>
                <c:pt idx="22">
                  <c:v>8460</c:v>
                </c:pt>
                <c:pt idx="23">
                  <c:v>8500</c:v>
                </c:pt>
                <c:pt idx="24">
                  <c:v>8550</c:v>
                </c:pt>
                <c:pt idx="25">
                  <c:v>8600</c:v>
                </c:pt>
                <c:pt idx="26">
                  <c:v>8650</c:v>
                </c:pt>
                <c:pt idx="27">
                  <c:v>8700</c:v>
                </c:pt>
                <c:pt idx="28">
                  <c:v>8750</c:v>
                </c:pt>
                <c:pt idx="29">
                  <c:v>8800</c:v>
                </c:pt>
                <c:pt idx="30">
                  <c:v>8850</c:v>
                </c:pt>
                <c:pt idx="31">
                  <c:v>8900</c:v>
                </c:pt>
                <c:pt idx="32">
                  <c:v>8950</c:v>
                </c:pt>
                <c:pt idx="33">
                  <c:v>9000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93-46A4-8238-4752CBE458CD}"/>
            </c:ext>
          </c:extLst>
        </c:ser>
        <c:ser>
          <c:idx val="1"/>
          <c:order val="1"/>
          <c:tx>
            <c:strRef>
              <c:f>'updated pressures'!$D$2</c:f>
              <c:strCache>
                <c:ptCount val="1"/>
                <c:pt idx="0">
                  <c:v>PORE PRESSURE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'updated pressures'!$D$3:$D$36</c:f>
              <c:numCache>
                <c:formatCode>General</c:formatCode>
                <c:ptCount val="34"/>
                <c:pt idx="0">
                  <c:v>152.48999999999998</c:v>
                </c:pt>
                <c:pt idx="1">
                  <c:v>221</c:v>
                </c:pt>
                <c:pt idx="2">
                  <c:v>442</c:v>
                </c:pt>
                <c:pt idx="3">
                  <c:v>663</c:v>
                </c:pt>
                <c:pt idx="4">
                  <c:v>932.62</c:v>
                </c:pt>
                <c:pt idx="5">
                  <c:v>1131</c:v>
                </c:pt>
                <c:pt idx="6">
                  <c:v>1176.2399999999998</c:v>
                </c:pt>
                <c:pt idx="7">
                  <c:v>1414.3999999999999</c:v>
                </c:pt>
                <c:pt idx="8">
                  <c:v>1809.6</c:v>
                </c:pt>
                <c:pt idx="9">
                  <c:v>1965.6</c:v>
                </c:pt>
                <c:pt idx="10">
                  <c:v>2340</c:v>
                </c:pt>
                <c:pt idx="11">
                  <c:v>2808</c:v>
                </c:pt>
                <c:pt idx="12">
                  <c:v>3276</c:v>
                </c:pt>
                <c:pt idx="13">
                  <c:v>3744</c:v>
                </c:pt>
                <c:pt idx="14">
                  <c:v>4001.3999999999996</c:v>
                </c:pt>
                <c:pt idx="15">
                  <c:v>4026.1</c:v>
                </c:pt>
                <c:pt idx="16">
                  <c:v>4050.7999999999997</c:v>
                </c:pt>
                <c:pt idx="17">
                  <c:v>4075.5</c:v>
                </c:pt>
                <c:pt idx="18">
                  <c:v>4100.2</c:v>
                </c:pt>
                <c:pt idx="19">
                  <c:v>4124.8999999999996</c:v>
                </c:pt>
                <c:pt idx="20">
                  <c:v>4149.5999999999995</c:v>
                </c:pt>
                <c:pt idx="21">
                  <c:v>4174.3</c:v>
                </c:pt>
                <c:pt idx="22">
                  <c:v>4179.24</c:v>
                </c:pt>
                <c:pt idx="23">
                  <c:v>4199</c:v>
                </c:pt>
                <c:pt idx="24">
                  <c:v>4223.7</c:v>
                </c:pt>
                <c:pt idx="25">
                  <c:v>4248.3999999999996</c:v>
                </c:pt>
                <c:pt idx="26">
                  <c:v>4273.0999999999995</c:v>
                </c:pt>
                <c:pt idx="27">
                  <c:v>4297.8</c:v>
                </c:pt>
                <c:pt idx="28">
                  <c:v>4322.5</c:v>
                </c:pt>
                <c:pt idx="29">
                  <c:v>4347.2</c:v>
                </c:pt>
                <c:pt idx="30">
                  <c:v>4371.8999999999996</c:v>
                </c:pt>
                <c:pt idx="31">
                  <c:v>4396.5999999999995</c:v>
                </c:pt>
                <c:pt idx="32">
                  <c:v>4421.3</c:v>
                </c:pt>
                <c:pt idx="33">
                  <c:v>4446</c:v>
                </c:pt>
              </c:numCache>
            </c:numRef>
          </c:xVal>
          <c:yVal>
            <c:numRef>
              <c:f>'updated pressures'!$B$3:$B$36</c:f>
              <c:numCache>
                <c:formatCode>General</c:formatCode>
                <c:ptCount val="34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3200</c:v>
                </c:pt>
                <c:pt idx="8">
                  <c:v>4000</c:v>
                </c:pt>
                <c:pt idx="9">
                  <c:v>4200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8000</c:v>
                </c:pt>
                <c:pt idx="14">
                  <c:v>8100</c:v>
                </c:pt>
                <c:pt idx="15">
                  <c:v>8150</c:v>
                </c:pt>
                <c:pt idx="16">
                  <c:v>8200</c:v>
                </c:pt>
                <c:pt idx="17">
                  <c:v>8250</c:v>
                </c:pt>
                <c:pt idx="18">
                  <c:v>8300</c:v>
                </c:pt>
                <c:pt idx="19">
                  <c:v>8350</c:v>
                </c:pt>
                <c:pt idx="20">
                  <c:v>8400</c:v>
                </c:pt>
                <c:pt idx="21">
                  <c:v>8450</c:v>
                </c:pt>
                <c:pt idx="22">
                  <c:v>8460</c:v>
                </c:pt>
                <c:pt idx="23">
                  <c:v>8500</c:v>
                </c:pt>
                <c:pt idx="24">
                  <c:v>8550</c:v>
                </c:pt>
                <c:pt idx="25">
                  <c:v>8600</c:v>
                </c:pt>
                <c:pt idx="26">
                  <c:v>8650</c:v>
                </c:pt>
                <c:pt idx="27">
                  <c:v>8700</c:v>
                </c:pt>
                <c:pt idx="28">
                  <c:v>8750</c:v>
                </c:pt>
                <c:pt idx="29">
                  <c:v>8800</c:v>
                </c:pt>
                <c:pt idx="30">
                  <c:v>8850</c:v>
                </c:pt>
                <c:pt idx="31">
                  <c:v>8900</c:v>
                </c:pt>
                <c:pt idx="32">
                  <c:v>8950</c:v>
                </c:pt>
                <c:pt idx="33">
                  <c:v>9000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93-46A4-8238-4752CBE458CD}"/>
            </c:ext>
          </c:extLst>
        </c:ser>
        <c:ser>
          <c:idx val="2"/>
          <c:order val="2"/>
          <c:tx>
            <c:v>overbalance pressure (+0.5ppg)</c:v>
          </c:tx>
          <c:spPr>
            <a:ln w="19050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'updated pressures'!$G$3:$G$36</c:f>
              <c:numCache>
                <c:formatCode>General</c:formatCode>
                <c:ptCount val="34"/>
                <c:pt idx="0">
                  <c:v>161.45999999999998</c:v>
                </c:pt>
                <c:pt idx="1">
                  <c:v>234</c:v>
                </c:pt>
                <c:pt idx="2">
                  <c:v>468</c:v>
                </c:pt>
                <c:pt idx="3">
                  <c:v>702</c:v>
                </c:pt>
                <c:pt idx="4">
                  <c:v>987.4799999999999</c:v>
                </c:pt>
                <c:pt idx="5">
                  <c:v>1196</c:v>
                </c:pt>
                <c:pt idx="6">
                  <c:v>1243.8399999999997</c:v>
                </c:pt>
                <c:pt idx="7">
                  <c:v>1497.6</c:v>
                </c:pt>
                <c:pt idx="8">
                  <c:v>1913.6</c:v>
                </c:pt>
                <c:pt idx="9">
                  <c:v>2074.7999999999997</c:v>
                </c:pt>
                <c:pt idx="10">
                  <c:v>2470</c:v>
                </c:pt>
                <c:pt idx="11">
                  <c:v>2964</c:v>
                </c:pt>
                <c:pt idx="12">
                  <c:v>3458</c:v>
                </c:pt>
                <c:pt idx="13">
                  <c:v>3952</c:v>
                </c:pt>
                <c:pt idx="14">
                  <c:v>4212</c:v>
                </c:pt>
                <c:pt idx="15">
                  <c:v>4238</c:v>
                </c:pt>
                <c:pt idx="16">
                  <c:v>4264</c:v>
                </c:pt>
                <c:pt idx="17">
                  <c:v>4290</c:v>
                </c:pt>
                <c:pt idx="18">
                  <c:v>4316</c:v>
                </c:pt>
                <c:pt idx="19">
                  <c:v>4342</c:v>
                </c:pt>
                <c:pt idx="20">
                  <c:v>4368</c:v>
                </c:pt>
                <c:pt idx="21">
                  <c:v>4394</c:v>
                </c:pt>
                <c:pt idx="22">
                  <c:v>4399.2</c:v>
                </c:pt>
                <c:pt idx="23">
                  <c:v>4420</c:v>
                </c:pt>
                <c:pt idx="24">
                  <c:v>4446</c:v>
                </c:pt>
                <c:pt idx="25">
                  <c:v>4472</c:v>
                </c:pt>
                <c:pt idx="26">
                  <c:v>4498</c:v>
                </c:pt>
                <c:pt idx="27">
                  <c:v>4524</c:v>
                </c:pt>
                <c:pt idx="28">
                  <c:v>4550</c:v>
                </c:pt>
                <c:pt idx="29">
                  <c:v>4576</c:v>
                </c:pt>
                <c:pt idx="30">
                  <c:v>4602</c:v>
                </c:pt>
                <c:pt idx="31">
                  <c:v>4628</c:v>
                </c:pt>
                <c:pt idx="32">
                  <c:v>4654</c:v>
                </c:pt>
                <c:pt idx="33">
                  <c:v>4680</c:v>
                </c:pt>
              </c:numCache>
            </c:numRef>
          </c:xVal>
          <c:yVal>
            <c:numRef>
              <c:f>'updated pressures'!$B$3:$B$36</c:f>
              <c:numCache>
                <c:formatCode>General</c:formatCode>
                <c:ptCount val="34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3200</c:v>
                </c:pt>
                <c:pt idx="8">
                  <c:v>4000</c:v>
                </c:pt>
                <c:pt idx="9">
                  <c:v>4200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8000</c:v>
                </c:pt>
                <c:pt idx="14">
                  <c:v>8100</c:v>
                </c:pt>
                <c:pt idx="15">
                  <c:v>8150</c:v>
                </c:pt>
                <c:pt idx="16">
                  <c:v>8200</c:v>
                </c:pt>
                <c:pt idx="17">
                  <c:v>8250</c:v>
                </c:pt>
                <c:pt idx="18">
                  <c:v>8300</c:v>
                </c:pt>
                <c:pt idx="19">
                  <c:v>8350</c:v>
                </c:pt>
                <c:pt idx="20">
                  <c:v>8400</c:v>
                </c:pt>
                <c:pt idx="21">
                  <c:v>8450</c:v>
                </c:pt>
                <c:pt idx="22">
                  <c:v>8460</c:v>
                </c:pt>
                <c:pt idx="23">
                  <c:v>8500</c:v>
                </c:pt>
                <c:pt idx="24">
                  <c:v>8550</c:v>
                </c:pt>
                <c:pt idx="25">
                  <c:v>8600</c:v>
                </c:pt>
                <c:pt idx="26">
                  <c:v>8650</c:v>
                </c:pt>
                <c:pt idx="27">
                  <c:v>8700</c:v>
                </c:pt>
                <c:pt idx="28">
                  <c:v>8750</c:v>
                </c:pt>
                <c:pt idx="29">
                  <c:v>8800</c:v>
                </c:pt>
                <c:pt idx="30">
                  <c:v>8850</c:v>
                </c:pt>
                <c:pt idx="31">
                  <c:v>8900</c:v>
                </c:pt>
                <c:pt idx="32">
                  <c:v>8950</c:v>
                </c:pt>
                <c:pt idx="33">
                  <c:v>9000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AA93-46A4-8238-4752CBE458CD}"/>
            </c:ext>
          </c:extLst>
        </c:ser>
        <c:ser>
          <c:idx val="3"/>
          <c:order val="8"/>
          <c:tx>
            <c:v>fracture presure (-0.5ppg)</c:v>
          </c:tx>
          <c:spPr>
            <a:ln w="19050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'updated pressures'!$H$3:$H$36</c:f>
              <c:numCache>
                <c:formatCode>General</c:formatCode>
                <c:ptCount val="34"/>
                <c:pt idx="0">
                  <c:v>188.36999999999998</c:v>
                </c:pt>
                <c:pt idx="1">
                  <c:v>272.99999999999994</c:v>
                </c:pt>
                <c:pt idx="2">
                  <c:v>545.99999999999989</c:v>
                </c:pt>
                <c:pt idx="3">
                  <c:v>818.99999999999989</c:v>
                </c:pt>
                <c:pt idx="4">
                  <c:v>1152.06</c:v>
                </c:pt>
                <c:pt idx="5">
                  <c:v>1364.9999999999998</c:v>
                </c:pt>
                <c:pt idx="6">
                  <c:v>1554.8</c:v>
                </c:pt>
                <c:pt idx="7">
                  <c:v>1913.6</c:v>
                </c:pt>
                <c:pt idx="8">
                  <c:v>2703.9999999999995</c:v>
                </c:pt>
                <c:pt idx="9">
                  <c:v>2771.6</c:v>
                </c:pt>
                <c:pt idx="10">
                  <c:v>3510</c:v>
                </c:pt>
                <c:pt idx="11">
                  <c:v>4368</c:v>
                </c:pt>
                <c:pt idx="12">
                  <c:v>5278</c:v>
                </c:pt>
                <c:pt idx="13">
                  <c:v>6323.1999999999989</c:v>
                </c:pt>
                <c:pt idx="14">
                  <c:v>6402.2399999999989</c:v>
                </c:pt>
                <c:pt idx="15">
                  <c:v>6441.7599999999993</c:v>
                </c:pt>
                <c:pt idx="16">
                  <c:v>6481.2799999999988</c:v>
                </c:pt>
                <c:pt idx="17">
                  <c:v>6520.7999999999993</c:v>
                </c:pt>
                <c:pt idx="18">
                  <c:v>6560.3199999999988</c:v>
                </c:pt>
                <c:pt idx="19">
                  <c:v>6599.8399999999992</c:v>
                </c:pt>
                <c:pt idx="20">
                  <c:v>6639.3599999999988</c:v>
                </c:pt>
                <c:pt idx="21">
                  <c:v>6678.8799999999992</c:v>
                </c:pt>
                <c:pt idx="22">
                  <c:v>6686.7839999999987</c:v>
                </c:pt>
                <c:pt idx="23">
                  <c:v>6718.3999999999987</c:v>
                </c:pt>
                <c:pt idx="24">
                  <c:v>6757.9199999999992</c:v>
                </c:pt>
                <c:pt idx="25">
                  <c:v>6797.4399999999987</c:v>
                </c:pt>
                <c:pt idx="26">
                  <c:v>6836.9599999999991</c:v>
                </c:pt>
                <c:pt idx="27">
                  <c:v>6876.4799999999987</c:v>
                </c:pt>
                <c:pt idx="28">
                  <c:v>6915.9999999999991</c:v>
                </c:pt>
                <c:pt idx="29">
                  <c:v>6955.5199999999986</c:v>
                </c:pt>
                <c:pt idx="30">
                  <c:v>6995.0399999999991</c:v>
                </c:pt>
                <c:pt idx="31">
                  <c:v>7034.5599999999986</c:v>
                </c:pt>
                <c:pt idx="32">
                  <c:v>7074.079999999999</c:v>
                </c:pt>
                <c:pt idx="33">
                  <c:v>7113.5999999999985</c:v>
                </c:pt>
              </c:numCache>
            </c:numRef>
          </c:xVal>
          <c:yVal>
            <c:numRef>
              <c:f>'updated pressures'!$B$3:$B$36</c:f>
              <c:numCache>
                <c:formatCode>General</c:formatCode>
                <c:ptCount val="34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3200</c:v>
                </c:pt>
                <c:pt idx="8">
                  <c:v>4000</c:v>
                </c:pt>
                <c:pt idx="9">
                  <c:v>4200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8000</c:v>
                </c:pt>
                <c:pt idx="14">
                  <c:v>8100</c:v>
                </c:pt>
                <c:pt idx="15">
                  <c:v>8150</c:v>
                </c:pt>
                <c:pt idx="16">
                  <c:v>8200</c:v>
                </c:pt>
                <c:pt idx="17">
                  <c:v>8250</c:v>
                </c:pt>
                <c:pt idx="18">
                  <c:v>8300</c:v>
                </c:pt>
                <c:pt idx="19">
                  <c:v>8350</c:v>
                </c:pt>
                <c:pt idx="20">
                  <c:v>8400</c:v>
                </c:pt>
                <c:pt idx="21">
                  <c:v>8450</c:v>
                </c:pt>
                <c:pt idx="22">
                  <c:v>8460</c:v>
                </c:pt>
                <c:pt idx="23">
                  <c:v>8500</c:v>
                </c:pt>
                <c:pt idx="24">
                  <c:v>8550</c:v>
                </c:pt>
                <c:pt idx="25">
                  <c:v>8600</c:v>
                </c:pt>
                <c:pt idx="26">
                  <c:v>8650</c:v>
                </c:pt>
                <c:pt idx="27">
                  <c:v>8700</c:v>
                </c:pt>
                <c:pt idx="28">
                  <c:v>8750</c:v>
                </c:pt>
                <c:pt idx="29">
                  <c:v>8800</c:v>
                </c:pt>
                <c:pt idx="30">
                  <c:v>8850</c:v>
                </c:pt>
                <c:pt idx="31">
                  <c:v>8900</c:v>
                </c:pt>
                <c:pt idx="32">
                  <c:v>8950</c:v>
                </c:pt>
                <c:pt idx="33">
                  <c:v>9000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A93-46A4-8238-4752CBE458CD}"/>
            </c:ext>
          </c:extLst>
        </c:ser>
        <c:ser>
          <c:idx val="12"/>
          <c:order val="9"/>
          <c:tx>
            <c:v>overburden pressure(1psi/ft)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'updated pressures'!$L$3:$L$36</c:f>
              <c:numCache>
                <c:formatCode>0.00</c:formatCode>
                <c:ptCount val="34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3200</c:v>
                </c:pt>
                <c:pt idx="8">
                  <c:v>4000</c:v>
                </c:pt>
                <c:pt idx="9">
                  <c:v>4200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8000</c:v>
                </c:pt>
                <c:pt idx="14">
                  <c:v>8100</c:v>
                </c:pt>
                <c:pt idx="15">
                  <c:v>8150</c:v>
                </c:pt>
                <c:pt idx="16">
                  <c:v>8200</c:v>
                </c:pt>
                <c:pt idx="17">
                  <c:v>8250</c:v>
                </c:pt>
                <c:pt idx="18">
                  <c:v>8300</c:v>
                </c:pt>
                <c:pt idx="19">
                  <c:v>8350</c:v>
                </c:pt>
                <c:pt idx="20">
                  <c:v>8400</c:v>
                </c:pt>
                <c:pt idx="21">
                  <c:v>8450</c:v>
                </c:pt>
                <c:pt idx="22">
                  <c:v>8460</c:v>
                </c:pt>
                <c:pt idx="23">
                  <c:v>8500</c:v>
                </c:pt>
                <c:pt idx="24">
                  <c:v>8550</c:v>
                </c:pt>
                <c:pt idx="25">
                  <c:v>8600</c:v>
                </c:pt>
                <c:pt idx="26">
                  <c:v>8650</c:v>
                </c:pt>
                <c:pt idx="27">
                  <c:v>8700</c:v>
                </c:pt>
                <c:pt idx="28">
                  <c:v>8750</c:v>
                </c:pt>
                <c:pt idx="29">
                  <c:v>8800</c:v>
                </c:pt>
                <c:pt idx="30">
                  <c:v>8850</c:v>
                </c:pt>
                <c:pt idx="31">
                  <c:v>8900</c:v>
                </c:pt>
                <c:pt idx="32">
                  <c:v>8950</c:v>
                </c:pt>
                <c:pt idx="33">
                  <c:v>9000</c:v>
                </c:pt>
              </c:numCache>
            </c:numRef>
          </c:xVal>
          <c:yVal>
            <c:numRef>
              <c:f>'updated pressures'!$B$3:$B$36</c:f>
              <c:numCache>
                <c:formatCode>General</c:formatCode>
                <c:ptCount val="34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3200</c:v>
                </c:pt>
                <c:pt idx="8">
                  <c:v>4000</c:v>
                </c:pt>
                <c:pt idx="9">
                  <c:v>4200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8000</c:v>
                </c:pt>
                <c:pt idx="14">
                  <c:v>8100</c:v>
                </c:pt>
                <c:pt idx="15">
                  <c:v>8150</c:v>
                </c:pt>
                <c:pt idx="16">
                  <c:v>8200</c:v>
                </c:pt>
                <c:pt idx="17">
                  <c:v>8250</c:v>
                </c:pt>
                <c:pt idx="18">
                  <c:v>8300</c:v>
                </c:pt>
                <c:pt idx="19">
                  <c:v>8350</c:v>
                </c:pt>
                <c:pt idx="20">
                  <c:v>8400</c:v>
                </c:pt>
                <c:pt idx="21">
                  <c:v>8450</c:v>
                </c:pt>
                <c:pt idx="22">
                  <c:v>8460</c:v>
                </c:pt>
                <c:pt idx="23">
                  <c:v>8500</c:v>
                </c:pt>
                <c:pt idx="24">
                  <c:v>8550</c:v>
                </c:pt>
                <c:pt idx="25">
                  <c:v>8600</c:v>
                </c:pt>
                <c:pt idx="26">
                  <c:v>8650</c:v>
                </c:pt>
                <c:pt idx="27">
                  <c:v>8700</c:v>
                </c:pt>
                <c:pt idx="28">
                  <c:v>8750</c:v>
                </c:pt>
                <c:pt idx="29">
                  <c:v>8800</c:v>
                </c:pt>
                <c:pt idx="30">
                  <c:v>8850</c:v>
                </c:pt>
                <c:pt idx="31">
                  <c:v>8900</c:v>
                </c:pt>
                <c:pt idx="32">
                  <c:v>8950</c:v>
                </c:pt>
                <c:pt idx="33">
                  <c:v>9000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AA93-46A4-8238-4752CBE458CD}"/>
            </c:ext>
          </c:extLst>
        </c:ser>
        <c:ser>
          <c:idx val="15"/>
          <c:order val="10"/>
          <c:tx>
            <c:v>last line</c:v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'updated pressures'!$S$43</c:f>
              <c:numCache>
                <c:formatCode>General</c:formatCode>
                <c:ptCount val="1"/>
                <c:pt idx="0">
                  <c:v>1544</c:v>
                </c:pt>
              </c:numCache>
            </c:numRef>
          </c:xVal>
          <c:yVal>
            <c:numRef>
              <c:f>'updated pressures'!$R$42:$R$43</c:f>
              <c:numCache>
                <c:formatCode>General</c:formatCode>
                <c:ptCount val="2"/>
                <c:pt idx="0">
                  <c:v>3300</c:v>
                </c:pt>
                <c:pt idx="1">
                  <c:v>3300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AA93-46A4-8238-4752CBE458CD}"/>
            </c:ext>
          </c:extLst>
        </c:ser>
        <c:ser>
          <c:idx val="17"/>
          <c:order val="11"/>
          <c:tx>
            <c:v>NORMALLY PRESSURED</c:v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'formation coleration'!$D$91:$D$124</c:f>
              <c:numCache>
                <c:formatCode>General</c:formatCode>
                <c:ptCount val="34"/>
                <c:pt idx="0">
                  <c:v>155.25</c:v>
                </c:pt>
                <c:pt idx="1">
                  <c:v>225</c:v>
                </c:pt>
                <c:pt idx="2">
                  <c:v>450</c:v>
                </c:pt>
                <c:pt idx="3">
                  <c:v>675</c:v>
                </c:pt>
                <c:pt idx="4">
                  <c:v>949.5</c:v>
                </c:pt>
                <c:pt idx="5">
                  <c:v>1125</c:v>
                </c:pt>
                <c:pt idx="6">
                  <c:v>1170</c:v>
                </c:pt>
                <c:pt idx="7">
                  <c:v>1440</c:v>
                </c:pt>
                <c:pt idx="8">
                  <c:v>1800</c:v>
                </c:pt>
                <c:pt idx="9">
                  <c:v>1890</c:v>
                </c:pt>
                <c:pt idx="10">
                  <c:v>2250</c:v>
                </c:pt>
                <c:pt idx="11">
                  <c:v>2700</c:v>
                </c:pt>
                <c:pt idx="12">
                  <c:v>3150</c:v>
                </c:pt>
                <c:pt idx="13">
                  <c:v>3600</c:v>
                </c:pt>
                <c:pt idx="14">
                  <c:v>3645</c:v>
                </c:pt>
                <c:pt idx="15">
                  <c:v>3667.5</c:v>
                </c:pt>
                <c:pt idx="16">
                  <c:v>3690</c:v>
                </c:pt>
                <c:pt idx="17">
                  <c:v>3712.5</c:v>
                </c:pt>
                <c:pt idx="18">
                  <c:v>3735</c:v>
                </c:pt>
                <c:pt idx="19">
                  <c:v>3757.5</c:v>
                </c:pt>
                <c:pt idx="20">
                  <c:v>3780</c:v>
                </c:pt>
                <c:pt idx="21">
                  <c:v>3802.5</c:v>
                </c:pt>
                <c:pt idx="22">
                  <c:v>3807</c:v>
                </c:pt>
                <c:pt idx="23">
                  <c:v>3825</c:v>
                </c:pt>
                <c:pt idx="24">
                  <c:v>3847.5</c:v>
                </c:pt>
                <c:pt idx="25">
                  <c:v>3870</c:v>
                </c:pt>
                <c:pt idx="26">
                  <c:v>3892.5</c:v>
                </c:pt>
                <c:pt idx="27">
                  <c:v>3915</c:v>
                </c:pt>
                <c:pt idx="28">
                  <c:v>3937.5</c:v>
                </c:pt>
                <c:pt idx="29">
                  <c:v>3960</c:v>
                </c:pt>
                <c:pt idx="30">
                  <c:v>3982.5</c:v>
                </c:pt>
                <c:pt idx="31">
                  <c:v>4005</c:v>
                </c:pt>
                <c:pt idx="32">
                  <c:v>4027.5</c:v>
                </c:pt>
                <c:pt idx="33">
                  <c:v>4050</c:v>
                </c:pt>
              </c:numCache>
            </c:numRef>
          </c:xVal>
          <c:yVal>
            <c:numRef>
              <c:f>'formation coleration'!$C$91:$C$124</c:f>
              <c:numCache>
                <c:formatCode>General</c:formatCode>
                <c:ptCount val="34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3200</c:v>
                </c:pt>
                <c:pt idx="8">
                  <c:v>4000</c:v>
                </c:pt>
                <c:pt idx="9">
                  <c:v>4200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8000</c:v>
                </c:pt>
                <c:pt idx="14">
                  <c:v>8100</c:v>
                </c:pt>
                <c:pt idx="15">
                  <c:v>8150</c:v>
                </c:pt>
                <c:pt idx="16">
                  <c:v>8200</c:v>
                </c:pt>
                <c:pt idx="17">
                  <c:v>8250</c:v>
                </c:pt>
                <c:pt idx="18">
                  <c:v>8300</c:v>
                </c:pt>
                <c:pt idx="19">
                  <c:v>8350</c:v>
                </c:pt>
                <c:pt idx="20">
                  <c:v>8400</c:v>
                </c:pt>
                <c:pt idx="21">
                  <c:v>8450</c:v>
                </c:pt>
                <c:pt idx="22">
                  <c:v>8460</c:v>
                </c:pt>
                <c:pt idx="23">
                  <c:v>8500</c:v>
                </c:pt>
                <c:pt idx="24">
                  <c:v>8550</c:v>
                </c:pt>
                <c:pt idx="25">
                  <c:v>8600</c:v>
                </c:pt>
                <c:pt idx="26">
                  <c:v>8650</c:v>
                </c:pt>
                <c:pt idx="27">
                  <c:v>8700</c:v>
                </c:pt>
                <c:pt idx="28">
                  <c:v>8750</c:v>
                </c:pt>
                <c:pt idx="29">
                  <c:v>8800</c:v>
                </c:pt>
                <c:pt idx="30">
                  <c:v>8850</c:v>
                </c:pt>
                <c:pt idx="31">
                  <c:v>8900</c:v>
                </c:pt>
                <c:pt idx="32">
                  <c:v>8950</c:v>
                </c:pt>
                <c:pt idx="33">
                  <c:v>9000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AA93-46A4-8238-4752CBE45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558367"/>
        <c:axId val="186562207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3"/>
                <c:tx>
                  <c:strRef>
                    <c:extLst>
                      <c:ext uri="{02D57815-91ED-43cb-92C2-25804820EDAC}">
                        <c15:formulaRef>
                          <c15:sqref>'updated pressures'!$D$35</c15:sqref>
                        </c15:formulaRef>
                      </c:ext>
                    </c:extLst>
                    <c:strCache>
                      <c:ptCount val="1"/>
                      <c:pt idx="0">
                        <c:v>4421.3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'updated pressures'!$H$37:$H$38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8424</c:v>
                      </c:pt>
                      <c:pt idx="1">
                        <c:v>9391.1999999999989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'updated pressures'!$G$37:$G$38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11-AA93-46A4-8238-4752CBE458CD}"/>
                  </c:ext>
                </c:extLst>
              </c15:ser>
            </c15:filteredScatterSeries>
            <c15:filteredScatterSeries>
              <c15:ser>
                <c:idx val="5"/>
                <c:order val="4"/>
                <c:tx>
                  <c:v>line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pressures'!$H$41:$H$42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pressures'!$G$41:$G$42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AA93-46A4-8238-4752CBE458CD}"/>
                  </c:ext>
                </c:extLst>
              </c15:ser>
            </c15:filteredScatterSeries>
            <c15:filteredScatterSeries>
              <c15:ser>
                <c:idx val="6"/>
                <c:order val="5"/>
                <c:tx>
                  <c:v>line1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pressures'!$H$44:$H$45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pressures'!$G$44:$G$45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AA93-46A4-8238-4752CBE458CD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7 liner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pressures'!$H$47:$H$48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pressures'!$G$47:$G$48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AA93-46A4-8238-4752CBE458CD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line 7 liner</c:v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pressures'!$H$50:$H$51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pressures'!$G$50:$G$51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AA93-46A4-8238-4752CBE458CD}"/>
                  </c:ext>
                </c:extLst>
              </c15:ser>
            </c15:filteredScatterSeries>
          </c:ext>
        </c:extLst>
      </c:scatterChart>
      <c:valAx>
        <c:axId val="186558367"/>
        <c:scaling>
          <c:orientation val="minMax"/>
          <c:max val="80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PRESSURES</a:t>
                </a:r>
                <a:r>
                  <a:rPr lang="en-GB" baseline="0"/>
                  <a:t> (PSI)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46395742555157721"/>
              <c:y val="4.838549000251780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62207"/>
        <c:crosses val="autoZero"/>
        <c:crossBetween val="midCat"/>
        <c:majorUnit val="1000"/>
      </c:valAx>
      <c:valAx>
        <c:axId val="186562207"/>
        <c:scaling>
          <c:orientation val="maxMin"/>
          <c:max val="1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DEPTH(FT)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58367"/>
        <c:crosses val="autoZero"/>
        <c:crossBetween val="midCat"/>
        <c:majorUnit val="1000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ayout>
        <c:manualLayout>
          <c:xMode val="edge"/>
          <c:yMode val="edge"/>
          <c:x val="7.2294984057689651E-2"/>
          <c:y val="0.84824318388772835"/>
          <c:w val="0.92770499955031815"/>
          <c:h val="0.140034709946970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430264740440275E-2"/>
          <c:y val="0.1355938320209974"/>
          <c:w val="0.77524811922848302"/>
          <c:h val="0.81348024205307656"/>
        </c:manualLayout>
      </c:layout>
      <c:scatterChart>
        <c:scatterStyle val="lineMarker"/>
        <c:varyColors val="0"/>
        <c:ser>
          <c:idx val="0"/>
          <c:order val="0"/>
          <c:tx>
            <c:v>eatons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'fracture coleration '!$F$9:$F$42</c:f>
              <c:numCache>
                <c:formatCode>General</c:formatCode>
                <c:ptCount val="34"/>
                <c:pt idx="0">
                  <c:v>0.68114285714285716</c:v>
                </c:pt>
                <c:pt idx="1">
                  <c:v>0.68114285714285716</c:v>
                </c:pt>
                <c:pt idx="2">
                  <c:v>0.68114285714285716</c:v>
                </c:pt>
                <c:pt idx="3">
                  <c:v>0.68114285714285716</c:v>
                </c:pt>
                <c:pt idx="4">
                  <c:v>0.68114285714285716</c:v>
                </c:pt>
                <c:pt idx="5">
                  <c:v>0.68114285714285716</c:v>
                </c:pt>
                <c:pt idx="6">
                  <c:v>0.68114285714285716</c:v>
                </c:pt>
                <c:pt idx="7">
                  <c:v>0.68114285714285716</c:v>
                </c:pt>
                <c:pt idx="8">
                  <c:v>0.68114285714285716</c:v>
                </c:pt>
                <c:pt idx="9">
                  <c:v>0.69599999999999995</c:v>
                </c:pt>
                <c:pt idx="10">
                  <c:v>0.69600000000000006</c:v>
                </c:pt>
                <c:pt idx="11">
                  <c:v>0.69600000000000006</c:v>
                </c:pt>
                <c:pt idx="12">
                  <c:v>0.69600000000000006</c:v>
                </c:pt>
                <c:pt idx="13">
                  <c:v>0.71085714285714285</c:v>
                </c:pt>
                <c:pt idx="14">
                  <c:v>0.76646153846153842</c:v>
                </c:pt>
                <c:pt idx="15">
                  <c:v>0.76646153846153853</c:v>
                </c:pt>
                <c:pt idx="16">
                  <c:v>0.76646153846153842</c:v>
                </c:pt>
                <c:pt idx="17">
                  <c:v>0.76646153846153853</c:v>
                </c:pt>
                <c:pt idx="18">
                  <c:v>0.76646153846153853</c:v>
                </c:pt>
                <c:pt idx="19">
                  <c:v>0.76646153846153842</c:v>
                </c:pt>
                <c:pt idx="20">
                  <c:v>0.76646153846153842</c:v>
                </c:pt>
                <c:pt idx="21">
                  <c:v>0.76646153846153853</c:v>
                </c:pt>
                <c:pt idx="22">
                  <c:v>0.75</c:v>
                </c:pt>
                <c:pt idx="23">
                  <c:v>0.76646153846153853</c:v>
                </c:pt>
                <c:pt idx="24">
                  <c:v>0.76646153846153853</c:v>
                </c:pt>
                <c:pt idx="25">
                  <c:v>0.76646153846153842</c:v>
                </c:pt>
                <c:pt idx="26">
                  <c:v>0.76646153846153842</c:v>
                </c:pt>
                <c:pt idx="27">
                  <c:v>0.76646153846153853</c:v>
                </c:pt>
                <c:pt idx="28">
                  <c:v>0.76646153846153853</c:v>
                </c:pt>
                <c:pt idx="29">
                  <c:v>0.7911746031746032</c:v>
                </c:pt>
                <c:pt idx="30">
                  <c:v>0.83133333333333326</c:v>
                </c:pt>
                <c:pt idx="31">
                  <c:v>0.83133333333333326</c:v>
                </c:pt>
                <c:pt idx="32">
                  <c:v>0.83133333333333337</c:v>
                </c:pt>
                <c:pt idx="33">
                  <c:v>0.83133333333333337</c:v>
                </c:pt>
              </c:numCache>
            </c:numRef>
          </c:xVal>
          <c:yVal>
            <c:numRef>
              <c:f>'fracture coleration '!$D$9:$D$42</c:f>
              <c:numCache>
                <c:formatCode>General</c:formatCode>
                <c:ptCount val="34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3300</c:v>
                </c:pt>
                <c:pt idx="8">
                  <c:v>4000</c:v>
                </c:pt>
                <c:pt idx="9">
                  <c:v>4100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8000</c:v>
                </c:pt>
                <c:pt idx="14">
                  <c:v>8100</c:v>
                </c:pt>
                <c:pt idx="15">
                  <c:v>8150</c:v>
                </c:pt>
                <c:pt idx="16">
                  <c:v>8200</c:v>
                </c:pt>
                <c:pt idx="17">
                  <c:v>8250</c:v>
                </c:pt>
                <c:pt idx="18">
                  <c:v>8300</c:v>
                </c:pt>
                <c:pt idx="19">
                  <c:v>8350</c:v>
                </c:pt>
                <c:pt idx="20">
                  <c:v>8400</c:v>
                </c:pt>
                <c:pt idx="21">
                  <c:v>8450</c:v>
                </c:pt>
                <c:pt idx="22">
                  <c:v>8460</c:v>
                </c:pt>
                <c:pt idx="23">
                  <c:v>8500</c:v>
                </c:pt>
                <c:pt idx="24">
                  <c:v>8550</c:v>
                </c:pt>
                <c:pt idx="25">
                  <c:v>8600</c:v>
                </c:pt>
                <c:pt idx="26">
                  <c:v>8650</c:v>
                </c:pt>
                <c:pt idx="27">
                  <c:v>8700</c:v>
                </c:pt>
                <c:pt idx="28">
                  <c:v>8750</c:v>
                </c:pt>
                <c:pt idx="29">
                  <c:v>8800</c:v>
                </c:pt>
                <c:pt idx="30">
                  <c:v>8850</c:v>
                </c:pt>
                <c:pt idx="31">
                  <c:v>8900</c:v>
                </c:pt>
                <c:pt idx="32">
                  <c:v>8950</c:v>
                </c:pt>
                <c:pt idx="33">
                  <c:v>9000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7D-4195-AAD3-90B32D30FECC}"/>
            </c:ext>
          </c:extLst>
        </c:ser>
        <c:ser>
          <c:idx val="1"/>
          <c:order val="1"/>
          <c:tx>
            <c:v>mud logs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'fracture coleration '!$E$9:$E$42</c:f>
              <c:numCache>
                <c:formatCode>General</c:formatCode>
                <c:ptCount val="34"/>
                <c:pt idx="0">
                  <c:v>0.57199999999999995</c:v>
                </c:pt>
                <c:pt idx="1">
                  <c:v>0.57199999999999995</c:v>
                </c:pt>
                <c:pt idx="2">
                  <c:v>0.57199999999999995</c:v>
                </c:pt>
                <c:pt idx="3">
                  <c:v>0.57199999999999995</c:v>
                </c:pt>
                <c:pt idx="4">
                  <c:v>0.57199999999999995</c:v>
                </c:pt>
                <c:pt idx="5">
                  <c:v>0.57199999999999995</c:v>
                </c:pt>
                <c:pt idx="6">
                  <c:v>0.624</c:v>
                </c:pt>
                <c:pt idx="7">
                  <c:v>0.624</c:v>
                </c:pt>
                <c:pt idx="8">
                  <c:v>0.70199999999999996</c:v>
                </c:pt>
                <c:pt idx="9">
                  <c:v>0.70199999999999996</c:v>
                </c:pt>
                <c:pt idx="10">
                  <c:v>0.72799999999999998</c:v>
                </c:pt>
                <c:pt idx="11">
                  <c:v>0.754</c:v>
                </c:pt>
                <c:pt idx="12">
                  <c:v>0.77999999999999992</c:v>
                </c:pt>
                <c:pt idx="13">
                  <c:v>0.8163999999999999</c:v>
                </c:pt>
                <c:pt idx="14">
                  <c:v>0.8163999999999999</c:v>
                </c:pt>
                <c:pt idx="15">
                  <c:v>0.8163999999999999</c:v>
                </c:pt>
                <c:pt idx="16">
                  <c:v>0.8163999999999999</c:v>
                </c:pt>
                <c:pt idx="17">
                  <c:v>0.8163999999999999</c:v>
                </c:pt>
                <c:pt idx="18">
                  <c:v>0.8163999999999999</c:v>
                </c:pt>
                <c:pt idx="19">
                  <c:v>0.8163999999999999</c:v>
                </c:pt>
                <c:pt idx="20">
                  <c:v>0.8163999999999999</c:v>
                </c:pt>
                <c:pt idx="21">
                  <c:v>0.8163999999999999</c:v>
                </c:pt>
                <c:pt idx="22">
                  <c:v>0.8163999999999999</c:v>
                </c:pt>
                <c:pt idx="23">
                  <c:v>0.8163999999999999</c:v>
                </c:pt>
                <c:pt idx="24">
                  <c:v>0.8163999999999999</c:v>
                </c:pt>
                <c:pt idx="25">
                  <c:v>0.8163999999999999</c:v>
                </c:pt>
                <c:pt idx="26">
                  <c:v>0.8163999999999999</c:v>
                </c:pt>
                <c:pt idx="27">
                  <c:v>0.8163999999999999</c:v>
                </c:pt>
                <c:pt idx="28">
                  <c:v>0.8163999999999999</c:v>
                </c:pt>
                <c:pt idx="29">
                  <c:v>0.8163999999999999</c:v>
                </c:pt>
                <c:pt idx="30">
                  <c:v>0.8163999999999999</c:v>
                </c:pt>
                <c:pt idx="31">
                  <c:v>0.8163999999999999</c:v>
                </c:pt>
                <c:pt idx="32">
                  <c:v>0.8163999999999999</c:v>
                </c:pt>
                <c:pt idx="33">
                  <c:v>0.8163999999999999</c:v>
                </c:pt>
              </c:numCache>
            </c:numRef>
          </c:xVal>
          <c:yVal>
            <c:numRef>
              <c:f>'fracture coleration '!$D$9:$D$42</c:f>
              <c:numCache>
                <c:formatCode>General</c:formatCode>
                <c:ptCount val="34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3300</c:v>
                </c:pt>
                <c:pt idx="8">
                  <c:v>4000</c:v>
                </c:pt>
                <c:pt idx="9">
                  <c:v>4100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8000</c:v>
                </c:pt>
                <c:pt idx="14">
                  <c:v>8100</c:v>
                </c:pt>
                <c:pt idx="15">
                  <c:v>8150</c:v>
                </c:pt>
                <c:pt idx="16">
                  <c:v>8200</c:v>
                </c:pt>
                <c:pt idx="17">
                  <c:v>8250</c:v>
                </c:pt>
                <c:pt idx="18">
                  <c:v>8300</c:v>
                </c:pt>
                <c:pt idx="19">
                  <c:v>8350</c:v>
                </c:pt>
                <c:pt idx="20">
                  <c:v>8400</c:v>
                </c:pt>
                <c:pt idx="21">
                  <c:v>8450</c:v>
                </c:pt>
                <c:pt idx="22">
                  <c:v>8460</c:v>
                </c:pt>
                <c:pt idx="23">
                  <c:v>8500</c:v>
                </c:pt>
                <c:pt idx="24">
                  <c:v>8550</c:v>
                </c:pt>
                <c:pt idx="25">
                  <c:v>8600</c:v>
                </c:pt>
                <c:pt idx="26">
                  <c:v>8650</c:v>
                </c:pt>
                <c:pt idx="27">
                  <c:v>8700</c:v>
                </c:pt>
                <c:pt idx="28">
                  <c:v>8750</c:v>
                </c:pt>
                <c:pt idx="29">
                  <c:v>8800</c:v>
                </c:pt>
                <c:pt idx="30">
                  <c:v>8850</c:v>
                </c:pt>
                <c:pt idx="31">
                  <c:v>8900</c:v>
                </c:pt>
                <c:pt idx="32">
                  <c:v>8950</c:v>
                </c:pt>
                <c:pt idx="33">
                  <c:v>9000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7D-4195-AAD3-90B32D30F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477072"/>
        <c:axId val="2117478032"/>
      </c:scatterChart>
      <c:valAx>
        <c:axId val="2117477072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478032"/>
        <c:crosses val="autoZero"/>
        <c:crossBetween val="midCat"/>
      </c:valAx>
      <c:valAx>
        <c:axId val="2117478032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477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329139166528872E-2"/>
          <c:y val="6.4065360910648697E-2"/>
          <c:w val="0.88665447927152152"/>
          <c:h val="0.78441223428885676"/>
        </c:manualLayout>
      </c:layout>
      <c:scatterChart>
        <c:scatterStyle val="smoothMarker"/>
        <c:varyColors val="0"/>
        <c:ser>
          <c:idx val="0"/>
          <c:order val="0"/>
          <c:tx>
            <c:v>Frac Pressure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'updated pressures'!$E$3:$E$36</c:f>
              <c:numCache>
                <c:formatCode>General</c:formatCode>
                <c:ptCount val="34"/>
                <c:pt idx="0">
                  <c:v>197.34</c:v>
                </c:pt>
                <c:pt idx="1">
                  <c:v>286</c:v>
                </c:pt>
                <c:pt idx="2">
                  <c:v>572</c:v>
                </c:pt>
                <c:pt idx="3">
                  <c:v>858</c:v>
                </c:pt>
                <c:pt idx="4">
                  <c:v>1206.9199999999998</c:v>
                </c:pt>
                <c:pt idx="5">
                  <c:v>1430</c:v>
                </c:pt>
                <c:pt idx="6">
                  <c:v>1622.3999999999999</c:v>
                </c:pt>
                <c:pt idx="7">
                  <c:v>1996.8</c:v>
                </c:pt>
                <c:pt idx="8">
                  <c:v>2808</c:v>
                </c:pt>
                <c:pt idx="9">
                  <c:v>2878.2</c:v>
                </c:pt>
                <c:pt idx="10">
                  <c:v>3640</c:v>
                </c:pt>
                <c:pt idx="11">
                  <c:v>4524</c:v>
                </c:pt>
                <c:pt idx="12">
                  <c:v>5460</c:v>
                </c:pt>
                <c:pt idx="13">
                  <c:v>6531.2</c:v>
                </c:pt>
                <c:pt idx="14">
                  <c:v>6612.84</c:v>
                </c:pt>
                <c:pt idx="15">
                  <c:v>6653.66</c:v>
                </c:pt>
                <c:pt idx="16">
                  <c:v>6694.48</c:v>
                </c:pt>
                <c:pt idx="17">
                  <c:v>6735.2999999999993</c:v>
                </c:pt>
                <c:pt idx="18">
                  <c:v>6776.12</c:v>
                </c:pt>
                <c:pt idx="19">
                  <c:v>6816.94</c:v>
                </c:pt>
                <c:pt idx="20">
                  <c:v>6857.7599999999993</c:v>
                </c:pt>
                <c:pt idx="21">
                  <c:v>6898.58</c:v>
                </c:pt>
                <c:pt idx="22">
                  <c:v>6906.7439999999997</c:v>
                </c:pt>
                <c:pt idx="23">
                  <c:v>6939.4</c:v>
                </c:pt>
                <c:pt idx="24">
                  <c:v>6980.2199999999993</c:v>
                </c:pt>
                <c:pt idx="25">
                  <c:v>7021.04</c:v>
                </c:pt>
                <c:pt idx="26">
                  <c:v>7061.86</c:v>
                </c:pt>
                <c:pt idx="27">
                  <c:v>7102.6799999999994</c:v>
                </c:pt>
                <c:pt idx="28">
                  <c:v>7143.5</c:v>
                </c:pt>
                <c:pt idx="29">
                  <c:v>7184.32</c:v>
                </c:pt>
                <c:pt idx="30">
                  <c:v>7225.1399999999994</c:v>
                </c:pt>
                <c:pt idx="31">
                  <c:v>7265.96</c:v>
                </c:pt>
                <c:pt idx="32">
                  <c:v>7306.78</c:v>
                </c:pt>
                <c:pt idx="33">
                  <c:v>7347.5999999999995</c:v>
                </c:pt>
              </c:numCache>
            </c:numRef>
          </c:xVal>
          <c:yVal>
            <c:numRef>
              <c:f>'updated pressures'!$B$3:$B$36</c:f>
              <c:numCache>
                <c:formatCode>General</c:formatCode>
                <c:ptCount val="34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3200</c:v>
                </c:pt>
                <c:pt idx="8">
                  <c:v>4000</c:v>
                </c:pt>
                <c:pt idx="9">
                  <c:v>4200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8000</c:v>
                </c:pt>
                <c:pt idx="14">
                  <c:v>8100</c:v>
                </c:pt>
                <c:pt idx="15">
                  <c:v>8150</c:v>
                </c:pt>
                <c:pt idx="16">
                  <c:v>8200</c:v>
                </c:pt>
                <c:pt idx="17">
                  <c:v>8250</c:v>
                </c:pt>
                <c:pt idx="18">
                  <c:v>8300</c:v>
                </c:pt>
                <c:pt idx="19">
                  <c:v>8350</c:v>
                </c:pt>
                <c:pt idx="20">
                  <c:v>8400</c:v>
                </c:pt>
                <c:pt idx="21">
                  <c:v>8450</c:v>
                </c:pt>
                <c:pt idx="22">
                  <c:v>8460</c:v>
                </c:pt>
                <c:pt idx="23">
                  <c:v>8500</c:v>
                </c:pt>
                <c:pt idx="24">
                  <c:v>8550</c:v>
                </c:pt>
                <c:pt idx="25">
                  <c:v>8600</c:v>
                </c:pt>
                <c:pt idx="26">
                  <c:v>8650</c:v>
                </c:pt>
                <c:pt idx="27">
                  <c:v>8700</c:v>
                </c:pt>
                <c:pt idx="28">
                  <c:v>8750</c:v>
                </c:pt>
                <c:pt idx="29">
                  <c:v>8800</c:v>
                </c:pt>
                <c:pt idx="30">
                  <c:v>8850</c:v>
                </c:pt>
                <c:pt idx="31">
                  <c:v>8900</c:v>
                </c:pt>
                <c:pt idx="32">
                  <c:v>8950</c:v>
                </c:pt>
                <c:pt idx="33">
                  <c:v>9000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08-425F-A15D-1CF9CC9DC619}"/>
            </c:ext>
          </c:extLst>
        </c:ser>
        <c:ser>
          <c:idx val="1"/>
          <c:order val="1"/>
          <c:tx>
            <c:strRef>
              <c:f>'updated pressures'!$D$2</c:f>
              <c:strCache>
                <c:ptCount val="1"/>
                <c:pt idx="0">
                  <c:v>PORE PRESSURE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'updated pressures'!$D$3:$D$36</c:f>
              <c:numCache>
                <c:formatCode>General</c:formatCode>
                <c:ptCount val="34"/>
                <c:pt idx="0">
                  <c:v>152.48999999999998</c:v>
                </c:pt>
                <c:pt idx="1">
                  <c:v>221</c:v>
                </c:pt>
                <c:pt idx="2">
                  <c:v>442</c:v>
                </c:pt>
                <c:pt idx="3">
                  <c:v>663</c:v>
                </c:pt>
                <c:pt idx="4">
                  <c:v>932.62</c:v>
                </c:pt>
                <c:pt idx="5">
                  <c:v>1131</c:v>
                </c:pt>
                <c:pt idx="6">
                  <c:v>1176.2399999999998</c:v>
                </c:pt>
                <c:pt idx="7">
                  <c:v>1414.3999999999999</c:v>
                </c:pt>
                <c:pt idx="8">
                  <c:v>1809.6</c:v>
                </c:pt>
                <c:pt idx="9">
                  <c:v>1965.6</c:v>
                </c:pt>
                <c:pt idx="10">
                  <c:v>2340</c:v>
                </c:pt>
                <c:pt idx="11">
                  <c:v>2808</c:v>
                </c:pt>
                <c:pt idx="12">
                  <c:v>3276</c:v>
                </c:pt>
                <c:pt idx="13">
                  <c:v>3744</c:v>
                </c:pt>
                <c:pt idx="14">
                  <c:v>4001.3999999999996</c:v>
                </c:pt>
                <c:pt idx="15">
                  <c:v>4026.1</c:v>
                </c:pt>
                <c:pt idx="16">
                  <c:v>4050.7999999999997</c:v>
                </c:pt>
                <c:pt idx="17">
                  <c:v>4075.5</c:v>
                </c:pt>
                <c:pt idx="18">
                  <c:v>4100.2</c:v>
                </c:pt>
                <c:pt idx="19">
                  <c:v>4124.8999999999996</c:v>
                </c:pt>
                <c:pt idx="20">
                  <c:v>4149.5999999999995</c:v>
                </c:pt>
                <c:pt idx="21">
                  <c:v>4174.3</c:v>
                </c:pt>
                <c:pt idx="22">
                  <c:v>4179.24</c:v>
                </c:pt>
                <c:pt idx="23">
                  <c:v>4199</c:v>
                </c:pt>
                <c:pt idx="24">
                  <c:v>4223.7</c:v>
                </c:pt>
                <c:pt idx="25">
                  <c:v>4248.3999999999996</c:v>
                </c:pt>
                <c:pt idx="26">
                  <c:v>4273.0999999999995</c:v>
                </c:pt>
                <c:pt idx="27">
                  <c:v>4297.8</c:v>
                </c:pt>
                <c:pt idx="28">
                  <c:v>4322.5</c:v>
                </c:pt>
                <c:pt idx="29">
                  <c:v>4347.2</c:v>
                </c:pt>
                <c:pt idx="30">
                  <c:v>4371.8999999999996</c:v>
                </c:pt>
                <c:pt idx="31">
                  <c:v>4396.5999999999995</c:v>
                </c:pt>
                <c:pt idx="32">
                  <c:v>4421.3</c:v>
                </c:pt>
                <c:pt idx="33">
                  <c:v>4446</c:v>
                </c:pt>
              </c:numCache>
            </c:numRef>
          </c:xVal>
          <c:yVal>
            <c:numRef>
              <c:f>'updated pressures'!$B$3:$B$36</c:f>
              <c:numCache>
                <c:formatCode>General</c:formatCode>
                <c:ptCount val="34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3200</c:v>
                </c:pt>
                <c:pt idx="8">
                  <c:v>4000</c:v>
                </c:pt>
                <c:pt idx="9">
                  <c:v>4200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8000</c:v>
                </c:pt>
                <c:pt idx="14">
                  <c:v>8100</c:v>
                </c:pt>
                <c:pt idx="15">
                  <c:v>8150</c:v>
                </c:pt>
                <c:pt idx="16">
                  <c:v>8200</c:v>
                </c:pt>
                <c:pt idx="17">
                  <c:v>8250</c:v>
                </c:pt>
                <c:pt idx="18">
                  <c:v>8300</c:v>
                </c:pt>
                <c:pt idx="19">
                  <c:v>8350</c:v>
                </c:pt>
                <c:pt idx="20">
                  <c:v>8400</c:v>
                </c:pt>
                <c:pt idx="21">
                  <c:v>8450</c:v>
                </c:pt>
                <c:pt idx="22">
                  <c:v>8460</c:v>
                </c:pt>
                <c:pt idx="23">
                  <c:v>8500</c:v>
                </c:pt>
                <c:pt idx="24">
                  <c:v>8550</c:v>
                </c:pt>
                <c:pt idx="25">
                  <c:v>8600</c:v>
                </c:pt>
                <c:pt idx="26">
                  <c:v>8650</c:v>
                </c:pt>
                <c:pt idx="27">
                  <c:v>8700</c:v>
                </c:pt>
                <c:pt idx="28">
                  <c:v>8750</c:v>
                </c:pt>
                <c:pt idx="29">
                  <c:v>8800</c:v>
                </c:pt>
                <c:pt idx="30">
                  <c:v>8850</c:v>
                </c:pt>
                <c:pt idx="31">
                  <c:v>8900</c:v>
                </c:pt>
                <c:pt idx="32">
                  <c:v>8950</c:v>
                </c:pt>
                <c:pt idx="33">
                  <c:v>9000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608-425F-A15D-1CF9CC9DC619}"/>
            </c:ext>
          </c:extLst>
        </c:ser>
        <c:ser>
          <c:idx val="2"/>
          <c:order val="2"/>
          <c:tx>
            <c:v>overbalance(+0.5ppg)</c:v>
          </c:tx>
          <c:spPr>
            <a:ln w="19050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'updated pressures'!$G$3:$G$36</c:f>
              <c:numCache>
                <c:formatCode>General</c:formatCode>
                <c:ptCount val="34"/>
                <c:pt idx="0">
                  <c:v>161.45999999999998</c:v>
                </c:pt>
                <c:pt idx="1">
                  <c:v>234</c:v>
                </c:pt>
                <c:pt idx="2">
                  <c:v>468</c:v>
                </c:pt>
                <c:pt idx="3">
                  <c:v>702</c:v>
                </c:pt>
                <c:pt idx="4">
                  <c:v>987.4799999999999</c:v>
                </c:pt>
                <c:pt idx="5">
                  <c:v>1196</c:v>
                </c:pt>
                <c:pt idx="6">
                  <c:v>1243.8399999999997</c:v>
                </c:pt>
                <c:pt idx="7">
                  <c:v>1497.6</c:v>
                </c:pt>
                <c:pt idx="8">
                  <c:v>1913.6</c:v>
                </c:pt>
                <c:pt idx="9">
                  <c:v>2074.7999999999997</c:v>
                </c:pt>
                <c:pt idx="10">
                  <c:v>2470</c:v>
                </c:pt>
                <c:pt idx="11">
                  <c:v>2964</c:v>
                </c:pt>
                <c:pt idx="12">
                  <c:v>3458</c:v>
                </c:pt>
                <c:pt idx="13">
                  <c:v>3952</c:v>
                </c:pt>
                <c:pt idx="14">
                  <c:v>4212</c:v>
                </c:pt>
                <c:pt idx="15">
                  <c:v>4238</c:v>
                </c:pt>
                <c:pt idx="16">
                  <c:v>4264</c:v>
                </c:pt>
                <c:pt idx="17">
                  <c:v>4290</c:v>
                </c:pt>
                <c:pt idx="18">
                  <c:v>4316</c:v>
                </c:pt>
                <c:pt idx="19">
                  <c:v>4342</c:v>
                </c:pt>
                <c:pt idx="20">
                  <c:v>4368</c:v>
                </c:pt>
                <c:pt idx="21">
                  <c:v>4394</c:v>
                </c:pt>
                <c:pt idx="22">
                  <c:v>4399.2</c:v>
                </c:pt>
                <c:pt idx="23">
                  <c:v>4420</c:v>
                </c:pt>
                <c:pt idx="24">
                  <c:v>4446</c:v>
                </c:pt>
                <c:pt idx="25">
                  <c:v>4472</c:v>
                </c:pt>
                <c:pt idx="26">
                  <c:v>4498</c:v>
                </c:pt>
                <c:pt idx="27">
                  <c:v>4524</c:v>
                </c:pt>
                <c:pt idx="28">
                  <c:v>4550</c:v>
                </c:pt>
                <c:pt idx="29">
                  <c:v>4576</c:v>
                </c:pt>
                <c:pt idx="30">
                  <c:v>4602</c:v>
                </c:pt>
                <c:pt idx="31">
                  <c:v>4628</c:v>
                </c:pt>
                <c:pt idx="32">
                  <c:v>4654</c:v>
                </c:pt>
                <c:pt idx="33">
                  <c:v>4680</c:v>
                </c:pt>
              </c:numCache>
            </c:numRef>
          </c:xVal>
          <c:yVal>
            <c:numRef>
              <c:f>'updated pressures'!$B$3:$B$36</c:f>
              <c:numCache>
                <c:formatCode>General</c:formatCode>
                <c:ptCount val="34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3200</c:v>
                </c:pt>
                <c:pt idx="8">
                  <c:v>4000</c:v>
                </c:pt>
                <c:pt idx="9">
                  <c:v>4200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8000</c:v>
                </c:pt>
                <c:pt idx="14">
                  <c:v>8100</c:v>
                </c:pt>
                <c:pt idx="15">
                  <c:v>8150</c:v>
                </c:pt>
                <c:pt idx="16">
                  <c:v>8200</c:v>
                </c:pt>
                <c:pt idx="17">
                  <c:v>8250</c:v>
                </c:pt>
                <c:pt idx="18">
                  <c:v>8300</c:v>
                </c:pt>
                <c:pt idx="19">
                  <c:v>8350</c:v>
                </c:pt>
                <c:pt idx="20">
                  <c:v>8400</c:v>
                </c:pt>
                <c:pt idx="21">
                  <c:v>8450</c:v>
                </c:pt>
                <c:pt idx="22">
                  <c:v>8460</c:v>
                </c:pt>
                <c:pt idx="23">
                  <c:v>8500</c:v>
                </c:pt>
                <c:pt idx="24">
                  <c:v>8550</c:v>
                </c:pt>
                <c:pt idx="25">
                  <c:v>8600</c:v>
                </c:pt>
                <c:pt idx="26">
                  <c:v>8650</c:v>
                </c:pt>
                <c:pt idx="27">
                  <c:v>8700</c:v>
                </c:pt>
                <c:pt idx="28">
                  <c:v>8750</c:v>
                </c:pt>
                <c:pt idx="29">
                  <c:v>8800</c:v>
                </c:pt>
                <c:pt idx="30">
                  <c:v>8850</c:v>
                </c:pt>
                <c:pt idx="31">
                  <c:v>8900</c:v>
                </c:pt>
                <c:pt idx="32">
                  <c:v>8950</c:v>
                </c:pt>
                <c:pt idx="33">
                  <c:v>9000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1608-425F-A15D-1CF9CC9DC619}"/>
            </c:ext>
          </c:extLst>
        </c:ser>
        <c:ser>
          <c:idx val="3"/>
          <c:order val="8"/>
          <c:tx>
            <c:v>fracture presure (-0.5ppg)</c:v>
          </c:tx>
          <c:spPr>
            <a:ln w="19050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'updated pressures'!$H$3:$H$36</c:f>
              <c:numCache>
                <c:formatCode>General</c:formatCode>
                <c:ptCount val="34"/>
                <c:pt idx="0">
                  <c:v>188.36999999999998</c:v>
                </c:pt>
                <c:pt idx="1">
                  <c:v>272.99999999999994</c:v>
                </c:pt>
                <c:pt idx="2">
                  <c:v>545.99999999999989</c:v>
                </c:pt>
                <c:pt idx="3">
                  <c:v>818.99999999999989</c:v>
                </c:pt>
                <c:pt idx="4">
                  <c:v>1152.06</c:v>
                </c:pt>
                <c:pt idx="5">
                  <c:v>1364.9999999999998</c:v>
                </c:pt>
                <c:pt idx="6">
                  <c:v>1554.8</c:v>
                </c:pt>
                <c:pt idx="7">
                  <c:v>1913.6</c:v>
                </c:pt>
                <c:pt idx="8">
                  <c:v>2703.9999999999995</c:v>
                </c:pt>
                <c:pt idx="9">
                  <c:v>2771.6</c:v>
                </c:pt>
                <c:pt idx="10">
                  <c:v>3510</c:v>
                </c:pt>
                <c:pt idx="11">
                  <c:v>4368</c:v>
                </c:pt>
                <c:pt idx="12">
                  <c:v>5278</c:v>
                </c:pt>
                <c:pt idx="13">
                  <c:v>6323.1999999999989</c:v>
                </c:pt>
                <c:pt idx="14">
                  <c:v>6402.2399999999989</c:v>
                </c:pt>
                <c:pt idx="15">
                  <c:v>6441.7599999999993</c:v>
                </c:pt>
                <c:pt idx="16">
                  <c:v>6481.2799999999988</c:v>
                </c:pt>
                <c:pt idx="17">
                  <c:v>6520.7999999999993</c:v>
                </c:pt>
                <c:pt idx="18">
                  <c:v>6560.3199999999988</c:v>
                </c:pt>
                <c:pt idx="19">
                  <c:v>6599.8399999999992</c:v>
                </c:pt>
                <c:pt idx="20">
                  <c:v>6639.3599999999988</c:v>
                </c:pt>
                <c:pt idx="21">
                  <c:v>6678.8799999999992</c:v>
                </c:pt>
                <c:pt idx="22">
                  <c:v>6686.7839999999987</c:v>
                </c:pt>
                <c:pt idx="23">
                  <c:v>6718.3999999999987</c:v>
                </c:pt>
                <c:pt idx="24">
                  <c:v>6757.9199999999992</c:v>
                </c:pt>
                <c:pt idx="25">
                  <c:v>6797.4399999999987</c:v>
                </c:pt>
                <c:pt idx="26">
                  <c:v>6836.9599999999991</c:v>
                </c:pt>
                <c:pt idx="27">
                  <c:v>6876.4799999999987</c:v>
                </c:pt>
                <c:pt idx="28">
                  <c:v>6915.9999999999991</c:v>
                </c:pt>
                <c:pt idx="29">
                  <c:v>6955.5199999999986</c:v>
                </c:pt>
                <c:pt idx="30">
                  <c:v>6995.0399999999991</c:v>
                </c:pt>
                <c:pt idx="31">
                  <c:v>7034.5599999999986</c:v>
                </c:pt>
                <c:pt idx="32">
                  <c:v>7074.079999999999</c:v>
                </c:pt>
                <c:pt idx="33">
                  <c:v>7113.5999999999985</c:v>
                </c:pt>
              </c:numCache>
            </c:numRef>
          </c:xVal>
          <c:yVal>
            <c:numRef>
              <c:f>'updated pressures'!$B$3:$B$36</c:f>
              <c:numCache>
                <c:formatCode>General</c:formatCode>
                <c:ptCount val="34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3200</c:v>
                </c:pt>
                <c:pt idx="8">
                  <c:v>4000</c:v>
                </c:pt>
                <c:pt idx="9">
                  <c:v>4200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8000</c:v>
                </c:pt>
                <c:pt idx="14">
                  <c:v>8100</c:v>
                </c:pt>
                <c:pt idx="15">
                  <c:v>8150</c:v>
                </c:pt>
                <c:pt idx="16">
                  <c:v>8200</c:v>
                </c:pt>
                <c:pt idx="17">
                  <c:v>8250</c:v>
                </c:pt>
                <c:pt idx="18">
                  <c:v>8300</c:v>
                </c:pt>
                <c:pt idx="19">
                  <c:v>8350</c:v>
                </c:pt>
                <c:pt idx="20">
                  <c:v>8400</c:v>
                </c:pt>
                <c:pt idx="21">
                  <c:v>8450</c:v>
                </c:pt>
                <c:pt idx="22">
                  <c:v>8460</c:v>
                </c:pt>
                <c:pt idx="23">
                  <c:v>8500</c:v>
                </c:pt>
                <c:pt idx="24">
                  <c:v>8550</c:v>
                </c:pt>
                <c:pt idx="25">
                  <c:v>8600</c:v>
                </c:pt>
                <c:pt idx="26">
                  <c:v>8650</c:v>
                </c:pt>
                <c:pt idx="27">
                  <c:v>8700</c:v>
                </c:pt>
                <c:pt idx="28">
                  <c:v>8750</c:v>
                </c:pt>
                <c:pt idx="29">
                  <c:v>8800</c:v>
                </c:pt>
                <c:pt idx="30">
                  <c:v>8850</c:v>
                </c:pt>
                <c:pt idx="31">
                  <c:v>8900</c:v>
                </c:pt>
                <c:pt idx="32">
                  <c:v>8950</c:v>
                </c:pt>
                <c:pt idx="33">
                  <c:v>9000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608-425F-A15D-1CF9CC9DC619}"/>
            </c:ext>
          </c:extLst>
        </c:ser>
        <c:ser>
          <c:idx val="9"/>
          <c:order val="9"/>
          <c:tx>
            <c:v>7" liner 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'updated pressures'!$S$32:$S$33</c:f>
              <c:numCache>
                <c:formatCode>General</c:formatCode>
                <c:ptCount val="2"/>
                <c:pt idx="0">
                  <c:v>4380</c:v>
                </c:pt>
                <c:pt idx="1">
                  <c:v>4680</c:v>
                </c:pt>
              </c:numCache>
            </c:numRef>
          </c:xVal>
          <c:yVal>
            <c:numRef>
              <c:f>'updated pressures'!$R$32:$R$33</c:f>
              <c:numCache>
                <c:formatCode>General</c:formatCode>
                <c:ptCount val="2"/>
                <c:pt idx="0">
                  <c:v>6000</c:v>
                </c:pt>
                <c:pt idx="1">
                  <c:v>9000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608-425F-A15D-1CF9CC9DC619}"/>
            </c:ext>
          </c:extLst>
        </c:ser>
        <c:ser>
          <c:idx val="10"/>
          <c:order val="10"/>
          <c:tx>
            <c:v>9-5/8" CSG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'updated pressures'!$S$36:$S$39</c:f>
              <c:numCache>
                <c:formatCode>General</c:formatCode>
                <c:ptCount val="4"/>
                <c:pt idx="0">
                  <c:v>2774</c:v>
                </c:pt>
                <c:pt idx="1">
                  <c:v>2964</c:v>
                </c:pt>
                <c:pt idx="2">
                  <c:v>2774</c:v>
                </c:pt>
                <c:pt idx="3">
                  <c:v>2074.7999999999997</c:v>
                </c:pt>
              </c:numCache>
            </c:numRef>
          </c:xVal>
          <c:yVal>
            <c:numRef>
              <c:f>'updated pressures'!$R$36:$R$37</c:f>
              <c:numCache>
                <c:formatCode>General</c:formatCode>
                <c:ptCount val="2"/>
                <c:pt idx="0">
                  <c:v>4100</c:v>
                </c:pt>
                <c:pt idx="1">
                  <c:v>6000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608-425F-A15D-1CF9CC9DC619}"/>
            </c:ext>
          </c:extLst>
        </c:ser>
        <c:ser>
          <c:idx val="11"/>
          <c:order val="11"/>
          <c:tx>
            <c:v>13-3/8" CSG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'updated pressures'!$S$40:$S$41</c:f>
              <c:numCache>
                <c:formatCode>General</c:formatCode>
                <c:ptCount val="2"/>
                <c:pt idx="0">
                  <c:v>1994.7999999999997</c:v>
                </c:pt>
                <c:pt idx="1">
                  <c:v>2074.7999999999997</c:v>
                </c:pt>
              </c:numCache>
            </c:numRef>
          </c:xVal>
          <c:yVal>
            <c:numRef>
              <c:f>'updated pressures'!$R$40:$R$41</c:f>
              <c:numCache>
                <c:formatCode>General</c:formatCode>
                <c:ptCount val="2"/>
                <c:pt idx="0">
                  <c:v>3300</c:v>
                </c:pt>
                <c:pt idx="1">
                  <c:v>4100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608-425F-A15D-1CF9CC9DC619}"/>
            </c:ext>
          </c:extLst>
        </c:ser>
        <c:ser>
          <c:idx val="13"/>
          <c:order val="12"/>
          <c:tx>
            <c:v>Top 7"</c:v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1608-425F-A15D-1CF9CC9DC619}"/>
              </c:ext>
            </c:extLst>
          </c:dPt>
          <c:xVal>
            <c:numRef>
              <c:f>'updated pressures'!$S$34:$S$35</c:f>
              <c:numCache>
                <c:formatCode>General</c:formatCode>
                <c:ptCount val="2"/>
                <c:pt idx="0">
                  <c:v>4380</c:v>
                </c:pt>
                <c:pt idx="1">
                  <c:v>2964</c:v>
                </c:pt>
              </c:numCache>
            </c:numRef>
          </c:xVal>
          <c:yVal>
            <c:numRef>
              <c:f>'updated pressures'!$R$34:$R$35</c:f>
              <c:numCache>
                <c:formatCode>General</c:formatCode>
                <c:ptCount val="2"/>
                <c:pt idx="0">
                  <c:v>6000</c:v>
                </c:pt>
                <c:pt idx="1">
                  <c:v>6000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608-425F-A15D-1CF9CC9DC619}"/>
            </c:ext>
          </c:extLst>
        </c:ser>
        <c:ser>
          <c:idx val="14"/>
          <c:order val="13"/>
          <c:tx>
            <c:v>TOP 9-5/8" CSG</c:v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1608-425F-A15D-1CF9CC9DC619}"/>
              </c:ext>
            </c:extLst>
          </c:dPt>
          <c:xVal>
            <c:numRef>
              <c:f>'updated pressures'!$S$38:$S$39</c:f>
              <c:numCache>
                <c:formatCode>General</c:formatCode>
                <c:ptCount val="2"/>
                <c:pt idx="0">
                  <c:v>2774</c:v>
                </c:pt>
                <c:pt idx="1">
                  <c:v>2074.7999999999997</c:v>
                </c:pt>
              </c:numCache>
            </c:numRef>
          </c:xVal>
          <c:yVal>
            <c:numRef>
              <c:f>'updated pressures'!$R$38:$R$39</c:f>
              <c:numCache>
                <c:formatCode>General</c:formatCode>
                <c:ptCount val="2"/>
                <c:pt idx="0">
                  <c:v>4100</c:v>
                </c:pt>
                <c:pt idx="1">
                  <c:v>4100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608-425F-A15D-1CF9CC9DC619}"/>
            </c:ext>
          </c:extLst>
        </c:ser>
        <c:ser>
          <c:idx val="12"/>
          <c:order val="14"/>
          <c:tx>
            <c:v>overburden pressure(1psi/ft)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'updated pressures'!$L$3:$L$36</c:f>
              <c:numCache>
                <c:formatCode>0.00</c:formatCode>
                <c:ptCount val="34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3200</c:v>
                </c:pt>
                <c:pt idx="8">
                  <c:v>4000</c:v>
                </c:pt>
                <c:pt idx="9">
                  <c:v>4200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8000</c:v>
                </c:pt>
                <c:pt idx="14">
                  <c:v>8100</c:v>
                </c:pt>
                <c:pt idx="15">
                  <c:v>8150</c:v>
                </c:pt>
                <c:pt idx="16">
                  <c:v>8200</c:v>
                </c:pt>
                <c:pt idx="17">
                  <c:v>8250</c:v>
                </c:pt>
                <c:pt idx="18">
                  <c:v>8300</c:v>
                </c:pt>
                <c:pt idx="19">
                  <c:v>8350</c:v>
                </c:pt>
                <c:pt idx="20">
                  <c:v>8400</c:v>
                </c:pt>
                <c:pt idx="21">
                  <c:v>8450</c:v>
                </c:pt>
                <c:pt idx="22">
                  <c:v>8460</c:v>
                </c:pt>
                <c:pt idx="23">
                  <c:v>8500</c:v>
                </c:pt>
                <c:pt idx="24">
                  <c:v>8550</c:v>
                </c:pt>
                <c:pt idx="25">
                  <c:v>8600</c:v>
                </c:pt>
                <c:pt idx="26">
                  <c:v>8650</c:v>
                </c:pt>
                <c:pt idx="27">
                  <c:v>8700</c:v>
                </c:pt>
                <c:pt idx="28">
                  <c:v>8750</c:v>
                </c:pt>
                <c:pt idx="29">
                  <c:v>8800</c:v>
                </c:pt>
                <c:pt idx="30">
                  <c:v>8850</c:v>
                </c:pt>
                <c:pt idx="31">
                  <c:v>8900</c:v>
                </c:pt>
                <c:pt idx="32">
                  <c:v>8950</c:v>
                </c:pt>
                <c:pt idx="33">
                  <c:v>9000</c:v>
                </c:pt>
              </c:numCache>
            </c:numRef>
          </c:xVal>
          <c:yVal>
            <c:numRef>
              <c:f>'updated pressures'!$B$3:$B$36</c:f>
              <c:numCache>
                <c:formatCode>General</c:formatCode>
                <c:ptCount val="34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3200</c:v>
                </c:pt>
                <c:pt idx="8">
                  <c:v>4000</c:v>
                </c:pt>
                <c:pt idx="9">
                  <c:v>4200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8000</c:v>
                </c:pt>
                <c:pt idx="14">
                  <c:v>8100</c:v>
                </c:pt>
                <c:pt idx="15">
                  <c:v>8150</c:v>
                </c:pt>
                <c:pt idx="16">
                  <c:v>8200</c:v>
                </c:pt>
                <c:pt idx="17">
                  <c:v>8250</c:v>
                </c:pt>
                <c:pt idx="18">
                  <c:v>8300</c:v>
                </c:pt>
                <c:pt idx="19">
                  <c:v>8350</c:v>
                </c:pt>
                <c:pt idx="20">
                  <c:v>8400</c:v>
                </c:pt>
                <c:pt idx="21">
                  <c:v>8450</c:v>
                </c:pt>
                <c:pt idx="22">
                  <c:v>8460</c:v>
                </c:pt>
                <c:pt idx="23">
                  <c:v>8500</c:v>
                </c:pt>
                <c:pt idx="24">
                  <c:v>8550</c:v>
                </c:pt>
                <c:pt idx="25">
                  <c:v>8600</c:v>
                </c:pt>
                <c:pt idx="26">
                  <c:v>8650</c:v>
                </c:pt>
                <c:pt idx="27">
                  <c:v>8700</c:v>
                </c:pt>
                <c:pt idx="28">
                  <c:v>8750</c:v>
                </c:pt>
                <c:pt idx="29">
                  <c:v>8800</c:v>
                </c:pt>
                <c:pt idx="30">
                  <c:v>8850</c:v>
                </c:pt>
                <c:pt idx="31">
                  <c:v>8900</c:v>
                </c:pt>
                <c:pt idx="32">
                  <c:v>8950</c:v>
                </c:pt>
                <c:pt idx="33">
                  <c:v>9000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1608-425F-A15D-1CF9CC9DC619}"/>
            </c:ext>
          </c:extLst>
        </c:ser>
        <c:ser>
          <c:idx val="15"/>
          <c:order val="15"/>
          <c:tx>
            <c:v>last line</c:v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'updated pressures'!$S$43</c:f>
              <c:numCache>
                <c:formatCode>General</c:formatCode>
                <c:ptCount val="1"/>
                <c:pt idx="0">
                  <c:v>1544</c:v>
                </c:pt>
              </c:numCache>
            </c:numRef>
          </c:xVal>
          <c:yVal>
            <c:numRef>
              <c:f>'updated pressures'!$R$42:$R$43</c:f>
              <c:numCache>
                <c:formatCode>General</c:formatCode>
                <c:ptCount val="2"/>
                <c:pt idx="0">
                  <c:v>3300</c:v>
                </c:pt>
                <c:pt idx="1">
                  <c:v>3300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1608-425F-A15D-1CF9CC9DC619}"/>
            </c:ext>
          </c:extLst>
        </c:ser>
        <c:ser>
          <c:idx val="16"/>
          <c:order val="16"/>
          <c:tx>
            <c:v>KOP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'updated pressures'!$S$42:$S$43</c:f>
              <c:numCache>
                <c:formatCode>General</c:formatCode>
                <c:ptCount val="2"/>
                <c:pt idx="0">
                  <c:v>1994.7999999999997</c:v>
                </c:pt>
                <c:pt idx="1">
                  <c:v>1544</c:v>
                </c:pt>
              </c:numCache>
            </c:numRef>
          </c:xVal>
          <c:yVal>
            <c:numRef>
              <c:f>'updated pressures'!$R$42:$R$43</c:f>
              <c:numCache>
                <c:formatCode>General</c:formatCode>
                <c:ptCount val="2"/>
                <c:pt idx="0">
                  <c:v>3300</c:v>
                </c:pt>
                <c:pt idx="1">
                  <c:v>3300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1608-425F-A15D-1CF9CC9DC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558367"/>
        <c:axId val="186562207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3"/>
                <c:tx>
                  <c:strRef>
                    <c:extLst>
                      <c:ext uri="{02D57815-91ED-43cb-92C2-25804820EDAC}">
                        <c15:formulaRef>
                          <c15:sqref>'updated pressures'!$D$35</c15:sqref>
                        </c15:formulaRef>
                      </c:ext>
                    </c:extLst>
                    <c:strCache>
                      <c:ptCount val="1"/>
                      <c:pt idx="0">
                        <c:v>4421.3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'updated pressures'!$H$37:$H$38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8424</c:v>
                      </c:pt>
                      <c:pt idx="1">
                        <c:v>9391.1999999999989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'updated pressures'!$G$37:$G$38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9-1608-425F-A15D-1CF9CC9DC619}"/>
                  </c:ext>
                </c:extLst>
              </c15:ser>
            </c15:filteredScatterSeries>
            <c15:filteredScatterSeries>
              <c15:ser>
                <c:idx val="5"/>
                <c:order val="4"/>
                <c:tx>
                  <c:v>line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pressures'!$H$41:$H$42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pressures'!$G$41:$G$42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1608-425F-A15D-1CF9CC9DC619}"/>
                  </c:ext>
                </c:extLst>
              </c15:ser>
            </c15:filteredScatterSeries>
            <c15:filteredScatterSeries>
              <c15:ser>
                <c:idx val="6"/>
                <c:order val="5"/>
                <c:tx>
                  <c:v>line1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pressures'!$H$44:$H$45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pressures'!$G$44:$G$45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1608-425F-A15D-1CF9CC9DC619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7 liner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pressures'!$H$47:$H$48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pressures'!$G$47:$G$48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1608-425F-A15D-1CF9CC9DC619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line 7 liner</c:v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pressures'!$H$50:$H$51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pressures'!$G$50:$G$51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1608-425F-A15D-1CF9CC9DC619}"/>
                  </c:ext>
                </c:extLst>
              </c15:ser>
            </c15:filteredScatterSeries>
          </c:ext>
        </c:extLst>
      </c:scatterChart>
      <c:valAx>
        <c:axId val="186558367"/>
        <c:scaling>
          <c:orientation val="minMax"/>
          <c:max val="80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PRESSURES(PSI)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62207"/>
        <c:crosses val="autoZero"/>
        <c:crossBetween val="midCat"/>
        <c:majorUnit val="1000"/>
      </c:valAx>
      <c:valAx>
        <c:axId val="186562207"/>
        <c:scaling>
          <c:orientation val="maxMin"/>
          <c:max val="1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DEPTH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58367"/>
        <c:crosses val="autoZero"/>
        <c:crossBetween val="midCat"/>
        <c:majorUnit val="1000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6.3916950702652547E-2"/>
          <c:y val="0.90255117886855252"/>
          <c:w val="0.82448452423376495"/>
          <c:h val="6.97181416341308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58383769248401"/>
          <c:y val="0.14566189030354698"/>
          <c:w val="0.84156769734012038"/>
          <c:h val="0.69184741768088565"/>
        </c:manualLayout>
      </c:layout>
      <c:scatterChart>
        <c:scatterStyle val="lineMarker"/>
        <c:varyColors val="0"/>
        <c:ser>
          <c:idx val="0"/>
          <c:order val="0"/>
          <c:tx>
            <c:v>fracture pressure (mud logs)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'pressure interpretation'!$L$5:$L$39</c:f>
              <c:numCache>
                <c:formatCode>General</c:formatCode>
                <c:ptCount val="35"/>
                <c:pt idx="0">
                  <c:v>197.34</c:v>
                </c:pt>
                <c:pt idx="1">
                  <c:v>286</c:v>
                </c:pt>
                <c:pt idx="2">
                  <c:v>572</c:v>
                </c:pt>
                <c:pt idx="3">
                  <c:v>858</c:v>
                </c:pt>
                <c:pt idx="4">
                  <c:v>1206.9199999999998</c:v>
                </c:pt>
                <c:pt idx="5">
                  <c:v>1430</c:v>
                </c:pt>
                <c:pt idx="6">
                  <c:v>1622.3999999999999</c:v>
                </c:pt>
                <c:pt idx="7">
                  <c:v>2059.1999999999998</c:v>
                </c:pt>
                <c:pt idx="8">
                  <c:v>2808</c:v>
                </c:pt>
                <c:pt idx="9">
                  <c:v>2878.2</c:v>
                </c:pt>
                <c:pt idx="10">
                  <c:v>3640</c:v>
                </c:pt>
                <c:pt idx="11">
                  <c:v>4524</c:v>
                </c:pt>
                <c:pt idx="12">
                  <c:v>5460</c:v>
                </c:pt>
                <c:pt idx="13">
                  <c:v>6006</c:v>
                </c:pt>
                <c:pt idx="14">
                  <c:v>6531.2</c:v>
                </c:pt>
                <c:pt idx="15">
                  <c:v>6612.84</c:v>
                </c:pt>
                <c:pt idx="16">
                  <c:v>6653.66</c:v>
                </c:pt>
                <c:pt idx="17">
                  <c:v>6694.48</c:v>
                </c:pt>
                <c:pt idx="18">
                  <c:v>6735.2999999999993</c:v>
                </c:pt>
                <c:pt idx="19">
                  <c:v>6776.12</c:v>
                </c:pt>
                <c:pt idx="20">
                  <c:v>6816.94</c:v>
                </c:pt>
                <c:pt idx="21">
                  <c:v>6857.7599999999993</c:v>
                </c:pt>
                <c:pt idx="22">
                  <c:v>6898.58</c:v>
                </c:pt>
                <c:pt idx="23">
                  <c:v>6906.7439999999997</c:v>
                </c:pt>
                <c:pt idx="24">
                  <c:v>6939.4</c:v>
                </c:pt>
                <c:pt idx="25">
                  <c:v>6980.2199999999993</c:v>
                </c:pt>
                <c:pt idx="26">
                  <c:v>7021.04</c:v>
                </c:pt>
                <c:pt idx="27">
                  <c:v>7061.86</c:v>
                </c:pt>
                <c:pt idx="28">
                  <c:v>7102.6799999999994</c:v>
                </c:pt>
                <c:pt idx="29">
                  <c:v>7143.5</c:v>
                </c:pt>
                <c:pt idx="30">
                  <c:v>7184.32</c:v>
                </c:pt>
                <c:pt idx="31">
                  <c:v>7225.1399999999994</c:v>
                </c:pt>
                <c:pt idx="32">
                  <c:v>7265.96</c:v>
                </c:pt>
                <c:pt idx="33">
                  <c:v>7306.78</c:v>
                </c:pt>
                <c:pt idx="34">
                  <c:v>7347.5999999999995</c:v>
                </c:pt>
              </c:numCache>
            </c:numRef>
          </c:xVal>
          <c:yVal>
            <c:numRef>
              <c:f>'pressure interpretation'!$B$5:$B$39</c:f>
              <c:numCache>
                <c:formatCode>General</c:formatCode>
                <c:ptCount val="35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3300</c:v>
                </c:pt>
                <c:pt idx="8">
                  <c:v>4000</c:v>
                </c:pt>
                <c:pt idx="9">
                  <c:v>4100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7700</c:v>
                </c:pt>
                <c:pt idx="14">
                  <c:v>8000</c:v>
                </c:pt>
                <c:pt idx="15">
                  <c:v>8100</c:v>
                </c:pt>
                <c:pt idx="16">
                  <c:v>8150</c:v>
                </c:pt>
                <c:pt idx="17">
                  <c:v>8200</c:v>
                </c:pt>
                <c:pt idx="18">
                  <c:v>8250</c:v>
                </c:pt>
                <c:pt idx="19">
                  <c:v>8300</c:v>
                </c:pt>
                <c:pt idx="20">
                  <c:v>8350</c:v>
                </c:pt>
                <c:pt idx="21">
                  <c:v>8400</c:v>
                </c:pt>
                <c:pt idx="22">
                  <c:v>8450</c:v>
                </c:pt>
                <c:pt idx="23">
                  <c:v>8460</c:v>
                </c:pt>
                <c:pt idx="24">
                  <c:v>8500</c:v>
                </c:pt>
                <c:pt idx="25">
                  <c:v>8550</c:v>
                </c:pt>
                <c:pt idx="26">
                  <c:v>8600</c:v>
                </c:pt>
                <c:pt idx="27">
                  <c:v>8650</c:v>
                </c:pt>
                <c:pt idx="28">
                  <c:v>8700</c:v>
                </c:pt>
                <c:pt idx="29">
                  <c:v>8750</c:v>
                </c:pt>
                <c:pt idx="30">
                  <c:v>8800</c:v>
                </c:pt>
                <c:pt idx="31">
                  <c:v>8850</c:v>
                </c:pt>
                <c:pt idx="32">
                  <c:v>8900</c:v>
                </c:pt>
                <c:pt idx="33">
                  <c:v>8950</c:v>
                </c:pt>
                <c:pt idx="34">
                  <c:v>9000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81-4EA6-BF92-3F6ACF873354}"/>
            </c:ext>
          </c:extLst>
        </c:ser>
        <c:ser>
          <c:idx val="1"/>
          <c:order val="1"/>
          <c:tx>
            <c:v>pore presure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'pressure interpretation'!$E$5:$E$39</c:f>
              <c:numCache>
                <c:formatCode>General</c:formatCode>
                <c:ptCount val="35"/>
                <c:pt idx="0">
                  <c:v>152.48999999999998</c:v>
                </c:pt>
                <c:pt idx="1">
                  <c:v>221</c:v>
                </c:pt>
                <c:pt idx="2">
                  <c:v>442</c:v>
                </c:pt>
                <c:pt idx="3">
                  <c:v>663</c:v>
                </c:pt>
                <c:pt idx="4">
                  <c:v>932.62</c:v>
                </c:pt>
                <c:pt idx="5">
                  <c:v>1131</c:v>
                </c:pt>
                <c:pt idx="6">
                  <c:v>1176.2399999999998</c:v>
                </c:pt>
                <c:pt idx="7">
                  <c:v>1492.9199999999998</c:v>
                </c:pt>
                <c:pt idx="8">
                  <c:v>1809.6</c:v>
                </c:pt>
                <c:pt idx="9">
                  <c:v>1918.8</c:v>
                </c:pt>
                <c:pt idx="10">
                  <c:v>2340</c:v>
                </c:pt>
                <c:pt idx="11">
                  <c:v>2808</c:v>
                </c:pt>
                <c:pt idx="12">
                  <c:v>3276</c:v>
                </c:pt>
                <c:pt idx="13">
                  <c:v>3603.6</c:v>
                </c:pt>
                <c:pt idx="14">
                  <c:v>3952</c:v>
                </c:pt>
                <c:pt idx="15">
                  <c:v>4001.3999999999996</c:v>
                </c:pt>
                <c:pt idx="16">
                  <c:v>4026.1</c:v>
                </c:pt>
                <c:pt idx="17">
                  <c:v>4050.7999999999997</c:v>
                </c:pt>
                <c:pt idx="18">
                  <c:v>4075.5</c:v>
                </c:pt>
                <c:pt idx="19">
                  <c:v>4100.2</c:v>
                </c:pt>
                <c:pt idx="20">
                  <c:v>4124.8999999999996</c:v>
                </c:pt>
                <c:pt idx="21">
                  <c:v>4149.5999999999995</c:v>
                </c:pt>
                <c:pt idx="22">
                  <c:v>4174.3</c:v>
                </c:pt>
                <c:pt idx="23">
                  <c:v>4179.24</c:v>
                </c:pt>
                <c:pt idx="24">
                  <c:v>4199</c:v>
                </c:pt>
                <c:pt idx="25">
                  <c:v>4223.7</c:v>
                </c:pt>
                <c:pt idx="26">
                  <c:v>4248.3999999999996</c:v>
                </c:pt>
                <c:pt idx="27">
                  <c:v>4273.0999999999995</c:v>
                </c:pt>
                <c:pt idx="28">
                  <c:v>4297.8</c:v>
                </c:pt>
                <c:pt idx="29">
                  <c:v>4322.5</c:v>
                </c:pt>
                <c:pt idx="30">
                  <c:v>4347.2</c:v>
                </c:pt>
                <c:pt idx="31">
                  <c:v>4371.8999999999996</c:v>
                </c:pt>
                <c:pt idx="32">
                  <c:v>4396.5999999999995</c:v>
                </c:pt>
                <c:pt idx="33">
                  <c:v>4421.3</c:v>
                </c:pt>
                <c:pt idx="34">
                  <c:v>4446</c:v>
                </c:pt>
              </c:numCache>
            </c:numRef>
          </c:xVal>
          <c:yVal>
            <c:numRef>
              <c:f>'pressure interpretation'!$B$5:$B$39</c:f>
              <c:numCache>
                <c:formatCode>General</c:formatCode>
                <c:ptCount val="35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3300</c:v>
                </c:pt>
                <c:pt idx="8">
                  <c:v>4000</c:v>
                </c:pt>
                <c:pt idx="9">
                  <c:v>4100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7700</c:v>
                </c:pt>
                <c:pt idx="14">
                  <c:v>8000</c:v>
                </c:pt>
                <c:pt idx="15">
                  <c:v>8100</c:v>
                </c:pt>
                <c:pt idx="16">
                  <c:v>8150</c:v>
                </c:pt>
                <c:pt idx="17">
                  <c:v>8200</c:v>
                </c:pt>
                <c:pt idx="18">
                  <c:v>8250</c:v>
                </c:pt>
                <c:pt idx="19">
                  <c:v>8300</c:v>
                </c:pt>
                <c:pt idx="20">
                  <c:v>8350</c:v>
                </c:pt>
                <c:pt idx="21">
                  <c:v>8400</c:v>
                </c:pt>
                <c:pt idx="22">
                  <c:v>8450</c:v>
                </c:pt>
                <c:pt idx="23">
                  <c:v>8460</c:v>
                </c:pt>
                <c:pt idx="24">
                  <c:v>8500</c:v>
                </c:pt>
                <c:pt idx="25">
                  <c:v>8550</c:v>
                </c:pt>
                <c:pt idx="26">
                  <c:v>8600</c:v>
                </c:pt>
                <c:pt idx="27">
                  <c:v>8650</c:v>
                </c:pt>
                <c:pt idx="28">
                  <c:v>8700</c:v>
                </c:pt>
                <c:pt idx="29">
                  <c:v>8750</c:v>
                </c:pt>
                <c:pt idx="30">
                  <c:v>8800</c:v>
                </c:pt>
                <c:pt idx="31">
                  <c:v>8850</c:v>
                </c:pt>
                <c:pt idx="32">
                  <c:v>8900</c:v>
                </c:pt>
                <c:pt idx="33">
                  <c:v>8950</c:v>
                </c:pt>
                <c:pt idx="34">
                  <c:v>9000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81-4EA6-BF92-3F6ACF873354}"/>
            </c:ext>
          </c:extLst>
        </c:ser>
        <c:ser>
          <c:idx val="2"/>
          <c:order val="2"/>
          <c:tx>
            <c:v>overbalance pressure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'pressure interpretation'!$F$5:$F$39</c:f>
              <c:numCache>
                <c:formatCode>0</c:formatCode>
                <c:ptCount val="35"/>
                <c:pt idx="0">
                  <c:v>161.45999999999998</c:v>
                </c:pt>
                <c:pt idx="1">
                  <c:v>234</c:v>
                </c:pt>
                <c:pt idx="2">
                  <c:v>468</c:v>
                </c:pt>
                <c:pt idx="3">
                  <c:v>702</c:v>
                </c:pt>
                <c:pt idx="4">
                  <c:v>987.4799999999999</c:v>
                </c:pt>
                <c:pt idx="5">
                  <c:v>1196</c:v>
                </c:pt>
                <c:pt idx="6">
                  <c:v>1243.8399999999997</c:v>
                </c:pt>
                <c:pt idx="7">
                  <c:v>1578.7199999999998</c:v>
                </c:pt>
                <c:pt idx="8">
                  <c:v>1913.6</c:v>
                </c:pt>
                <c:pt idx="9">
                  <c:v>2025.3999999999999</c:v>
                </c:pt>
                <c:pt idx="10">
                  <c:v>2470</c:v>
                </c:pt>
                <c:pt idx="11">
                  <c:v>2964</c:v>
                </c:pt>
                <c:pt idx="12">
                  <c:v>3458</c:v>
                </c:pt>
                <c:pt idx="13">
                  <c:v>3803.7999999999997</c:v>
                </c:pt>
                <c:pt idx="14">
                  <c:v>4160</c:v>
                </c:pt>
                <c:pt idx="15">
                  <c:v>4212</c:v>
                </c:pt>
                <c:pt idx="16">
                  <c:v>4238</c:v>
                </c:pt>
                <c:pt idx="17">
                  <c:v>4264</c:v>
                </c:pt>
                <c:pt idx="18">
                  <c:v>4290</c:v>
                </c:pt>
                <c:pt idx="19">
                  <c:v>4316</c:v>
                </c:pt>
                <c:pt idx="20">
                  <c:v>4342</c:v>
                </c:pt>
                <c:pt idx="21">
                  <c:v>4368</c:v>
                </c:pt>
                <c:pt idx="22">
                  <c:v>4394</c:v>
                </c:pt>
                <c:pt idx="23">
                  <c:v>4399.2</c:v>
                </c:pt>
                <c:pt idx="24">
                  <c:v>4420</c:v>
                </c:pt>
                <c:pt idx="25">
                  <c:v>4446</c:v>
                </c:pt>
                <c:pt idx="26">
                  <c:v>4472</c:v>
                </c:pt>
                <c:pt idx="27">
                  <c:v>4498</c:v>
                </c:pt>
                <c:pt idx="28">
                  <c:v>4524</c:v>
                </c:pt>
                <c:pt idx="29">
                  <c:v>4550</c:v>
                </c:pt>
                <c:pt idx="30">
                  <c:v>4576</c:v>
                </c:pt>
                <c:pt idx="31">
                  <c:v>4602</c:v>
                </c:pt>
                <c:pt idx="32">
                  <c:v>4628</c:v>
                </c:pt>
                <c:pt idx="33">
                  <c:v>4654</c:v>
                </c:pt>
                <c:pt idx="34">
                  <c:v>4680</c:v>
                </c:pt>
              </c:numCache>
            </c:numRef>
          </c:xVal>
          <c:yVal>
            <c:numRef>
              <c:f>'pressure interpretation'!$B$5:$B$39</c:f>
              <c:numCache>
                <c:formatCode>General</c:formatCode>
                <c:ptCount val="35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3300</c:v>
                </c:pt>
                <c:pt idx="8">
                  <c:v>4000</c:v>
                </c:pt>
                <c:pt idx="9">
                  <c:v>4100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7700</c:v>
                </c:pt>
                <c:pt idx="14">
                  <c:v>8000</c:v>
                </c:pt>
                <c:pt idx="15">
                  <c:v>8100</c:v>
                </c:pt>
                <c:pt idx="16">
                  <c:v>8150</c:v>
                </c:pt>
                <c:pt idx="17">
                  <c:v>8200</c:v>
                </c:pt>
                <c:pt idx="18">
                  <c:v>8250</c:v>
                </c:pt>
                <c:pt idx="19">
                  <c:v>8300</c:v>
                </c:pt>
                <c:pt idx="20">
                  <c:v>8350</c:v>
                </c:pt>
                <c:pt idx="21">
                  <c:v>8400</c:v>
                </c:pt>
                <c:pt idx="22">
                  <c:v>8450</c:v>
                </c:pt>
                <c:pt idx="23">
                  <c:v>8460</c:v>
                </c:pt>
                <c:pt idx="24">
                  <c:v>8500</c:v>
                </c:pt>
                <c:pt idx="25">
                  <c:v>8550</c:v>
                </c:pt>
                <c:pt idx="26">
                  <c:v>8600</c:v>
                </c:pt>
                <c:pt idx="27">
                  <c:v>8650</c:v>
                </c:pt>
                <c:pt idx="28">
                  <c:v>8700</c:v>
                </c:pt>
                <c:pt idx="29">
                  <c:v>8750</c:v>
                </c:pt>
                <c:pt idx="30">
                  <c:v>8800</c:v>
                </c:pt>
                <c:pt idx="31">
                  <c:v>8850</c:v>
                </c:pt>
                <c:pt idx="32">
                  <c:v>8900</c:v>
                </c:pt>
                <c:pt idx="33">
                  <c:v>8950</c:v>
                </c:pt>
                <c:pt idx="34">
                  <c:v>9000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81-4EA6-BF92-3F6ACF873354}"/>
            </c:ext>
          </c:extLst>
        </c:ser>
        <c:ser>
          <c:idx val="3"/>
          <c:order val="3"/>
          <c:tx>
            <c:v>fracture pressure (safety margin)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'pressure interpretation'!$P$5:$P$39</c:f>
              <c:numCache>
                <c:formatCode>0</c:formatCode>
                <c:ptCount val="35"/>
                <c:pt idx="0">
                  <c:v>188.36999999999998</c:v>
                </c:pt>
                <c:pt idx="1">
                  <c:v>272.99999999999994</c:v>
                </c:pt>
                <c:pt idx="2">
                  <c:v>545.99999999999989</c:v>
                </c:pt>
                <c:pt idx="3">
                  <c:v>818.99999999999989</c:v>
                </c:pt>
                <c:pt idx="4">
                  <c:v>1152.06</c:v>
                </c:pt>
                <c:pt idx="5">
                  <c:v>1364.9999999999998</c:v>
                </c:pt>
                <c:pt idx="6">
                  <c:v>1554.8</c:v>
                </c:pt>
                <c:pt idx="7">
                  <c:v>1973.3999999999999</c:v>
                </c:pt>
                <c:pt idx="8">
                  <c:v>2703.9999999999995</c:v>
                </c:pt>
                <c:pt idx="9">
                  <c:v>2771.6</c:v>
                </c:pt>
                <c:pt idx="10">
                  <c:v>3510</c:v>
                </c:pt>
                <c:pt idx="11">
                  <c:v>4368</c:v>
                </c:pt>
                <c:pt idx="12">
                  <c:v>5278</c:v>
                </c:pt>
                <c:pt idx="13">
                  <c:v>5805.8</c:v>
                </c:pt>
                <c:pt idx="14">
                  <c:v>6323.1999999999989</c:v>
                </c:pt>
                <c:pt idx="15">
                  <c:v>6402.2399999999989</c:v>
                </c:pt>
                <c:pt idx="16">
                  <c:v>6441.7599999999993</c:v>
                </c:pt>
                <c:pt idx="17">
                  <c:v>6481.2799999999988</c:v>
                </c:pt>
                <c:pt idx="18">
                  <c:v>6520.7999999999993</c:v>
                </c:pt>
                <c:pt idx="19">
                  <c:v>6560.3199999999988</c:v>
                </c:pt>
                <c:pt idx="20">
                  <c:v>6599.8399999999992</c:v>
                </c:pt>
                <c:pt idx="21">
                  <c:v>6639.3599999999988</c:v>
                </c:pt>
                <c:pt idx="22">
                  <c:v>6678.8799999999992</c:v>
                </c:pt>
                <c:pt idx="23">
                  <c:v>6686.7839999999987</c:v>
                </c:pt>
                <c:pt idx="24">
                  <c:v>6718.3999999999987</c:v>
                </c:pt>
                <c:pt idx="25">
                  <c:v>6757.9199999999992</c:v>
                </c:pt>
                <c:pt idx="26">
                  <c:v>6797.4399999999987</c:v>
                </c:pt>
                <c:pt idx="27">
                  <c:v>6836.9599999999991</c:v>
                </c:pt>
                <c:pt idx="28">
                  <c:v>6876.4799999999987</c:v>
                </c:pt>
                <c:pt idx="29">
                  <c:v>6915.9999999999991</c:v>
                </c:pt>
                <c:pt idx="30">
                  <c:v>6955.5199999999986</c:v>
                </c:pt>
                <c:pt idx="31">
                  <c:v>6995.0399999999991</c:v>
                </c:pt>
                <c:pt idx="32">
                  <c:v>7034.5599999999986</c:v>
                </c:pt>
                <c:pt idx="33">
                  <c:v>7074.079999999999</c:v>
                </c:pt>
                <c:pt idx="34">
                  <c:v>7113.5999999999985</c:v>
                </c:pt>
              </c:numCache>
            </c:numRef>
          </c:xVal>
          <c:yVal>
            <c:numRef>
              <c:f>'pressure interpretation'!$B$5:$B$39</c:f>
              <c:numCache>
                <c:formatCode>General</c:formatCode>
                <c:ptCount val="35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3300</c:v>
                </c:pt>
                <c:pt idx="8">
                  <c:v>4000</c:v>
                </c:pt>
                <c:pt idx="9">
                  <c:v>4100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7700</c:v>
                </c:pt>
                <c:pt idx="14">
                  <c:v>8000</c:v>
                </c:pt>
                <c:pt idx="15">
                  <c:v>8100</c:v>
                </c:pt>
                <c:pt idx="16">
                  <c:v>8150</c:v>
                </c:pt>
                <c:pt idx="17">
                  <c:v>8200</c:v>
                </c:pt>
                <c:pt idx="18">
                  <c:v>8250</c:v>
                </c:pt>
                <c:pt idx="19">
                  <c:v>8300</c:v>
                </c:pt>
                <c:pt idx="20">
                  <c:v>8350</c:v>
                </c:pt>
                <c:pt idx="21">
                  <c:v>8400</c:v>
                </c:pt>
                <c:pt idx="22">
                  <c:v>8450</c:v>
                </c:pt>
                <c:pt idx="23">
                  <c:v>8460</c:v>
                </c:pt>
                <c:pt idx="24">
                  <c:v>8500</c:v>
                </c:pt>
                <c:pt idx="25">
                  <c:v>8550</c:v>
                </c:pt>
                <c:pt idx="26">
                  <c:v>8600</c:v>
                </c:pt>
                <c:pt idx="27">
                  <c:v>8650</c:v>
                </c:pt>
                <c:pt idx="28">
                  <c:v>8700</c:v>
                </c:pt>
                <c:pt idx="29">
                  <c:v>8750</c:v>
                </c:pt>
                <c:pt idx="30">
                  <c:v>8800</c:v>
                </c:pt>
                <c:pt idx="31">
                  <c:v>8850</c:v>
                </c:pt>
                <c:pt idx="32">
                  <c:v>8900</c:v>
                </c:pt>
                <c:pt idx="33">
                  <c:v>8950</c:v>
                </c:pt>
                <c:pt idx="34">
                  <c:v>9000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81-4EA6-BF92-3F6ACF873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0479807"/>
        <c:axId val="1380476927"/>
      </c:scatterChart>
      <c:valAx>
        <c:axId val="138047980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PRESSURES</a:t>
                </a:r>
                <a:r>
                  <a:rPr lang="en-GB" b="1" baseline="0">
                    <a:solidFill>
                      <a:schemeClr val="tx1"/>
                    </a:solidFill>
                  </a:rPr>
                  <a:t> (PSI)</a:t>
                </a:r>
                <a:endParaRPr lang="en-GB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6554859263281745"/>
              <c:y val="4.0722463571363922E-2"/>
            </c:manualLayout>
          </c:layout>
          <c:overlay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476927"/>
        <c:crosses val="autoZero"/>
        <c:crossBetween val="midCat"/>
      </c:valAx>
      <c:valAx>
        <c:axId val="138047692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</a:t>
                </a:r>
                <a:r>
                  <a:rPr lang="en-GB" b="1">
                    <a:solidFill>
                      <a:schemeClr val="tx1"/>
                    </a:solidFill>
                  </a:rPr>
                  <a:t>DEPTH (FT)</a:t>
                </a:r>
                <a:endParaRPr lang="en-GB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1.9093420219024351E-2"/>
              <c:y val="0.486132907955471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4798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2925672323587264"/>
          <c:y val="0.87387179794160574"/>
          <c:w val="0.70115261787103356"/>
          <c:h val="0.126084621019452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329139166528872E-2"/>
          <c:y val="6.4065360910648697E-2"/>
          <c:w val="0.88665447927152152"/>
          <c:h val="0.90990248571869681"/>
        </c:manualLayout>
      </c:layout>
      <c:scatterChart>
        <c:scatterStyle val="smoothMarker"/>
        <c:varyColors val="0"/>
        <c:ser>
          <c:idx val="0"/>
          <c:order val="0"/>
          <c:tx>
            <c:v>Frac Pressure (mud logs)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'updated pressures'!$E$3:$E$36</c:f>
              <c:numCache>
                <c:formatCode>General</c:formatCode>
                <c:ptCount val="34"/>
                <c:pt idx="0">
                  <c:v>197.34</c:v>
                </c:pt>
                <c:pt idx="1">
                  <c:v>286</c:v>
                </c:pt>
                <c:pt idx="2">
                  <c:v>572</c:v>
                </c:pt>
                <c:pt idx="3">
                  <c:v>858</c:v>
                </c:pt>
                <c:pt idx="4">
                  <c:v>1206.9199999999998</c:v>
                </c:pt>
                <c:pt idx="5">
                  <c:v>1430</c:v>
                </c:pt>
                <c:pt idx="6">
                  <c:v>1622.3999999999999</c:v>
                </c:pt>
                <c:pt idx="7">
                  <c:v>1996.8</c:v>
                </c:pt>
                <c:pt idx="8">
                  <c:v>2808</c:v>
                </c:pt>
                <c:pt idx="9">
                  <c:v>2878.2</c:v>
                </c:pt>
                <c:pt idx="10">
                  <c:v>3640</c:v>
                </c:pt>
                <c:pt idx="11">
                  <c:v>4524</c:v>
                </c:pt>
                <c:pt idx="12">
                  <c:v>5460</c:v>
                </c:pt>
                <c:pt idx="13">
                  <c:v>6531.2</c:v>
                </c:pt>
                <c:pt idx="14">
                  <c:v>6612.84</c:v>
                </c:pt>
                <c:pt idx="15">
                  <c:v>6653.66</c:v>
                </c:pt>
                <c:pt idx="16">
                  <c:v>6694.48</c:v>
                </c:pt>
                <c:pt idx="17">
                  <c:v>6735.2999999999993</c:v>
                </c:pt>
                <c:pt idx="18">
                  <c:v>6776.12</c:v>
                </c:pt>
                <c:pt idx="19">
                  <c:v>6816.94</c:v>
                </c:pt>
                <c:pt idx="20">
                  <c:v>6857.7599999999993</c:v>
                </c:pt>
                <c:pt idx="21">
                  <c:v>6898.58</c:v>
                </c:pt>
                <c:pt idx="22">
                  <c:v>6906.7439999999997</c:v>
                </c:pt>
                <c:pt idx="23">
                  <c:v>6939.4</c:v>
                </c:pt>
                <c:pt idx="24">
                  <c:v>6980.2199999999993</c:v>
                </c:pt>
                <c:pt idx="25">
                  <c:v>7021.04</c:v>
                </c:pt>
                <c:pt idx="26">
                  <c:v>7061.86</c:v>
                </c:pt>
                <c:pt idx="27">
                  <c:v>7102.6799999999994</c:v>
                </c:pt>
                <c:pt idx="28">
                  <c:v>7143.5</c:v>
                </c:pt>
                <c:pt idx="29">
                  <c:v>7184.32</c:v>
                </c:pt>
                <c:pt idx="30">
                  <c:v>7225.1399999999994</c:v>
                </c:pt>
                <c:pt idx="31">
                  <c:v>7265.96</c:v>
                </c:pt>
                <c:pt idx="32">
                  <c:v>7306.78</c:v>
                </c:pt>
                <c:pt idx="33">
                  <c:v>7347.5999999999995</c:v>
                </c:pt>
              </c:numCache>
            </c:numRef>
          </c:xVal>
          <c:yVal>
            <c:numRef>
              <c:f>'updated pressures'!$B$3:$B$36</c:f>
              <c:numCache>
                <c:formatCode>General</c:formatCode>
                <c:ptCount val="34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3200</c:v>
                </c:pt>
                <c:pt idx="8">
                  <c:v>4000</c:v>
                </c:pt>
                <c:pt idx="9">
                  <c:v>4200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8000</c:v>
                </c:pt>
                <c:pt idx="14">
                  <c:v>8100</c:v>
                </c:pt>
                <c:pt idx="15">
                  <c:v>8150</c:v>
                </c:pt>
                <c:pt idx="16">
                  <c:v>8200</c:v>
                </c:pt>
                <c:pt idx="17">
                  <c:v>8250</c:v>
                </c:pt>
                <c:pt idx="18">
                  <c:v>8300</c:v>
                </c:pt>
                <c:pt idx="19">
                  <c:v>8350</c:v>
                </c:pt>
                <c:pt idx="20">
                  <c:v>8400</c:v>
                </c:pt>
                <c:pt idx="21">
                  <c:v>8450</c:v>
                </c:pt>
                <c:pt idx="22">
                  <c:v>8460</c:v>
                </c:pt>
                <c:pt idx="23">
                  <c:v>8500</c:v>
                </c:pt>
                <c:pt idx="24">
                  <c:v>8550</c:v>
                </c:pt>
                <c:pt idx="25">
                  <c:v>8600</c:v>
                </c:pt>
                <c:pt idx="26">
                  <c:v>8650</c:v>
                </c:pt>
                <c:pt idx="27">
                  <c:v>8700</c:v>
                </c:pt>
                <c:pt idx="28">
                  <c:v>8750</c:v>
                </c:pt>
                <c:pt idx="29">
                  <c:v>8800</c:v>
                </c:pt>
                <c:pt idx="30">
                  <c:v>8850</c:v>
                </c:pt>
                <c:pt idx="31">
                  <c:v>8900</c:v>
                </c:pt>
                <c:pt idx="32">
                  <c:v>8950</c:v>
                </c:pt>
                <c:pt idx="33">
                  <c:v>9000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CB-4620-9DBC-BD3EBDA9CC23}"/>
            </c:ext>
          </c:extLst>
        </c:ser>
        <c:ser>
          <c:idx val="1"/>
          <c:order val="1"/>
          <c:tx>
            <c:strRef>
              <c:f>'updated pressures'!$D$2</c:f>
              <c:strCache>
                <c:ptCount val="1"/>
                <c:pt idx="0">
                  <c:v>PORE PRESSURE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'updated pressures'!$D$3:$D$36</c:f>
              <c:numCache>
                <c:formatCode>General</c:formatCode>
                <c:ptCount val="34"/>
                <c:pt idx="0">
                  <c:v>152.48999999999998</c:v>
                </c:pt>
                <c:pt idx="1">
                  <c:v>221</c:v>
                </c:pt>
                <c:pt idx="2">
                  <c:v>442</c:v>
                </c:pt>
                <c:pt idx="3">
                  <c:v>663</c:v>
                </c:pt>
                <c:pt idx="4">
                  <c:v>932.62</c:v>
                </c:pt>
                <c:pt idx="5">
                  <c:v>1131</c:v>
                </c:pt>
                <c:pt idx="6">
                  <c:v>1176.2399999999998</c:v>
                </c:pt>
                <c:pt idx="7">
                  <c:v>1414.3999999999999</c:v>
                </c:pt>
                <c:pt idx="8">
                  <c:v>1809.6</c:v>
                </c:pt>
                <c:pt idx="9">
                  <c:v>1965.6</c:v>
                </c:pt>
                <c:pt idx="10">
                  <c:v>2340</c:v>
                </c:pt>
                <c:pt idx="11">
                  <c:v>2808</c:v>
                </c:pt>
                <c:pt idx="12">
                  <c:v>3276</c:v>
                </c:pt>
                <c:pt idx="13">
                  <c:v>3744</c:v>
                </c:pt>
                <c:pt idx="14">
                  <c:v>4001.3999999999996</c:v>
                </c:pt>
                <c:pt idx="15">
                  <c:v>4026.1</c:v>
                </c:pt>
                <c:pt idx="16">
                  <c:v>4050.7999999999997</c:v>
                </c:pt>
                <c:pt idx="17">
                  <c:v>4075.5</c:v>
                </c:pt>
                <c:pt idx="18">
                  <c:v>4100.2</c:v>
                </c:pt>
                <c:pt idx="19">
                  <c:v>4124.8999999999996</c:v>
                </c:pt>
                <c:pt idx="20">
                  <c:v>4149.5999999999995</c:v>
                </c:pt>
                <c:pt idx="21">
                  <c:v>4174.3</c:v>
                </c:pt>
                <c:pt idx="22">
                  <c:v>4179.24</c:v>
                </c:pt>
                <c:pt idx="23">
                  <c:v>4199</c:v>
                </c:pt>
                <c:pt idx="24">
                  <c:v>4223.7</c:v>
                </c:pt>
                <c:pt idx="25">
                  <c:v>4248.3999999999996</c:v>
                </c:pt>
                <c:pt idx="26">
                  <c:v>4273.0999999999995</c:v>
                </c:pt>
                <c:pt idx="27">
                  <c:v>4297.8</c:v>
                </c:pt>
                <c:pt idx="28">
                  <c:v>4322.5</c:v>
                </c:pt>
                <c:pt idx="29">
                  <c:v>4347.2</c:v>
                </c:pt>
                <c:pt idx="30">
                  <c:v>4371.8999999999996</c:v>
                </c:pt>
                <c:pt idx="31">
                  <c:v>4396.5999999999995</c:v>
                </c:pt>
                <c:pt idx="32">
                  <c:v>4421.3</c:v>
                </c:pt>
                <c:pt idx="33">
                  <c:v>4446</c:v>
                </c:pt>
              </c:numCache>
            </c:numRef>
          </c:xVal>
          <c:yVal>
            <c:numRef>
              <c:f>'updated pressures'!$B$3:$B$36</c:f>
              <c:numCache>
                <c:formatCode>General</c:formatCode>
                <c:ptCount val="34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3200</c:v>
                </c:pt>
                <c:pt idx="8">
                  <c:v>4000</c:v>
                </c:pt>
                <c:pt idx="9">
                  <c:v>4200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8000</c:v>
                </c:pt>
                <c:pt idx="14">
                  <c:v>8100</c:v>
                </c:pt>
                <c:pt idx="15">
                  <c:v>8150</c:v>
                </c:pt>
                <c:pt idx="16">
                  <c:v>8200</c:v>
                </c:pt>
                <c:pt idx="17">
                  <c:v>8250</c:v>
                </c:pt>
                <c:pt idx="18">
                  <c:v>8300</c:v>
                </c:pt>
                <c:pt idx="19">
                  <c:v>8350</c:v>
                </c:pt>
                <c:pt idx="20">
                  <c:v>8400</c:v>
                </c:pt>
                <c:pt idx="21">
                  <c:v>8450</c:v>
                </c:pt>
                <c:pt idx="22">
                  <c:v>8460</c:v>
                </c:pt>
                <c:pt idx="23">
                  <c:v>8500</c:v>
                </c:pt>
                <c:pt idx="24">
                  <c:v>8550</c:v>
                </c:pt>
                <c:pt idx="25">
                  <c:v>8600</c:v>
                </c:pt>
                <c:pt idx="26">
                  <c:v>8650</c:v>
                </c:pt>
                <c:pt idx="27">
                  <c:v>8700</c:v>
                </c:pt>
                <c:pt idx="28">
                  <c:v>8750</c:v>
                </c:pt>
                <c:pt idx="29">
                  <c:v>8800</c:v>
                </c:pt>
                <c:pt idx="30">
                  <c:v>8850</c:v>
                </c:pt>
                <c:pt idx="31">
                  <c:v>8900</c:v>
                </c:pt>
                <c:pt idx="32">
                  <c:v>8950</c:v>
                </c:pt>
                <c:pt idx="33">
                  <c:v>9000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CB-4620-9DBC-BD3EBDA9CC23}"/>
            </c:ext>
          </c:extLst>
        </c:ser>
        <c:ser>
          <c:idx val="2"/>
          <c:order val="2"/>
          <c:tx>
            <c:v>overbalance pressure (+0.5ppg)</c:v>
          </c:tx>
          <c:spPr>
            <a:ln w="19050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'updated pressures'!$G$3:$G$36</c:f>
              <c:numCache>
                <c:formatCode>General</c:formatCode>
                <c:ptCount val="34"/>
                <c:pt idx="0">
                  <c:v>161.45999999999998</c:v>
                </c:pt>
                <c:pt idx="1">
                  <c:v>234</c:v>
                </c:pt>
                <c:pt idx="2">
                  <c:v>468</c:v>
                </c:pt>
                <c:pt idx="3">
                  <c:v>702</c:v>
                </c:pt>
                <c:pt idx="4">
                  <c:v>987.4799999999999</c:v>
                </c:pt>
                <c:pt idx="5">
                  <c:v>1196</c:v>
                </c:pt>
                <c:pt idx="6">
                  <c:v>1243.8399999999997</c:v>
                </c:pt>
                <c:pt idx="7">
                  <c:v>1497.6</c:v>
                </c:pt>
                <c:pt idx="8">
                  <c:v>1913.6</c:v>
                </c:pt>
                <c:pt idx="9">
                  <c:v>2074.7999999999997</c:v>
                </c:pt>
                <c:pt idx="10">
                  <c:v>2470</c:v>
                </c:pt>
                <c:pt idx="11">
                  <c:v>2964</c:v>
                </c:pt>
                <c:pt idx="12">
                  <c:v>3458</c:v>
                </c:pt>
                <c:pt idx="13">
                  <c:v>3952</c:v>
                </c:pt>
                <c:pt idx="14">
                  <c:v>4212</c:v>
                </c:pt>
                <c:pt idx="15">
                  <c:v>4238</c:v>
                </c:pt>
                <c:pt idx="16">
                  <c:v>4264</c:v>
                </c:pt>
                <c:pt idx="17">
                  <c:v>4290</c:v>
                </c:pt>
                <c:pt idx="18">
                  <c:v>4316</c:v>
                </c:pt>
                <c:pt idx="19">
                  <c:v>4342</c:v>
                </c:pt>
                <c:pt idx="20">
                  <c:v>4368</c:v>
                </c:pt>
                <c:pt idx="21">
                  <c:v>4394</c:v>
                </c:pt>
                <c:pt idx="22">
                  <c:v>4399.2</c:v>
                </c:pt>
                <c:pt idx="23">
                  <c:v>4420</c:v>
                </c:pt>
                <c:pt idx="24">
                  <c:v>4446</c:v>
                </c:pt>
                <c:pt idx="25">
                  <c:v>4472</c:v>
                </c:pt>
                <c:pt idx="26">
                  <c:v>4498</c:v>
                </c:pt>
                <c:pt idx="27">
                  <c:v>4524</c:v>
                </c:pt>
                <c:pt idx="28">
                  <c:v>4550</c:v>
                </c:pt>
                <c:pt idx="29">
                  <c:v>4576</c:v>
                </c:pt>
                <c:pt idx="30">
                  <c:v>4602</c:v>
                </c:pt>
                <c:pt idx="31">
                  <c:v>4628</c:v>
                </c:pt>
                <c:pt idx="32">
                  <c:v>4654</c:v>
                </c:pt>
                <c:pt idx="33">
                  <c:v>4680</c:v>
                </c:pt>
              </c:numCache>
            </c:numRef>
          </c:xVal>
          <c:yVal>
            <c:numRef>
              <c:f>'updated pressures'!$B$3:$B$36</c:f>
              <c:numCache>
                <c:formatCode>General</c:formatCode>
                <c:ptCount val="34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3200</c:v>
                </c:pt>
                <c:pt idx="8">
                  <c:v>4000</c:v>
                </c:pt>
                <c:pt idx="9">
                  <c:v>4200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8000</c:v>
                </c:pt>
                <c:pt idx="14">
                  <c:v>8100</c:v>
                </c:pt>
                <c:pt idx="15">
                  <c:v>8150</c:v>
                </c:pt>
                <c:pt idx="16">
                  <c:v>8200</c:v>
                </c:pt>
                <c:pt idx="17">
                  <c:v>8250</c:v>
                </c:pt>
                <c:pt idx="18">
                  <c:v>8300</c:v>
                </c:pt>
                <c:pt idx="19">
                  <c:v>8350</c:v>
                </c:pt>
                <c:pt idx="20">
                  <c:v>8400</c:v>
                </c:pt>
                <c:pt idx="21">
                  <c:v>8450</c:v>
                </c:pt>
                <c:pt idx="22">
                  <c:v>8460</c:v>
                </c:pt>
                <c:pt idx="23">
                  <c:v>8500</c:v>
                </c:pt>
                <c:pt idx="24">
                  <c:v>8550</c:v>
                </c:pt>
                <c:pt idx="25">
                  <c:v>8600</c:v>
                </c:pt>
                <c:pt idx="26">
                  <c:v>8650</c:v>
                </c:pt>
                <c:pt idx="27">
                  <c:v>8700</c:v>
                </c:pt>
                <c:pt idx="28">
                  <c:v>8750</c:v>
                </c:pt>
                <c:pt idx="29">
                  <c:v>8800</c:v>
                </c:pt>
                <c:pt idx="30">
                  <c:v>8850</c:v>
                </c:pt>
                <c:pt idx="31">
                  <c:v>8900</c:v>
                </c:pt>
                <c:pt idx="32">
                  <c:v>8950</c:v>
                </c:pt>
                <c:pt idx="33">
                  <c:v>9000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1DCB-4620-9DBC-BD3EBDA9CC23}"/>
            </c:ext>
          </c:extLst>
        </c:ser>
        <c:ser>
          <c:idx val="3"/>
          <c:order val="8"/>
          <c:tx>
            <c:v>fracture presure (-0.5ppg)</c:v>
          </c:tx>
          <c:spPr>
            <a:ln w="19050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'updated pressures'!$H$3:$H$36</c:f>
              <c:numCache>
                <c:formatCode>General</c:formatCode>
                <c:ptCount val="34"/>
                <c:pt idx="0">
                  <c:v>188.36999999999998</c:v>
                </c:pt>
                <c:pt idx="1">
                  <c:v>272.99999999999994</c:v>
                </c:pt>
                <c:pt idx="2">
                  <c:v>545.99999999999989</c:v>
                </c:pt>
                <c:pt idx="3">
                  <c:v>818.99999999999989</c:v>
                </c:pt>
                <c:pt idx="4">
                  <c:v>1152.06</c:v>
                </c:pt>
                <c:pt idx="5">
                  <c:v>1364.9999999999998</c:v>
                </c:pt>
                <c:pt idx="6">
                  <c:v>1554.8</c:v>
                </c:pt>
                <c:pt idx="7">
                  <c:v>1913.6</c:v>
                </c:pt>
                <c:pt idx="8">
                  <c:v>2703.9999999999995</c:v>
                </c:pt>
                <c:pt idx="9">
                  <c:v>2771.6</c:v>
                </c:pt>
                <c:pt idx="10">
                  <c:v>3510</c:v>
                </c:pt>
                <c:pt idx="11">
                  <c:v>4368</c:v>
                </c:pt>
                <c:pt idx="12">
                  <c:v>5278</c:v>
                </c:pt>
                <c:pt idx="13">
                  <c:v>6323.1999999999989</c:v>
                </c:pt>
                <c:pt idx="14">
                  <c:v>6402.2399999999989</c:v>
                </c:pt>
                <c:pt idx="15">
                  <c:v>6441.7599999999993</c:v>
                </c:pt>
                <c:pt idx="16">
                  <c:v>6481.2799999999988</c:v>
                </c:pt>
                <c:pt idx="17">
                  <c:v>6520.7999999999993</c:v>
                </c:pt>
                <c:pt idx="18">
                  <c:v>6560.3199999999988</c:v>
                </c:pt>
                <c:pt idx="19">
                  <c:v>6599.8399999999992</c:v>
                </c:pt>
                <c:pt idx="20">
                  <c:v>6639.3599999999988</c:v>
                </c:pt>
                <c:pt idx="21">
                  <c:v>6678.8799999999992</c:v>
                </c:pt>
                <c:pt idx="22">
                  <c:v>6686.7839999999987</c:v>
                </c:pt>
                <c:pt idx="23">
                  <c:v>6718.3999999999987</c:v>
                </c:pt>
                <c:pt idx="24">
                  <c:v>6757.9199999999992</c:v>
                </c:pt>
                <c:pt idx="25">
                  <c:v>6797.4399999999987</c:v>
                </c:pt>
                <c:pt idx="26">
                  <c:v>6836.9599999999991</c:v>
                </c:pt>
                <c:pt idx="27">
                  <c:v>6876.4799999999987</c:v>
                </c:pt>
                <c:pt idx="28">
                  <c:v>6915.9999999999991</c:v>
                </c:pt>
                <c:pt idx="29">
                  <c:v>6955.5199999999986</c:v>
                </c:pt>
                <c:pt idx="30">
                  <c:v>6995.0399999999991</c:v>
                </c:pt>
                <c:pt idx="31">
                  <c:v>7034.5599999999986</c:v>
                </c:pt>
                <c:pt idx="32">
                  <c:v>7074.079999999999</c:v>
                </c:pt>
                <c:pt idx="33">
                  <c:v>7113.5999999999985</c:v>
                </c:pt>
              </c:numCache>
            </c:numRef>
          </c:xVal>
          <c:yVal>
            <c:numRef>
              <c:f>'updated pressures'!$B$3:$B$36</c:f>
              <c:numCache>
                <c:formatCode>General</c:formatCode>
                <c:ptCount val="34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3200</c:v>
                </c:pt>
                <c:pt idx="8">
                  <c:v>4000</c:v>
                </c:pt>
                <c:pt idx="9">
                  <c:v>4200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8000</c:v>
                </c:pt>
                <c:pt idx="14">
                  <c:v>8100</c:v>
                </c:pt>
                <c:pt idx="15">
                  <c:v>8150</c:v>
                </c:pt>
                <c:pt idx="16">
                  <c:v>8200</c:v>
                </c:pt>
                <c:pt idx="17">
                  <c:v>8250</c:v>
                </c:pt>
                <c:pt idx="18">
                  <c:v>8300</c:v>
                </c:pt>
                <c:pt idx="19">
                  <c:v>8350</c:v>
                </c:pt>
                <c:pt idx="20">
                  <c:v>8400</c:v>
                </c:pt>
                <c:pt idx="21">
                  <c:v>8450</c:v>
                </c:pt>
                <c:pt idx="22">
                  <c:v>8460</c:v>
                </c:pt>
                <c:pt idx="23">
                  <c:v>8500</c:v>
                </c:pt>
                <c:pt idx="24">
                  <c:v>8550</c:v>
                </c:pt>
                <c:pt idx="25">
                  <c:v>8600</c:v>
                </c:pt>
                <c:pt idx="26">
                  <c:v>8650</c:v>
                </c:pt>
                <c:pt idx="27">
                  <c:v>8700</c:v>
                </c:pt>
                <c:pt idx="28">
                  <c:v>8750</c:v>
                </c:pt>
                <c:pt idx="29">
                  <c:v>8800</c:v>
                </c:pt>
                <c:pt idx="30">
                  <c:v>8850</c:v>
                </c:pt>
                <c:pt idx="31">
                  <c:v>8900</c:v>
                </c:pt>
                <c:pt idx="32">
                  <c:v>8950</c:v>
                </c:pt>
                <c:pt idx="33">
                  <c:v>9000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DCB-4620-9DBC-BD3EBDA9CC23}"/>
            </c:ext>
          </c:extLst>
        </c:ser>
        <c:ser>
          <c:idx val="9"/>
          <c:order val="9"/>
          <c:tx>
            <c:v>7" liner 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'updated pressures'!$S$32:$S$33</c:f>
              <c:numCache>
                <c:formatCode>General</c:formatCode>
                <c:ptCount val="2"/>
                <c:pt idx="0">
                  <c:v>4380</c:v>
                </c:pt>
                <c:pt idx="1">
                  <c:v>4680</c:v>
                </c:pt>
              </c:numCache>
            </c:numRef>
          </c:xVal>
          <c:yVal>
            <c:numRef>
              <c:f>'updated pressures'!$R$32:$R$33</c:f>
              <c:numCache>
                <c:formatCode>General</c:formatCode>
                <c:ptCount val="2"/>
                <c:pt idx="0">
                  <c:v>6000</c:v>
                </c:pt>
                <c:pt idx="1">
                  <c:v>9000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DCB-4620-9DBC-BD3EBDA9CC23}"/>
            </c:ext>
          </c:extLst>
        </c:ser>
        <c:ser>
          <c:idx val="10"/>
          <c:order val="10"/>
          <c:tx>
            <c:v>9-5/8" CSG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'updated pressures'!$S$36:$S$39</c:f>
              <c:numCache>
                <c:formatCode>General</c:formatCode>
                <c:ptCount val="4"/>
                <c:pt idx="0">
                  <c:v>2774</c:v>
                </c:pt>
                <c:pt idx="1">
                  <c:v>2964</c:v>
                </c:pt>
                <c:pt idx="2">
                  <c:v>2774</c:v>
                </c:pt>
                <c:pt idx="3">
                  <c:v>2074.7999999999997</c:v>
                </c:pt>
              </c:numCache>
            </c:numRef>
          </c:xVal>
          <c:yVal>
            <c:numRef>
              <c:f>'updated pressures'!$R$36:$R$37</c:f>
              <c:numCache>
                <c:formatCode>General</c:formatCode>
                <c:ptCount val="2"/>
                <c:pt idx="0">
                  <c:v>4100</c:v>
                </c:pt>
                <c:pt idx="1">
                  <c:v>6000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DCB-4620-9DBC-BD3EBDA9CC23}"/>
            </c:ext>
          </c:extLst>
        </c:ser>
        <c:ser>
          <c:idx val="11"/>
          <c:order val="11"/>
          <c:tx>
            <c:v>13-3/8" CSG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'updated pressures'!$S$40:$S$41</c:f>
              <c:numCache>
                <c:formatCode>General</c:formatCode>
                <c:ptCount val="2"/>
                <c:pt idx="0">
                  <c:v>1994.7999999999997</c:v>
                </c:pt>
                <c:pt idx="1">
                  <c:v>2074.7999999999997</c:v>
                </c:pt>
              </c:numCache>
            </c:numRef>
          </c:xVal>
          <c:yVal>
            <c:numRef>
              <c:f>'updated pressures'!$R$40:$R$41</c:f>
              <c:numCache>
                <c:formatCode>General</c:formatCode>
                <c:ptCount val="2"/>
                <c:pt idx="0">
                  <c:v>3300</c:v>
                </c:pt>
                <c:pt idx="1">
                  <c:v>4100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DCB-4620-9DBC-BD3EBDA9CC23}"/>
            </c:ext>
          </c:extLst>
        </c:ser>
        <c:ser>
          <c:idx val="13"/>
          <c:order val="12"/>
          <c:tx>
            <c:v>Top 7"</c:v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1DCB-4620-9DBC-BD3EBDA9CC23}"/>
              </c:ext>
            </c:extLst>
          </c:dPt>
          <c:xVal>
            <c:numRef>
              <c:f>'updated pressures'!$S$34:$S$35</c:f>
              <c:numCache>
                <c:formatCode>General</c:formatCode>
                <c:ptCount val="2"/>
                <c:pt idx="0">
                  <c:v>4380</c:v>
                </c:pt>
                <c:pt idx="1">
                  <c:v>2964</c:v>
                </c:pt>
              </c:numCache>
            </c:numRef>
          </c:xVal>
          <c:yVal>
            <c:numRef>
              <c:f>'updated pressures'!$R$34:$R$35</c:f>
              <c:numCache>
                <c:formatCode>General</c:formatCode>
                <c:ptCount val="2"/>
                <c:pt idx="0">
                  <c:v>6000</c:v>
                </c:pt>
                <c:pt idx="1">
                  <c:v>6000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DCB-4620-9DBC-BD3EBDA9CC23}"/>
            </c:ext>
          </c:extLst>
        </c:ser>
        <c:ser>
          <c:idx val="14"/>
          <c:order val="13"/>
          <c:tx>
            <c:v>TOP 9-5/8" CSG</c:v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1DCB-4620-9DBC-BD3EBDA9CC23}"/>
              </c:ext>
            </c:extLst>
          </c:dPt>
          <c:xVal>
            <c:numRef>
              <c:f>'updated pressures'!$S$38:$S$39</c:f>
              <c:numCache>
                <c:formatCode>General</c:formatCode>
                <c:ptCount val="2"/>
                <c:pt idx="0">
                  <c:v>2774</c:v>
                </c:pt>
                <c:pt idx="1">
                  <c:v>2074.7999999999997</c:v>
                </c:pt>
              </c:numCache>
            </c:numRef>
          </c:xVal>
          <c:yVal>
            <c:numRef>
              <c:f>'updated pressures'!$R$38:$R$39</c:f>
              <c:numCache>
                <c:formatCode>General</c:formatCode>
                <c:ptCount val="2"/>
                <c:pt idx="0">
                  <c:v>4100</c:v>
                </c:pt>
                <c:pt idx="1">
                  <c:v>4100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1DCB-4620-9DBC-BD3EBDA9CC23}"/>
            </c:ext>
          </c:extLst>
        </c:ser>
        <c:ser>
          <c:idx val="12"/>
          <c:order val="14"/>
          <c:tx>
            <c:v>overburden pressure(1psi/ft)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'updated pressures'!$L$3:$L$36</c:f>
              <c:numCache>
                <c:formatCode>0.00</c:formatCode>
                <c:ptCount val="34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3200</c:v>
                </c:pt>
                <c:pt idx="8">
                  <c:v>4000</c:v>
                </c:pt>
                <c:pt idx="9">
                  <c:v>4200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8000</c:v>
                </c:pt>
                <c:pt idx="14">
                  <c:v>8100</c:v>
                </c:pt>
                <c:pt idx="15">
                  <c:v>8150</c:v>
                </c:pt>
                <c:pt idx="16">
                  <c:v>8200</c:v>
                </c:pt>
                <c:pt idx="17">
                  <c:v>8250</c:v>
                </c:pt>
                <c:pt idx="18">
                  <c:v>8300</c:v>
                </c:pt>
                <c:pt idx="19">
                  <c:v>8350</c:v>
                </c:pt>
                <c:pt idx="20">
                  <c:v>8400</c:v>
                </c:pt>
                <c:pt idx="21">
                  <c:v>8450</c:v>
                </c:pt>
                <c:pt idx="22">
                  <c:v>8460</c:v>
                </c:pt>
                <c:pt idx="23">
                  <c:v>8500</c:v>
                </c:pt>
                <c:pt idx="24">
                  <c:v>8550</c:v>
                </c:pt>
                <c:pt idx="25">
                  <c:v>8600</c:v>
                </c:pt>
                <c:pt idx="26">
                  <c:v>8650</c:v>
                </c:pt>
                <c:pt idx="27">
                  <c:v>8700</c:v>
                </c:pt>
                <c:pt idx="28">
                  <c:v>8750</c:v>
                </c:pt>
                <c:pt idx="29">
                  <c:v>8800</c:v>
                </c:pt>
                <c:pt idx="30">
                  <c:v>8850</c:v>
                </c:pt>
                <c:pt idx="31">
                  <c:v>8900</c:v>
                </c:pt>
                <c:pt idx="32">
                  <c:v>8950</c:v>
                </c:pt>
                <c:pt idx="33">
                  <c:v>9000</c:v>
                </c:pt>
              </c:numCache>
            </c:numRef>
          </c:xVal>
          <c:yVal>
            <c:numRef>
              <c:f>'updated pressures'!$B$3:$B$36</c:f>
              <c:numCache>
                <c:formatCode>General</c:formatCode>
                <c:ptCount val="34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3200</c:v>
                </c:pt>
                <c:pt idx="8">
                  <c:v>4000</c:v>
                </c:pt>
                <c:pt idx="9">
                  <c:v>4200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8000</c:v>
                </c:pt>
                <c:pt idx="14">
                  <c:v>8100</c:v>
                </c:pt>
                <c:pt idx="15">
                  <c:v>8150</c:v>
                </c:pt>
                <c:pt idx="16">
                  <c:v>8200</c:v>
                </c:pt>
                <c:pt idx="17">
                  <c:v>8250</c:v>
                </c:pt>
                <c:pt idx="18">
                  <c:v>8300</c:v>
                </c:pt>
                <c:pt idx="19">
                  <c:v>8350</c:v>
                </c:pt>
                <c:pt idx="20">
                  <c:v>8400</c:v>
                </c:pt>
                <c:pt idx="21">
                  <c:v>8450</c:v>
                </c:pt>
                <c:pt idx="22">
                  <c:v>8460</c:v>
                </c:pt>
                <c:pt idx="23">
                  <c:v>8500</c:v>
                </c:pt>
                <c:pt idx="24">
                  <c:v>8550</c:v>
                </c:pt>
                <c:pt idx="25">
                  <c:v>8600</c:v>
                </c:pt>
                <c:pt idx="26">
                  <c:v>8650</c:v>
                </c:pt>
                <c:pt idx="27">
                  <c:v>8700</c:v>
                </c:pt>
                <c:pt idx="28">
                  <c:v>8750</c:v>
                </c:pt>
                <c:pt idx="29">
                  <c:v>8800</c:v>
                </c:pt>
                <c:pt idx="30">
                  <c:v>8850</c:v>
                </c:pt>
                <c:pt idx="31">
                  <c:v>8900</c:v>
                </c:pt>
                <c:pt idx="32">
                  <c:v>8950</c:v>
                </c:pt>
                <c:pt idx="33">
                  <c:v>9000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1DCB-4620-9DBC-BD3EBDA9CC23}"/>
            </c:ext>
          </c:extLst>
        </c:ser>
        <c:ser>
          <c:idx val="15"/>
          <c:order val="15"/>
          <c:tx>
            <c:v>last line</c:v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'updated pressures'!$S$43</c:f>
              <c:numCache>
                <c:formatCode>General</c:formatCode>
                <c:ptCount val="1"/>
                <c:pt idx="0">
                  <c:v>1544</c:v>
                </c:pt>
              </c:numCache>
            </c:numRef>
          </c:xVal>
          <c:yVal>
            <c:numRef>
              <c:f>'updated pressures'!$R$42:$R$43</c:f>
              <c:numCache>
                <c:formatCode>General</c:formatCode>
                <c:ptCount val="2"/>
                <c:pt idx="0">
                  <c:v>3300</c:v>
                </c:pt>
                <c:pt idx="1">
                  <c:v>3300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1DCB-4620-9DBC-BD3EBDA9CC23}"/>
            </c:ext>
          </c:extLst>
        </c:ser>
        <c:ser>
          <c:idx val="16"/>
          <c:order val="16"/>
          <c:tx>
            <c:v>KOP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'updated pressures'!$S$42:$S$43</c:f>
              <c:numCache>
                <c:formatCode>General</c:formatCode>
                <c:ptCount val="2"/>
                <c:pt idx="0">
                  <c:v>1994.7999999999997</c:v>
                </c:pt>
                <c:pt idx="1">
                  <c:v>1544</c:v>
                </c:pt>
              </c:numCache>
            </c:numRef>
          </c:xVal>
          <c:yVal>
            <c:numRef>
              <c:f>'updated pressures'!$R$42:$R$43</c:f>
              <c:numCache>
                <c:formatCode>General</c:formatCode>
                <c:ptCount val="2"/>
                <c:pt idx="0">
                  <c:v>3300</c:v>
                </c:pt>
                <c:pt idx="1">
                  <c:v>3300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1DCB-4620-9DBC-BD3EBDA9CC23}"/>
            </c:ext>
          </c:extLst>
        </c:ser>
        <c:ser>
          <c:idx val="17"/>
          <c:order val="17"/>
          <c:tx>
            <c:v>hydraustaic</c:v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'formation coleration'!$D$91:$D$124</c:f>
              <c:numCache>
                <c:formatCode>General</c:formatCode>
                <c:ptCount val="34"/>
                <c:pt idx="0">
                  <c:v>155.25</c:v>
                </c:pt>
                <c:pt idx="1">
                  <c:v>225</c:v>
                </c:pt>
                <c:pt idx="2">
                  <c:v>450</c:v>
                </c:pt>
                <c:pt idx="3">
                  <c:v>675</c:v>
                </c:pt>
                <c:pt idx="4">
                  <c:v>949.5</c:v>
                </c:pt>
                <c:pt idx="5">
                  <c:v>1125</c:v>
                </c:pt>
                <c:pt idx="6">
                  <c:v>1170</c:v>
                </c:pt>
                <c:pt idx="7">
                  <c:v>1440</c:v>
                </c:pt>
                <c:pt idx="8">
                  <c:v>1800</c:v>
                </c:pt>
                <c:pt idx="9">
                  <c:v>1890</c:v>
                </c:pt>
                <c:pt idx="10">
                  <c:v>2250</c:v>
                </c:pt>
                <c:pt idx="11">
                  <c:v>2700</c:v>
                </c:pt>
                <c:pt idx="12">
                  <c:v>3150</c:v>
                </c:pt>
                <c:pt idx="13">
                  <c:v>3600</c:v>
                </c:pt>
                <c:pt idx="14">
                  <c:v>3645</c:v>
                </c:pt>
                <c:pt idx="15">
                  <c:v>3667.5</c:v>
                </c:pt>
                <c:pt idx="16">
                  <c:v>3690</c:v>
                </c:pt>
                <c:pt idx="17">
                  <c:v>3712.5</c:v>
                </c:pt>
                <c:pt idx="18">
                  <c:v>3735</c:v>
                </c:pt>
                <c:pt idx="19">
                  <c:v>3757.5</c:v>
                </c:pt>
                <c:pt idx="20">
                  <c:v>3780</c:v>
                </c:pt>
                <c:pt idx="21">
                  <c:v>3802.5</c:v>
                </c:pt>
                <c:pt idx="22">
                  <c:v>3807</c:v>
                </c:pt>
                <c:pt idx="23">
                  <c:v>3825</c:v>
                </c:pt>
                <c:pt idx="24">
                  <c:v>3847.5</c:v>
                </c:pt>
                <c:pt idx="25">
                  <c:v>3870</c:v>
                </c:pt>
                <c:pt idx="26">
                  <c:v>3892.5</c:v>
                </c:pt>
                <c:pt idx="27">
                  <c:v>3915</c:v>
                </c:pt>
                <c:pt idx="28">
                  <c:v>3937.5</c:v>
                </c:pt>
                <c:pt idx="29">
                  <c:v>3960</c:v>
                </c:pt>
                <c:pt idx="30">
                  <c:v>3982.5</c:v>
                </c:pt>
                <c:pt idx="31">
                  <c:v>4005</c:v>
                </c:pt>
                <c:pt idx="32">
                  <c:v>4027.5</c:v>
                </c:pt>
                <c:pt idx="33">
                  <c:v>4050</c:v>
                </c:pt>
              </c:numCache>
            </c:numRef>
          </c:xVal>
          <c:yVal>
            <c:numRef>
              <c:f>'formation coleration'!$C$91:$C$124</c:f>
              <c:numCache>
                <c:formatCode>General</c:formatCode>
                <c:ptCount val="34"/>
                <c:pt idx="0">
                  <c:v>345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2110</c:v>
                </c:pt>
                <c:pt idx="5">
                  <c:v>2500</c:v>
                </c:pt>
                <c:pt idx="6">
                  <c:v>2600</c:v>
                </c:pt>
                <c:pt idx="7">
                  <c:v>3200</c:v>
                </c:pt>
                <c:pt idx="8">
                  <c:v>4000</c:v>
                </c:pt>
                <c:pt idx="9">
                  <c:v>4200</c:v>
                </c:pt>
                <c:pt idx="10">
                  <c:v>5000</c:v>
                </c:pt>
                <c:pt idx="11">
                  <c:v>6000</c:v>
                </c:pt>
                <c:pt idx="12">
                  <c:v>7000</c:v>
                </c:pt>
                <c:pt idx="13">
                  <c:v>8000</c:v>
                </c:pt>
                <c:pt idx="14">
                  <c:v>8100</c:v>
                </c:pt>
                <c:pt idx="15">
                  <c:v>8150</c:v>
                </c:pt>
                <c:pt idx="16">
                  <c:v>8200</c:v>
                </c:pt>
                <c:pt idx="17">
                  <c:v>8250</c:v>
                </c:pt>
                <c:pt idx="18">
                  <c:v>8300</c:v>
                </c:pt>
                <c:pt idx="19">
                  <c:v>8350</c:v>
                </c:pt>
                <c:pt idx="20">
                  <c:v>8400</c:v>
                </c:pt>
                <c:pt idx="21">
                  <c:v>8450</c:v>
                </c:pt>
                <c:pt idx="22">
                  <c:v>8460</c:v>
                </c:pt>
                <c:pt idx="23">
                  <c:v>8500</c:v>
                </c:pt>
                <c:pt idx="24">
                  <c:v>8550</c:v>
                </c:pt>
                <c:pt idx="25">
                  <c:v>8600</c:v>
                </c:pt>
                <c:pt idx="26">
                  <c:v>8650</c:v>
                </c:pt>
                <c:pt idx="27">
                  <c:v>8700</c:v>
                </c:pt>
                <c:pt idx="28">
                  <c:v>8750</c:v>
                </c:pt>
                <c:pt idx="29">
                  <c:v>8800</c:v>
                </c:pt>
                <c:pt idx="30">
                  <c:v>8850</c:v>
                </c:pt>
                <c:pt idx="31">
                  <c:v>8900</c:v>
                </c:pt>
                <c:pt idx="32">
                  <c:v>8950</c:v>
                </c:pt>
                <c:pt idx="33">
                  <c:v>9000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BF9-4100-A0EB-5D5B6AC78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558367"/>
        <c:axId val="186562207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3"/>
                <c:tx>
                  <c:strRef>
                    <c:extLst>
                      <c:ext uri="{02D57815-91ED-43cb-92C2-25804820EDAC}">
                        <c15:formulaRef>
                          <c15:sqref>'updated pressures'!$D$35</c15:sqref>
                        </c15:formulaRef>
                      </c:ext>
                    </c:extLst>
                    <c:strCache>
                      <c:ptCount val="1"/>
                      <c:pt idx="0">
                        <c:v>4421.3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'updated pressures'!$H$37:$H$38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8424</c:v>
                      </c:pt>
                      <c:pt idx="1">
                        <c:v>9391.1999999999989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'updated pressures'!$G$37:$G$38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10-1DCB-4620-9DBC-BD3EBDA9CC23}"/>
                  </c:ext>
                </c:extLst>
              </c15:ser>
            </c15:filteredScatterSeries>
            <c15:filteredScatterSeries>
              <c15:ser>
                <c:idx val="5"/>
                <c:order val="4"/>
                <c:tx>
                  <c:v>line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pressures'!$H$41:$H$42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pressures'!$G$41:$G$42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1DCB-4620-9DBC-BD3EBDA9CC23}"/>
                  </c:ext>
                </c:extLst>
              </c15:ser>
            </c15:filteredScatterSeries>
            <c15:filteredScatterSeries>
              <c15:ser>
                <c:idx val="6"/>
                <c:order val="5"/>
                <c:tx>
                  <c:v>line1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pressures'!$H$44:$H$45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pressures'!$G$44:$G$45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1DCB-4620-9DBC-BD3EBDA9CC23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7 liner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pressures'!$H$47:$H$48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pressures'!$G$47:$G$48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1DCB-4620-9DBC-BD3EBDA9CC23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line 7 liner</c:v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pressures'!$H$50:$H$51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'updated pressures'!$G$50:$G$51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1DCB-4620-9DBC-BD3EBDA9CC23}"/>
                  </c:ext>
                </c:extLst>
              </c15:ser>
            </c15:filteredScatterSeries>
          </c:ext>
        </c:extLst>
      </c:scatterChart>
      <c:valAx>
        <c:axId val="186558367"/>
        <c:scaling>
          <c:orientation val="minMax"/>
          <c:max val="80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62207"/>
        <c:crosses val="autoZero"/>
        <c:crossBetween val="midCat"/>
        <c:majorUnit val="1000"/>
      </c:valAx>
      <c:valAx>
        <c:axId val="186562207"/>
        <c:scaling>
          <c:orientation val="maxMin"/>
          <c:max val="1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58367"/>
        <c:crosses val="autoZero"/>
        <c:crossBetween val="midCat"/>
        <c:majorUnit val="1000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3057894320286541E-2"/>
          <c:y val="3.9295801003877584E-2"/>
          <c:w val="0.96587204247547109"/>
          <c:h val="0.96066967905621647"/>
        </c:manualLayout>
      </c:layout>
      <c:scatterChart>
        <c:scatterStyle val="smoothMarker"/>
        <c:varyColors val="0"/>
        <c:ser>
          <c:idx val="0"/>
          <c:order val="0"/>
          <c:tx>
            <c:v>TVD</c:v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'directional drilling'!$E$59:$E$63</c:f>
              <c:numCache>
                <c:formatCode>General</c:formatCode>
                <c:ptCount val="5"/>
                <c:pt idx="0">
                  <c:v>9000</c:v>
                </c:pt>
                <c:pt idx="1">
                  <c:v>9000</c:v>
                </c:pt>
                <c:pt idx="2">
                  <c:v>9000</c:v>
                </c:pt>
                <c:pt idx="3">
                  <c:v>9000</c:v>
                </c:pt>
                <c:pt idx="4">
                  <c:v>9000</c:v>
                </c:pt>
              </c:numCache>
            </c:numRef>
          </c:xVal>
          <c:yVal>
            <c:numRef>
              <c:f>'directional drilling'!$D$59:$D$63</c:f>
              <c:numCache>
                <c:formatCode>General</c:formatCode>
                <c:ptCount val="5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3300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49-4A52-8CA4-0FE6A8CBD320}"/>
            </c:ext>
          </c:extLst>
        </c:ser>
        <c:ser>
          <c:idx val="1"/>
          <c:order val="1"/>
          <c:tx>
            <c:v>HORIZONTAL DISPLACEMENT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3810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A49-4A52-8CA4-0FE6A8CBD320}"/>
              </c:ext>
            </c:extLst>
          </c:dPt>
          <c:xVal>
            <c:numRef>
              <c:f>'directional drilling'!$G$59:$G$60</c:f>
              <c:numCache>
                <c:formatCode>General</c:formatCode>
                <c:ptCount val="2"/>
                <c:pt idx="0">
                  <c:v>9000</c:v>
                </c:pt>
                <c:pt idx="1">
                  <c:v>3116</c:v>
                </c:pt>
              </c:numCache>
            </c:numRef>
          </c:xVal>
          <c:yVal>
            <c:numRef>
              <c:f>'directional drilling'!$F$59:$F$60</c:f>
              <c:numCache>
                <c:formatCode>General</c:formatCode>
                <c:ptCount val="2"/>
                <c:pt idx="0">
                  <c:v>3300</c:v>
                </c:pt>
                <c:pt idx="1">
                  <c:v>3300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A49-4A52-8CA4-0FE6A8CBD320}"/>
            </c:ext>
          </c:extLst>
        </c:ser>
        <c:ser>
          <c:idx val="2"/>
          <c:order val="2"/>
          <c:tx>
            <c:v>BE DISTANCE</c:v>
          </c:tx>
          <c:spPr>
            <a:ln w="38100" cap="rnd">
              <a:solidFill>
                <a:srgbClr val="FF0000">
                  <a:alpha val="93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'directional drilling'!$I$59:$I$60</c:f>
              <c:numCache>
                <c:formatCode>General</c:formatCode>
                <c:ptCount val="2"/>
                <c:pt idx="0">
                  <c:v>9000</c:v>
                </c:pt>
                <c:pt idx="1">
                  <c:v>8658.3604453513944</c:v>
                </c:pt>
              </c:numCache>
            </c:numRef>
          </c:xVal>
          <c:yVal>
            <c:numRef>
              <c:f>'directional drilling'!$H$59:$H$60</c:f>
              <c:numCache>
                <c:formatCode>General</c:formatCode>
                <c:ptCount val="2"/>
                <c:pt idx="0">
                  <c:v>3300</c:v>
                </c:pt>
                <c:pt idx="1">
                  <c:v>3300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A49-4A52-8CA4-0FE6A8CBD320}"/>
            </c:ext>
          </c:extLst>
        </c:ser>
        <c:ser>
          <c:idx val="3"/>
          <c:order val="3"/>
          <c:tx>
            <c:v>DISTANCE EC</c:v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'directional drilling'!$G$64:$G$65</c:f>
              <c:numCache>
                <c:formatCode>General</c:formatCode>
                <c:ptCount val="2"/>
                <c:pt idx="0">
                  <c:v>8658.3604453513944</c:v>
                </c:pt>
                <c:pt idx="1">
                  <c:v>8658.3604453513944</c:v>
                </c:pt>
              </c:numCache>
            </c:numRef>
          </c:xVal>
          <c:yVal>
            <c:numRef>
              <c:f>'directional drilling'!$F$64:$F$65</c:f>
              <c:numCache>
                <c:formatCode>General</c:formatCode>
                <c:ptCount val="2"/>
                <c:pt idx="0">
                  <c:v>3300</c:v>
                </c:pt>
                <c:pt idx="1">
                  <c:v>4504.174846200407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A49-4A52-8CA4-0FE6A8CBD320}"/>
            </c:ext>
          </c:extLst>
        </c:ser>
        <c:ser>
          <c:idx val="4"/>
          <c:order val="4"/>
          <c:tx>
            <c:v>DISTANCE CT</c:v>
          </c:tx>
          <c:spPr>
            <a:ln w="3810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3810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3A49-4A52-8CA4-0FE6A8CBD320}"/>
              </c:ext>
            </c:extLst>
          </c:dPt>
          <c:xVal>
            <c:numRef>
              <c:f>'directional drilling'!$I$64:$I$65</c:f>
              <c:numCache>
                <c:formatCode>General</c:formatCode>
                <c:ptCount val="2"/>
                <c:pt idx="0">
                  <c:v>8658.3604453513944</c:v>
                </c:pt>
                <c:pt idx="1">
                  <c:v>3116</c:v>
                </c:pt>
              </c:numCache>
            </c:numRef>
          </c:xVal>
          <c:yVal>
            <c:numRef>
              <c:f>'directional drilling'!$H$64:$H$65</c:f>
              <c:numCache>
                <c:formatCode>General</c:formatCode>
                <c:ptCount val="2"/>
                <c:pt idx="0">
                  <c:v>4504.174846200407</c:v>
                </c:pt>
                <c:pt idx="1">
                  <c:v>9000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A49-4A52-8CA4-0FE6A8CBD320}"/>
            </c:ext>
          </c:extLst>
        </c:ser>
        <c:ser>
          <c:idx val="5"/>
          <c:order val="5"/>
          <c:tx>
            <c:v>DISTANCE PT</c:v>
          </c:tx>
          <c:spPr>
            <a:ln w="38100" cap="rnd">
              <a:solidFill>
                <a:schemeClr val="accent6">
                  <a:alpha val="97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'directional drilling'!$G$68:$G$69</c:f>
              <c:numCache>
                <c:formatCode>General</c:formatCode>
                <c:ptCount val="2"/>
                <c:pt idx="0">
                  <c:v>3116</c:v>
                </c:pt>
                <c:pt idx="1">
                  <c:v>3116</c:v>
                </c:pt>
              </c:numCache>
            </c:numRef>
          </c:xVal>
          <c:yVal>
            <c:numRef>
              <c:f>'directional drilling'!$F$68:$F$69</c:f>
              <c:numCache>
                <c:formatCode>General</c:formatCode>
                <c:ptCount val="2"/>
                <c:pt idx="0">
                  <c:v>3300</c:v>
                </c:pt>
                <c:pt idx="1">
                  <c:v>9000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A49-4A52-8CA4-0FE6A8CBD320}"/>
            </c:ext>
          </c:extLst>
        </c:ser>
        <c:ser>
          <c:idx val="6"/>
          <c:order val="6"/>
          <c:tx>
            <c:v>DISTANCE CO</c:v>
          </c:tx>
          <c:spPr>
            <a:ln w="3810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'directional drilling'!$I$68:$I$69</c:f>
              <c:numCache>
                <c:formatCode>General</c:formatCode>
                <c:ptCount val="2"/>
                <c:pt idx="0">
                  <c:v>8658.3604453513944</c:v>
                </c:pt>
                <c:pt idx="1">
                  <c:v>6707.0063694267519</c:v>
                </c:pt>
              </c:numCache>
            </c:numRef>
          </c:xVal>
          <c:yVal>
            <c:numRef>
              <c:f>'directional drilling'!$H$68:$H$69</c:f>
              <c:numCache>
                <c:formatCode>General</c:formatCode>
                <c:ptCount val="2"/>
                <c:pt idx="0">
                  <c:v>4504.174846200407</c:v>
                </c:pt>
                <c:pt idx="1">
                  <c:v>3300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A49-4A52-8CA4-0FE6A8CBD320}"/>
            </c:ext>
          </c:extLst>
        </c:ser>
        <c:ser>
          <c:idx val="7"/>
          <c:order val="7"/>
          <c:tx>
            <c:v>DIATANCE OT</c:v>
          </c:tx>
          <c:spPr>
            <a:ln w="38100" cap="rnd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3810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F8D2-48D2-8D41-DEF2D1553E06}"/>
              </c:ext>
            </c:extLst>
          </c:dPt>
          <c:xVal>
            <c:numRef>
              <c:f>'directional drilling'!$G$72:$G$73</c:f>
              <c:numCache>
                <c:formatCode>General</c:formatCode>
                <c:ptCount val="2"/>
                <c:pt idx="0">
                  <c:v>6707.0063694267519</c:v>
                </c:pt>
                <c:pt idx="1">
                  <c:v>3116</c:v>
                </c:pt>
              </c:numCache>
            </c:numRef>
          </c:xVal>
          <c:yVal>
            <c:numRef>
              <c:f>'directional drilling'!$F$72:$F$73</c:f>
              <c:numCache>
                <c:formatCode>General</c:formatCode>
                <c:ptCount val="2"/>
                <c:pt idx="0">
                  <c:v>3300</c:v>
                </c:pt>
                <c:pt idx="1">
                  <c:v>9000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A49-4A52-8CA4-0FE6A8CBD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187056"/>
        <c:axId val="1514186576"/>
      </c:scatterChart>
      <c:valAx>
        <c:axId val="1514187056"/>
        <c:scaling>
          <c:orientation val="maxMin"/>
        </c:scaling>
        <c:delete val="1"/>
        <c:axPos val="t"/>
        <c:numFmt formatCode="General" sourceLinked="1"/>
        <c:majorTickMark val="out"/>
        <c:minorTickMark val="none"/>
        <c:tickLblPos val="nextTo"/>
        <c:crossAx val="1514186576"/>
        <c:crosses val="autoZero"/>
        <c:crossBetween val="midCat"/>
      </c:valAx>
      <c:valAx>
        <c:axId val="1514186576"/>
        <c:scaling>
          <c:orientation val="maxMin"/>
        </c:scaling>
        <c:delete val="1"/>
        <c:axPos val="r"/>
        <c:numFmt formatCode="General" sourceLinked="1"/>
        <c:majorTickMark val="out"/>
        <c:minorTickMark val="none"/>
        <c:tickLblPos val="nextTo"/>
        <c:crossAx val="1514187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image" Target="../media/image2.png"/><Relationship Id="rId1" Type="http://schemas.openxmlformats.org/officeDocument/2006/relationships/chart" Target="../charts/chart7.xml"/><Relationship Id="rId4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jpeg"/><Relationship Id="rId2" Type="http://schemas.openxmlformats.org/officeDocument/2006/relationships/image" Target="../media/image5.jpe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openxmlformats.org/officeDocument/2006/relationships/image" Target="../media/image14.png"/><Relationship Id="rId5" Type="http://schemas.openxmlformats.org/officeDocument/2006/relationships/image" Target="../media/image8.png"/><Relationship Id="rId10" Type="http://schemas.openxmlformats.org/officeDocument/2006/relationships/image" Target="../media/image13.png"/><Relationship Id="rId4" Type="http://schemas.openxmlformats.org/officeDocument/2006/relationships/image" Target="../media/image7.png"/><Relationship Id="rId9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0</xdr:rowOff>
    </xdr:from>
    <xdr:to>
      <xdr:col>8</xdr:col>
      <xdr:colOff>0</xdr:colOff>
      <xdr:row>6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BCBB332-A22D-49E2-9998-FA9C92E3EEE0}"/>
            </a:ext>
            <a:ext uri="{147F2762-F138-4A5C-976F-8EAC2B608ADB}">
              <a16:predDERef xmlns:a16="http://schemas.microsoft.com/office/drawing/2014/main" pred="{59938CF0-65FA-4304-9871-9065534C007C}"/>
            </a:ext>
          </a:extLst>
        </xdr:cNvPr>
        <xdr:cNvSpPr txBox="1"/>
      </xdr:nvSpPr>
      <xdr:spPr>
        <a:xfrm>
          <a:off x="7581900" y="962025"/>
          <a:ext cx="0" cy="247650"/>
        </a:xfrm>
        <a:prstGeom prst="rect">
          <a:avLst/>
        </a:prstGeom>
        <a:solidFill>
          <a:schemeClr val="bg2">
            <a:lumMod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twoCellAnchor>
    <xdr:from>
      <xdr:col>5</xdr:col>
      <xdr:colOff>104775</xdr:colOff>
      <xdr:row>0</xdr:row>
      <xdr:rowOff>-1362075</xdr:rowOff>
    </xdr:from>
    <xdr:to>
      <xdr:col>5</xdr:col>
      <xdr:colOff>104775</xdr:colOff>
      <xdr:row>0</xdr:row>
      <xdr:rowOff>-1362075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26973BC-60C8-4F52-85C8-289340C852BE}"/>
            </a:ext>
            <a:ext uri="{147F2762-F138-4A5C-976F-8EAC2B608ADB}">
              <a16:predDERef xmlns:a16="http://schemas.microsoft.com/office/drawing/2014/main" pred="{F4897D82-C22A-4C20-AAED-BB55271ECADF}"/>
            </a:ext>
          </a:extLst>
        </xdr:cNvPr>
        <xdr:cNvSpPr txBox="1"/>
      </xdr:nvSpPr>
      <xdr:spPr>
        <a:xfrm>
          <a:off x="5191125" y="-1362075"/>
          <a:ext cx="0" cy="0"/>
        </a:xfrm>
        <a:prstGeom prst="rect">
          <a:avLst/>
        </a:prstGeom>
        <a:solidFill>
          <a:schemeClr val="bg2">
            <a:lumMod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twoCellAnchor>
    <xdr:from>
      <xdr:col>6</xdr:col>
      <xdr:colOff>19050</xdr:colOff>
      <xdr:row>8</xdr:row>
      <xdr:rowOff>19050</xdr:rowOff>
    </xdr:from>
    <xdr:to>
      <xdr:col>6</xdr:col>
      <xdr:colOff>800100</xdr:colOff>
      <xdr:row>8</xdr:row>
      <xdr:rowOff>152401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90C30D7-2825-4D0A-BFFB-3294E14A915E}"/>
            </a:ext>
            <a:ext uri="{147F2762-F138-4A5C-976F-8EAC2B608ADB}">
              <a16:predDERef xmlns:a16="http://schemas.microsoft.com/office/drawing/2014/main" pred="{E390ECED-EC39-4F72-B87A-EAB782E7FFD8}"/>
            </a:ext>
          </a:extLst>
        </xdr:cNvPr>
        <xdr:cNvSpPr txBox="1"/>
      </xdr:nvSpPr>
      <xdr:spPr>
        <a:xfrm>
          <a:off x="6181725" y="1571625"/>
          <a:ext cx="781050" cy="133351"/>
        </a:xfrm>
        <a:prstGeom prst="rect">
          <a:avLst/>
        </a:prstGeom>
        <a:pattFill prst="pct10">
          <a:fgClr>
            <a:schemeClr val="tx1"/>
          </a:fgClr>
          <a:bgClr>
            <a:schemeClr val="bg1"/>
          </a:bgClr>
        </a:pattFill>
        <a:ln w="158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GB" sz="1100"/>
        </a:p>
      </xdr:txBody>
    </xdr:sp>
    <xdr:clientData/>
  </xdr:twoCellAnchor>
  <xdr:twoCellAnchor>
    <xdr:from>
      <xdr:col>5</xdr:col>
      <xdr:colOff>0</xdr:colOff>
      <xdr:row>11</xdr:row>
      <xdr:rowOff>47625</xdr:rowOff>
    </xdr:from>
    <xdr:to>
      <xdr:col>6</xdr:col>
      <xdr:colOff>0</xdr:colOff>
      <xdr:row>12</xdr:row>
      <xdr:rowOff>142875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86CF264-07FB-4121-B67B-BCADA677ADC1}"/>
            </a:ext>
          </a:extLst>
        </xdr:cNvPr>
        <xdr:cNvSpPr txBox="1"/>
      </xdr:nvSpPr>
      <xdr:spPr>
        <a:xfrm>
          <a:off x="5086350" y="2200275"/>
          <a:ext cx="1076325" cy="295275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aseline="0"/>
            <a:t> </a:t>
          </a:r>
          <a:r>
            <a:rPr lang="en-GB" sz="1100" b="1"/>
            <a:t>claystone</a:t>
          </a:r>
        </a:p>
      </xdr:txBody>
    </xdr:sp>
    <xdr:clientData/>
  </xdr:twoCellAnchor>
  <xdr:twoCellAnchor>
    <xdr:from>
      <xdr:col>5</xdr:col>
      <xdr:colOff>0</xdr:colOff>
      <xdr:row>10</xdr:row>
      <xdr:rowOff>85725</xdr:rowOff>
    </xdr:from>
    <xdr:to>
      <xdr:col>6</xdr:col>
      <xdr:colOff>0</xdr:colOff>
      <xdr:row>11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1C5CF5B-2612-432C-BC37-8CFEA38A5F64}"/>
            </a:ext>
          </a:extLst>
        </xdr:cNvPr>
        <xdr:cNvSpPr txBox="1"/>
      </xdr:nvSpPr>
      <xdr:spPr>
        <a:xfrm>
          <a:off x="5086350" y="2038350"/>
          <a:ext cx="1076325" cy="161925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900" b="1"/>
            <a:t>  sandstone</a:t>
          </a:r>
        </a:p>
      </xdr:txBody>
    </xdr:sp>
    <xdr:clientData/>
  </xdr:twoCellAnchor>
  <xdr:twoCellAnchor>
    <xdr:from>
      <xdr:col>5</xdr:col>
      <xdr:colOff>0</xdr:colOff>
      <xdr:row>12</xdr:row>
      <xdr:rowOff>133350</xdr:rowOff>
    </xdr:from>
    <xdr:to>
      <xdr:col>6</xdr:col>
      <xdr:colOff>0</xdr:colOff>
      <xdr:row>14</xdr:row>
      <xdr:rowOff>161925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4591198-3ABB-45E1-BC07-F392DF635FC8}"/>
            </a:ext>
          </a:extLst>
        </xdr:cNvPr>
        <xdr:cNvSpPr txBox="1"/>
      </xdr:nvSpPr>
      <xdr:spPr>
        <a:xfrm>
          <a:off x="5086350" y="2486025"/>
          <a:ext cx="1076325" cy="428625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aseline="0"/>
            <a:t> </a:t>
          </a:r>
          <a:r>
            <a:rPr lang="en-GB" sz="1100" b="1" baseline="0"/>
            <a:t>shale</a:t>
          </a:r>
          <a:endParaRPr lang="en-GB" sz="1100" b="1"/>
        </a:p>
      </xdr:txBody>
    </xdr:sp>
    <xdr:clientData/>
  </xdr:twoCellAnchor>
  <xdr:twoCellAnchor>
    <xdr:from>
      <xdr:col>5</xdr:col>
      <xdr:colOff>0</xdr:colOff>
      <xdr:row>14</xdr:row>
      <xdr:rowOff>161924</xdr:rowOff>
    </xdr:from>
    <xdr:to>
      <xdr:col>6</xdr:col>
      <xdr:colOff>0</xdr:colOff>
      <xdr:row>17</xdr:row>
      <xdr:rowOff>9524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C7824E4-5DAC-4EF5-8B92-C63C9BF86325}"/>
            </a:ext>
          </a:extLst>
        </xdr:cNvPr>
        <xdr:cNvSpPr txBox="1"/>
      </xdr:nvSpPr>
      <xdr:spPr>
        <a:xfrm>
          <a:off x="5086350" y="2914649"/>
          <a:ext cx="1076325" cy="447675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aseline="0"/>
            <a:t> </a:t>
          </a:r>
          <a:r>
            <a:rPr lang="en-GB" sz="1100" b="1"/>
            <a:t>shale</a:t>
          </a:r>
        </a:p>
      </xdr:txBody>
    </xdr:sp>
    <xdr:clientData/>
  </xdr:twoCellAnchor>
  <xdr:twoCellAnchor>
    <xdr:from>
      <xdr:col>8</xdr:col>
      <xdr:colOff>304800</xdr:colOff>
      <xdr:row>25</xdr:row>
      <xdr:rowOff>152400</xdr:rowOff>
    </xdr:from>
    <xdr:to>
      <xdr:col>18</xdr:col>
      <xdr:colOff>161925</xdr:colOff>
      <xdr:row>49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66CFE3C-F744-4CEB-94A3-23E4CD3244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35</xdr:row>
      <xdr:rowOff>114300</xdr:rowOff>
    </xdr:from>
    <xdr:to>
      <xdr:col>10</xdr:col>
      <xdr:colOff>430950</xdr:colOff>
      <xdr:row>35</xdr:row>
      <xdr:rowOff>114300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AD37E2D6-B361-4452-AA39-7F2D03A68B09}"/>
            </a:ext>
          </a:extLst>
        </xdr:cNvPr>
        <xdr:cNvCxnSpPr/>
      </xdr:nvCxnSpPr>
      <xdr:spPr>
        <a:xfrm flipH="1">
          <a:off x="6981825" y="6953250"/>
          <a:ext cx="2583600" cy="0"/>
        </a:xfrm>
        <a:prstGeom prst="line">
          <a:avLst/>
        </a:prstGeom>
        <a:ln w="1905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152400</xdr:colOff>
      <xdr:row>33</xdr:row>
      <xdr:rowOff>85725</xdr:rowOff>
    </xdr:from>
    <xdr:to>
      <xdr:col>9</xdr:col>
      <xdr:colOff>1309200</xdr:colOff>
      <xdr:row>33</xdr:row>
      <xdr:rowOff>85725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288C4422-9DC7-43C4-8415-238642FC1A28}"/>
            </a:ext>
          </a:extLst>
        </xdr:cNvPr>
        <xdr:cNvCxnSpPr/>
      </xdr:nvCxnSpPr>
      <xdr:spPr>
        <a:xfrm flipH="1" flipV="1">
          <a:off x="7124700" y="6543675"/>
          <a:ext cx="2014050" cy="0"/>
        </a:xfrm>
        <a:prstGeom prst="line">
          <a:avLst/>
        </a:prstGeom>
        <a:ln w="1905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42</xdr:row>
      <xdr:rowOff>161925</xdr:rowOff>
    </xdr:from>
    <xdr:to>
      <xdr:col>12</xdr:col>
      <xdr:colOff>662700</xdr:colOff>
      <xdr:row>42</xdr:row>
      <xdr:rowOff>161925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C637B60E-DBA4-4612-8A6D-4C4993A8DC30}"/>
            </a:ext>
          </a:extLst>
        </xdr:cNvPr>
        <xdr:cNvCxnSpPr/>
      </xdr:nvCxnSpPr>
      <xdr:spPr>
        <a:xfrm flipH="1">
          <a:off x="6981825" y="8334375"/>
          <a:ext cx="4567950" cy="0"/>
        </a:xfrm>
        <a:prstGeom prst="line">
          <a:avLst/>
        </a:prstGeom>
        <a:ln w="1905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</xdr:row>
      <xdr:rowOff>9525</xdr:rowOff>
    </xdr:from>
    <xdr:to>
      <xdr:col>7</xdr:col>
      <xdr:colOff>0</xdr:colOff>
      <xdr:row>22</xdr:row>
      <xdr:rowOff>180975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3EB5435B-151F-4624-84D9-C871AD58DFF0}"/>
            </a:ext>
          </a:extLst>
        </xdr:cNvPr>
        <xdr:cNvGrpSpPr/>
      </xdr:nvGrpSpPr>
      <xdr:grpSpPr>
        <a:xfrm>
          <a:off x="11820525" y="971550"/>
          <a:ext cx="809625" cy="3562350"/>
          <a:chOff x="6162675" y="971550"/>
          <a:chExt cx="809625" cy="3562350"/>
        </a:xfrm>
      </xdr:grpSpPr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295F04C8-29FB-C0AF-48D8-A4AC96D3CA7B}"/>
              </a:ext>
              <a:ext uri="{147F2762-F138-4A5C-976F-8EAC2B608ADB}">
                <a16:predDERef xmlns:a16="http://schemas.microsoft.com/office/drawing/2014/main" pred="{FE128332-2F97-42F6-867C-814F54003C90}"/>
              </a:ext>
            </a:extLst>
          </xdr:cNvPr>
          <xdr:cNvSpPr txBox="1"/>
        </xdr:nvSpPr>
        <xdr:spPr>
          <a:xfrm>
            <a:off x="6172200" y="2914649"/>
            <a:ext cx="790576" cy="85726"/>
          </a:xfrm>
          <a:prstGeom prst="rect">
            <a:avLst/>
          </a:prstGeom>
          <a:pattFill prst="pct10">
            <a:fgClr>
              <a:schemeClr val="tx1"/>
            </a:fgClr>
            <a:bgClr>
              <a:schemeClr val="bg1"/>
            </a:bgClr>
          </a:pattFill>
          <a:ln w="1587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 sz="1100"/>
          </a:p>
        </xdr:txBody>
      </xdr:sp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D48FFA87-39F4-6920-532F-D2132FB332BD}"/>
              </a:ext>
            </a:extLst>
          </xdr:cNvPr>
          <xdr:cNvGrpSpPr/>
        </xdr:nvGrpSpPr>
        <xdr:grpSpPr>
          <a:xfrm>
            <a:off x="6162675" y="971550"/>
            <a:ext cx="809625" cy="3562350"/>
            <a:chOff x="6162675" y="971550"/>
            <a:chExt cx="809625" cy="3562350"/>
          </a:xfrm>
        </xdr:grpSpPr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1515563-4EA7-7450-4D17-492F3A94ADE8}"/>
                </a:ext>
                <a:ext uri="{147F2762-F138-4A5C-976F-8EAC2B608ADB}">
                  <a16:predDERef xmlns:a16="http://schemas.microsoft.com/office/drawing/2014/main" pred="{ED6C3E7A-B364-4DB1-B74E-CF98BB564B1F}"/>
                </a:ext>
              </a:extLst>
            </xdr:cNvPr>
            <xdr:cNvSpPr txBox="1"/>
          </xdr:nvSpPr>
          <xdr:spPr>
            <a:xfrm>
              <a:off x="6172200" y="971550"/>
              <a:ext cx="790576" cy="581025"/>
            </a:xfrm>
            <a:prstGeom prst="rect">
              <a:avLst/>
            </a:prstGeom>
            <a:pattFill prst="dashHorz">
              <a:fgClr>
                <a:schemeClr val="bg1">
                  <a:lumMod val="65000"/>
                </a:schemeClr>
              </a:fgClr>
              <a:bgClr>
                <a:schemeClr val="bg1"/>
              </a:bgClr>
            </a:pattFill>
            <a:ln w="1587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 sz="1100"/>
            </a:p>
          </xdr:txBody>
        </xdr:sp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7AA747B8-F263-4EAF-632C-036BECFC3AB1}"/>
                </a:ext>
                <a:ext uri="{147F2762-F138-4A5C-976F-8EAC2B608ADB}">
                  <a16:predDERef xmlns:a16="http://schemas.microsoft.com/office/drawing/2014/main" pred="{B2519FE9-4DB6-444C-A645-540B8B5D4396}"/>
                </a:ext>
              </a:extLst>
            </xdr:cNvPr>
            <xdr:cNvSpPr txBox="1"/>
          </xdr:nvSpPr>
          <xdr:spPr>
            <a:xfrm>
              <a:off x="6172199" y="1714500"/>
              <a:ext cx="790575" cy="285750"/>
            </a:xfrm>
            <a:prstGeom prst="rect">
              <a:avLst/>
            </a:prstGeom>
            <a:pattFill prst="dashHorz">
              <a:fgClr>
                <a:schemeClr val="bg1">
                  <a:lumMod val="65000"/>
                </a:schemeClr>
              </a:fgClr>
              <a:bgClr>
                <a:schemeClr val="bg1"/>
              </a:bgClr>
            </a:pattFill>
            <a:ln w="1587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 sz="1100"/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C649FA5-2134-DF47-E332-E035DDA7E1CC}"/>
                </a:ext>
                <a:ext uri="{147F2762-F138-4A5C-976F-8EAC2B608ADB}">
                  <a16:predDERef xmlns:a16="http://schemas.microsoft.com/office/drawing/2014/main" pred="{AA88A2F3-5B4D-41D3-8F2B-D99F80AF9582}"/>
                </a:ext>
              </a:extLst>
            </xdr:cNvPr>
            <xdr:cNvSpPr txBox="1"/>
          </xdr:nvSpPr>
          <xdr:spPr>
            <a:xfrm>
              <a:off x="6172200" y="2009775"/>
              <a:ext cx="790575" cy="190500"/>
            </a:xfrm>
            <a:prstGeom prst="rect">
              <a:avLst/>
            </a:prstGeom>
            <a:pattFill prst="pct10">
              <a:fgClr>
                <a:schemeClr val="tx1"/>
              </a:fgClr>
              <a:bgClr>
                <a:schemeClr val="bg1"/>
              </a:bgClr>
            </a:pattFill>
            <a:ln w="1587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 sz="1100"/>
            </a:p>
          </xdr:txBody>
        </xdr:sp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1DC42C9C-CDDB-C182-2009-8B3CF04D633F}"/>
                </a:ext>
                <a:ext uri="{147F2762-F138-4A5C-976F-8EAC2B608ADB}">
                  <a16:predDERef xmlns:a16="http://schemas.microsoft.com/office/drawing/2014/main" pred="{B0ECF50D-345E-4CC3-81A7-44A6AB55288F}"/>
                </a:ext>
              </a:extLst>
            </xdr:cNvPr>
            <xdr:cNvSpPr txBox="1"/>
          </xdr:nvSpPr>
          <xdr:spPr>
            <a:xfrm>
              <a:off x="6181725" y="2209800"/>
              <a:ext cx="781050" cy="304800"/>
            </a:xfrm>
            <a:prstGeom prst="rect">
              <a:avLst/>
            </a:prstGeom>
            <a:pattFill prst="dashHorz">
              <a:fgClr>
                <a:schemeClr val="bg1">
                  <a:lumMod val="65000"/>
                </a:schemeClr>
              </a:fgClr>
              <a:bgClr>
                <a:schemeClr val="bg1"/>
              </a:bgClr>
            </a:pattFill>
            <a:ln w="1587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 sz="1100"/>
            </a:p>
          </xdr:txBody>
        </xdr:sp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B8499233-205A-B0E1-51D3-48F254B25724}"/>
                </a:ext>
                <a:ext uri="{147F2762-F138-4A5C-976F-8EAC2B608ADB}">
                  <a16:predDERef xmlns:a16="http://schemas.microsoft.com/office/drawing/2014/main" pred="{0E3422F6-871A-481B-B86E-87DCFC7ACDEF}"/>
                </a:ext>
              </a:extLst>
            </xdr:cNvPr>
            <xdr:cNvSpPr txBox="1"/>
          </xdr:nvSpPr>
          <xdr:spPr>
            <a:xfrm>
              <a:off x="6172200" y="2495549"/>
              <a:ext cx="790575" cy="409576"/>
            </a:xfrm>
            <a:prstGeom prst="rect">
              <a:avLst/>
            </a:prstGeom>
            <a:pattFill prst="narHorz">
              <a:fgClr>
                <a:schemeClr val="bg2">
                  <a:lumMod val="25000"/>
                </a:schemeClr>
              </a:fgClr>
              <a:bgClr>
                <a:schemeClr val="bg1"/>
              </a:bgClr>
            </a:pattFill>
            <a:ln w="1587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 sz="1100"/>
            </a:p>
          </xdr:txBody>
        </xdr:sp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01543F29-7E67-C566-14B1-249A846D9D3A}"/>
                </a:ext>
                <a:ext uri="{147F2762-F138-4A5C-976F-8EAC2B608ADB}">
                  <a16:predDERef xmlns:a16="http://schemas.microsoft.com/office/drawing/2014/main" pred="{2EF42FFD-E467-4FA6-B691-3407460957E3}"/>
                </a:ext>
              </a:extLst>
            </xdr:cNvPr>
            <xdr:cNvSpPr txBox="1"/>
          </xdr:nvSpPr>
          <xdr:spPr>
            <a:xfrm>
              <a:off x="6162675" y="2981325"/>
              <a:ext cx="800100" cy="390525"/>
            </a:xfrm>
            <a:prstGeom prst="rect">
              <a:avLst/>
            </a:prstGeom>
            <a:pattFill prst="narHorz">
              <a:fgClr>
                <a:schemeClr val="bg2">
                  <a:lumMod val="25000"/>
                </a:schemeClr>
              </a:fgClr>
              <a:bgClr>
                <a:schemeClr val="bg1"/>
              </a:bgClr>
            </a:pattFill>
            <a:ln w="1587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 sz="1100"/>
            </a:p>
          </xdr:txBody>
        </xdr:sp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76C32943-03C4-07E8-822B-F1B73B4BEC3E}"/>
                </a:ext>
                <a:ext uri="{147F2762-F138-4A5C-976F-8EAC2B608ADB}">
                  <a16:predDERef xmlns:a16="http://schemas.microsoft.com/office/drawing/2014/main" pred="{0E1681B4-8317-4A80-A385-5307CAAADA11}"/>
                </a:ext>
              </a:extLst>
            </xdr:cNvPr>
            <xdr:cNvSpPr txBox="1"/>
          </xdr:nvSpPr>
          <xdr:spPr>
            <a:xfrm>
              <a:off x="6172199" y="3362324"/>
              <a:ext cx="790575" cy="400051"/>
            </a:xfrm>
            <a:prstGeom prst="rect">
              <a:avLst/>
            </a:prstGeom>
            <a:pattFill prst="pct10">
              <a:fgClr>
                <a:schemeClr val="tx1"/>
              </a:fgClr>
              <a:bgClr>
                <a:schemeClr val="bg1"/>
              </a:bgClr>
            </a:pattFill>
            <a:ln w="1587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 sz="1100"/>
            </a:p>
          </xdr:txBody>
        </xdr:sp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D3B117A-D21E-2D29-DE57-69DEAA371503}"/>
                </a:ext>
                <a:ext uri="{147F2762-F138-4A5C-976F-8EAC2B608ADB}">
                  <a16:predDERef xmlns:a16="http://schemas.microsoft.com/office/drawing/2014/main" pred="{847DFD8D-7F18-4CCB-B28A-33BEBC8557F3}"/>
                </a:ext>
              </a:extLst>
            </xdr:cNvPr>
            <xdr:cNvSpPr txBox="1"/>
          </xdr:nvSpPr>
          <xdr:spPr>
            <a:xfrm>
              <a:off x="6162675" y="4171949"/>
              <a:ext cx="800100" cy="161925"/>
            </a:xfrm>
            <a:prstGeom prst="rect">
              <a:avLst/>
            </a:prstGeom>
            <a:pattFill prst="dotDmnd">
              <a:fgClr>
                <a:schemeClr val="bg2">
                  <a:lumMod val="50000"/>
                </a:schemeClr>
              </a:fgClr>
              <a:bgClr>
                <a:schemeClr val="bg1"/>
              </a:bgClr>
            </a:pattFill>
            <a:ln w="1587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 sz="1100"/>
            </a:p>
          </xdr:txBody>
        </xdr:sp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7AFC9B3C-FF85-1AA3-C320-D8DAE6225981}"/>
                </a:ext>
                <a:ext uri="{147F2762-F138-4A5C-976F-8EAC2B608ADB}">
                  <a16:predDERef xmlns:a16="http://schemas.microsoft.com/office/drawing/2014/main" pred="{E5024298-1D1A-46A8-8D9E-80EDFAE686BE}"/>
                </a:ext>
              </a:extLst>
            </xdr:cNvPr>
            <xdr:cNvSpPr txBox="1"/>
          </xdr:nvSpPr>
          <xdr:spPr>
            <a:xfrm>
              <a:off x="6162676" y="3924301"/>
              <a:ext cx="800100" cy="238124"/>
            </a:xfrm>
            <a:prstGeom prst="rect">
              <a:avLst/>
            </a:prstGeom>
            <a:pattFill prst="horzBrick">
              <a:fgClr>
                <a:schemeClr val="bg2">
                  <a:lumMod val="25000"/>
                </a:schemeClr>
              </a:fgClr>
              <a:bgClr>
                <a:schemeClr val="bg1"/>
              </a:bgClr>
            </a:pattFill>
            <a:ln w="1587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 sz="1100"/>
            </a:p>
          </xdr:txBody>
        </xdr:sp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2F7709DD-8D53-92DB-00EC-13D6E2DAB088}"/>
                </a:ext>
                <a:ext uri="{147F2762-F138-4A5C-976F-8EAC2B608ADB}">
                  <a16:predDERef xmlns:a16="http://schemas.microsoft.com/office/drawing/2014/main" pred="{847DFD8D-7F18-4CCB-B28A-33BEBC8557F3}"/>
                </a:ext>
              </a:extLst>
            </xdr:cNvPr>
            <xdr:cNvSpPr txBox="1"/>
          </xdr:nvSpPr>
          <xdr:spPr>
            <a:xfrm>
              <a:off x="6172200" y="3771899"/>
              <a:ext cx="800100" cy="161925"/>
            </a:xfrm>
            <a:prstGeom prst="rect">
              <a:avLst/>
            </a:prstGeom>
            <a:pattFill prst="dotDmnd">
              <a:fgClr>
                <a:schemeClr val="bg2">
                  <a:lumMod val="50000"/>
                </a:schemeClr>
              </a:fgClr>
              <a:bgClr>
                <a:schemeClr val="bg1"/>
              </a:bgClr>
            </a:pattFill>
            <a:ln w="1587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 sz="1100"/>
            </a:p>
          </xdr:txBody>
        </xdr:sp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25257CA5-99A7-6329-C3FA-61D3310A037E}"/>
                </a:ext>
              </a:extLst>
            </xdr:cNvPr>
            <xdr:cNvSpPr txBox="1"/>
          </xdr:nvSpPr>
          <xdr:spPr>
            <a:xfrm>
              <a:off x="6172199" y="4352925"/>
              <a:ext cx="790575" cy="180975"/>
            </a:xfrm>
            <a:prstGeom prst="rect">
              <a:avLst/>
            </a:prstGeom>
            <a:pattFill prst="horzBrick">
              <a:fgClr>
                <a:schemeClr val="bg2">
                  <a:lumMod val="25000"/>
                </a:schemeClr>
              </a:fgClr>
              <a:bgClr>
                <a:schemeClr val="bg1"/>
              </a:bgClr>
            </a:patt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en-GB" sz="1100"/>
            </a:p>
          </xdr:txBody>
        </xdr:sp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6F2BF971-7194-B187-626C-8EB26D1E99E0}"/>
                </a:ext>
              </a:extLst>
            </xdr:cNvPr>
            <xdr:cNvSpPr txBox="1"/>
          </xdr:nvSpPr>
          <xdr:spPr>
            <a:xfrm>
              <a:off x="6172200" y="3552824"/>
              <a:ext cx="800100" cy="95251"/>
            </a:xfrm>
            <a:prstGeom prst="rect">
              <a:avLst/>
            </a:prstGeom>
            <a:pattFill prst="narHorz">
              <a:fgClr>
                <a:schemeClr val="bg2">
                  <a:lumMod val="25000"/>
                </a:schemeClr>
              </a:fgClr>
              <a:bgClr>
                <a:schemeClr val="bg1"/>
              </a:bgClr>
            </a:patt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en-GB" sz="1100"/>
            </a:p>
          </xdr:txBody>
        </xdr:sp>
      </xdr:grpSp>
    </xdr:grpSp>
    <xdr:clientData/>
  </xdr:twoCellAnchor>
  <xdr:twoCellAnchor editAs="oneCell">
    <xdr:from>
      <xdr:col>2</xdr:col>
      <xdr:colOff>66675</xdr:colOff>
      <xdr:row>28</xdr:row>
      <xdr:rowOff>0</xdr:rowOff>
    </xdr:from>
    <xdr:to>
      <xdr:col>5</xdr:col>
      <xdr:colOff>762689</xdr:colOff>
      <xdr:row>47</xdr:row>
      <xdr:rowOff>181505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8E89F0F-3B5C-488B-AF7B-5B4298CC8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5875" y="5505450"/>
          <a:ext cx="4934639" cy="380100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7</xdr:col>
      <xdr:colOff>19049</xdr:colOff>
      <xdr:row>29</xdr:row>
      <xdr:rowOff>38100</xdr:rowOff>
    </xdr:from>
    <xdr:to>
      <xdr:col>9</xdr:col>
      <xdr:colOff>419849</xdr:colOff>
      <xdr:row>29</xdr:row>
      <xdr:rowOff>38100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C6D5F3D3-34B1-4F35-B598-91C75E4BB3D8}"/>
            </a:ext>
          </a:extLst>
        </xdr:cNvPr>
        <xdr:cNvCxnSpPr/>
      </xdr:nvCxnSpPr>
      <xdr:spPr>
        <a:xfrm flipH="1">
          <a:off x="6991349" y="5734050"/>
          <a:ext cx="1620000" cy="0"/>
        </a:xfrm>
        <a:prstGeom prst="line">
          <a:avLst/>
        </a:prstGeom>
        <a:ln w="1905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52387</xdr:colOff>
      <xdr:row>33</xdr:row>
      <xdr:rowOff>80962</xdr:rowOff>
    </xdr:from>
    <xdr:to>
      <xdr:col>8</xdr:col>
      <xdr:colOff>295275</xdr:colOff>
      <xdr:row>35</xdr:row>
      <xdr:rowOff>104775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118B639-1041-48F1-B035-1319A8695D81}"/>
            </a:ext>
          </a:extLst>
        </xdr:cNvPr>
        <xdr:cNvSpPr txBox="1"/>
      </xdr:nvSpPr>
      <xdr:spPr>
        <a:xfrm>
          <a:off x="7024687" y="6538912"/>
          <a:ext cx="852488" cy="404813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900" b="1"/>
            <a:t>intermediate hole@4200ft</a:t>
          </a:r>
        </a:p>
      </xdr:txBody>
    </xdr:sp>
    <xdr:clientData/>
  </xdr:twoCellAnchor>
  <xdr:twoCellAnchor>
    <xdr:from>
      <xdr:col>7</xdr:col>
      <xdr:colOff>47625</xdr:colOff>
      <xdr:row>29</xdr:row>
      <xdr:rowOff>19050</xdr:rowOff>
    </xdr:from>
    <xdr:to>
      <xdr:col>8</xdr:col>
      <xdr:colOff>304800</xdr:colOff>
      <xdr:row>33</xdr:row>
      <xdr:rowOff>66675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C14EE74F-A6BC-43EA-91C5-65A8D473B433}"/>
            </a:ext>
          </a:extLst>
        </xdr:cNvPr>
        <xdr:cNvSpPr txBox="1"/>
      </xdr:nvSpPr>
      <xdr:spPr>
        <a:xfrm>
          <a:off x="7019925" y="5715000"/>
          <a:ext cx="866775" cy="809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00" b="1"/>
            <a:t>top hole </a:t>
          </a:r>
        </a:p>
        <a:p>
          <a:r>
            <a:rPr lang="en-GB" sz="1000" b="1"/>
            <a:t>section@</a:t>
          </a:r>
        </a:p>
        <a:p>
          <a:r>
            <a:rPr lang="en-GB" sz="1000" b="1"/>
            <a:t>2600ft</a:t>
          </a:r>
        </a:p>
      </xdr:txBody>
    </xdr:sp>
    <xdr:clientData/>
  </xdr:twoCellAnchor>
  <xdr:twoCellAnchor>
    <xdr:from>
      <xdr:col>7</xdr:col>
      <xdr:colOff>57150</xdr:colOff>
      <xdr:row>35</xdr:row>
      <xdr:rowOff>114300</xdr:rowOff>
    </xdr:from>
    <xdr:to>
      <xdr:col>8</xdr:col>
      <xdr:colOff>295275</xdr:colOff>
      <xdr:row>42</xdr:row>
      <xdr:rowOff>180975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C1D4F164-F17A-49C7-945B-8B5F1B542B24}"/>
            </a:ext>
          </a:extLst>
        </xdr:cNvPr>
        <xdr:cNvSpPr txBox="1"/>
      </xdr:nvSpPr>
      <xdr:spPr>
        <a:xfrm>
          <a:off x="7029450" y="6953250"/>
          <a:ext cx="847725" cy="1400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  <a:p>
          <a:endParaRPr lang="en-GB" sz="1100"/>
        </a:p>
        <a:p>
          <a:r>
            <a:rPr lang="en-GB" sz="1100" b="1"/>
            <a:t>bottom</a:t>
          </a:r>
          <a:r>
            <a:rPr lang="en-GB" sz="1100" b="1" baseline="0"/>
            <a:t> </a:t>
          </a:r>
          <a:r>
            <a:rPr lang="en-GB" sz="1100" b="1"/>
            <a:t>hole section @8600ft</a:t>
          </a:r>
        </a:p>
      </xdr:txBody>
    </xdr:sp>
    <xdr:clientData/>
  </xdr:twoCellAnchor>
  <xdr:twoCellAnchor>
    <xdr:from>
      <xdr:col>3</xdr:col>
      <xdr:colOff>1419224</xdr:colOff>
      <xdr:row>9</xdr:row>
      <xdr:rowOff>0</xdr:rowOff>
    </xdr:from>
    <xdr:to>
      <xdr:col>4</xdr:col>
      <xdr:colOff>1419224</xdr:colOff>
      <xdr:row>10</xdr:row>
      <xdr:rowOff>85725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1C4549F2-F457-4D98-936E-E4105AD201B6}"/>
            </a:ext>
          </a:extLst>
        </xdr:cNvPr>
        <xdr:cNvSpPr txBox="1"/>
      </xdr:nvSpPr>
      <xdr:spPr>
        <a:xfrm>
          <a:off x="3838574" y="1752600"/>
          <a:ext cx="1247775" cy="2857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  </a:t>
          </a:r>
          <a:r>
            <a:rPr lang="en-GB" sz="1200" b="1"/>
            <a:t>3220 - 3300 ft</a:t>
          </a:r>
        </a:p>
      </xdr:txBody>
    </xdr:sp>
    <xdr:clientData/>
  </xdr:twoCellAnchor>
  <xdr:twoCellAnchor>
    <xdr:from>
      <xdr:col>3</xdr:col>
      <xdr:colOff>1419224</xdr:colOff>
      <xdr:row>10</xdr:row>
      <xdr:rowOff>85725</xdr:rowOff>
    </xdr:from>
    <xdr:to>
      <xdr:col>4</xdr:col>
      <xdr:colOff>1419224</xdr:colOff>
      <xdr:row>11</xdr:row>
      <xdr:rowOff>47625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378E29C-8BAB-493D-8935-8FA118F33A9B}"/>
            </a:ext>
          </a:extLst>
        </xdr:cNvPr>
        <xdr:cNvSpPr txBox="1"/>
      </xdr:nvSpPr>
      <xdr:spPr>
        <a:xfrm>
          <a:off x="3838574" y="2038350"/>
          <a:ext cx="1247775" cy="16192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900"/>
            <a:t>   </a:t>
          </a:r>
          <a:r>
            <a:rPr lang="en-GB" sz="900" b="1"/>
            <a:t>3300 - 4100 ft</a:t>
          </a:r>
        </a:p>
      </xdr:txBody>
    </xdr:sp>
    <xdr:clientData/>
  </xdr:twoCellAnchor>
  <xdr:twoCellAnchor>
    <xdr:from>
      <xdr:col>3</xdr:col>
      <xdr:colOff>1304924</xdr:colOff>
      <xdr:row>11</xdr:row>
      <xdr:rowOff>47624</xdr:rowOff>
    </xdr:from>
    <xdr:to>
      <xdr:col>4</xdr:col>
      <xdr:colOff>1247774</xdr:colOff>
      <xdr:row>15</xdr:row>
      <xdr:rowOff>171449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AFBF7459-F721-4B8D-8338-DDE2A535A3E8}"/>
            </a:ext>
          </a:extLst>
        </xdr:cNvPr>
        <xdr:cNvSpPr txBox="1"/>
      </xdr:nvSpPr>
      <xdr:spPr>
        <a:xfrm>
          <a:off x="3838574" y="2200274"/>
          <a:ext cx="1247775" cy="92392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0"/>
            <a:t> </a:t>
          </a:r>
          <a:endParaRPr lang="en-GB" sz="1200" b="1"/>
        </a:p>
      </xdr:txBody>
    </xdr:sp>
    <xdr:clientData/>
  </xdr:twoCellAnchor>
  <xdr:twoCellAnchor>
    <xdr:from>
      <xdr:col>3</xdr:col>
      <xdr:colOff>1419224</xdr:colOff>
      <xdr:row>16</xdr:row>
      <xdr:rowOff>200024</xdr:rowOff>
    </xdr:from>
    <xdr:to>
      <xdr:col>4</xdr:col>
      <xdr:colOff>1419224</xdr:colOff>
      <xdr:row>19</xdr:row>
      <xdr:rowOff>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3F4C9812-8C28-4C6A-98FE-3F365F83017D}"/>
            </a:ext>
          </a:extLst>
        </xdr:cNvPr>
        <xdr:cNvSpPr txBox="1"/>
      </xdr:nvSpPr>
      <xdr:spPr>
        <a:xfrm>
          <a:off x="3838574" y="3352799"/>
          <a:ext cx="1247775" cy="400051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/>
            <a:t> </a:t>
          </a:r>
          <a:r>
            <a:rPr lang="en-GB" sz="1200" b="1"/>
            <a:t>8060 - 8400 ft </a:t>
          </a:r>
        </a:p>
      </xdr:txBody>
    </xdr:sp>
    <xdr:clientData/>
  </xdr:twoCellAnchor>
  <xdr:twoCellAnchor>
    <xdr:from>
      <xdr:col>3</xdr:col>
      <xdr:colOff>1304924</xdr:colOff>
      <xdr:row>15</xdr:row>
      <xdr:rowOff>85725</xdr:rowOff>
    </xdr:from>
    <xdr:to>
      <xdr:col>4</xdr:col>
      <xdr:colOff>1247774</xdr:colOff>
      <xdr:row>19</xdr:row>
      <xdr:rowOff>1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48748CA4-0666-4973-805B-46768D7E967E}"/>
            </a:ext>
          </a:extLst>
        </xdr:cNvPr>
        <xdr:cNvSpPr txBox="1"/>
      </xdr:nvSpPr>
      <xdr:spPr>
        <a:xfrm>
          <a:off x="3838574" y="3038475"/>
          <a:ext cx="1247775" cy="714376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0"/>
            <a:t> </a:t>
          </a:r>
        </a:p>
        <a:p>
          <a:r>
            <a:rPr lang="en-GB" sz="1200" b="0"/>
            <a:t> </a:t>
          </a:r>
          <a:r>
            <a:rPr lang="en-GB" sz="1200" b="1"/>
            <a:t>8060 - 8400 ft</a:t>
          </a:r>
        </a:p>
      </xdr:txBody>
    </xdr:sp>
    <xdr:clientData/>
  </xdr:twoCellAnchor>
  <xdr:twoCellAnchor>
    <xdr:from>
      <xdr:col>3</xdr:col>
      <xdr:colOff>1295399</xdr:colOff>
      <xdr:row>11</xdr:row>
      <xdr:rowOff>57149</xdr:rowOff>
    </xdr:from>
    <xdr:to>
      <xdr:col>4</xdr:col>
      <xdr:colOff>1238249</xdr:colOff>
      <xdr:row>16</xdr:row>
      <xdr:rowOff>76200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E68E9CC0-51C0-4517-8757-B06411FA7A9F}"/>
            </a:ext>
          </a:extLst>
        </xdr:cNvPr>
        <xdr:cNvSpPr txBox="1"/>
      </xdr:nvSpPr>
      <xdr:spPr>
        <a:xfrm>
          <a:off x="3829049" y="2209799"/>
          <a:ext cx="1247775" cy="1019176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0"/>
            <a:t> </a:t>
          </a:r>
        </a:p>
        <a:p>
          <a:r>
            <a:rPr lang="en-GB" sz="1200" b="1"/>
            <a:t>4100 - 7700 ft</a:t>
          </a:r>
        </a:p>
        <a:p>
          <a:r>
            <a:rPr lang="en-GB" sz="1200" b="0"/>
            <a:t> </a:t>
          </a:r>
          <a:endParaRPr lang="en-GB" sz="1200" b="1"/>
        </a:p>
      </xdr:txBody>
    </xdr:sp>
    <xdr:clientData/>
  </xdr:twoCellAnchor>
  <xdr:twoCellAnchor editAs="oneCell">
    <xdr:from>
      <xdr:col>3</xdr:col>
      <xdr:colOff>438150</xdr:colOff>
      <xdr:row>123</xdr:row>
      <xdr:rowOff>0</xdr:rowOff>
    </xdr:from>
    <xdr:to>
      <xdr:col>10</xdr:col>
      <xdr:colOff>725612</xdr:colOff>
      <xdr:row>154</xdr:row>
      <xdr:rowOff>162772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7F564C02-592C-4257-8014-B89131767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71800" y="23622000"/>
          <a:ext cx="12269912" cy="6068272"/>
        </a:xfrm>
        <a:prstGeom prst="rect">
          <a:avLst/>
        </a:prstGeom>
      </xdr:spPr>
    </xdr:pic>
    <xdr:clientData/>
  </xdr:twoCellAnchor>
  <xdr:twoCellAnchor>
    <xdr:from>
      <xdr:col>9</xdr:col>
      <xdr:colOff>371488</xdr:colOff>
      <xdr:row>63</xdr:row>
      <xdr:rowOff>9516</xdr:rowOff>
    </xdr:from>
    <xdr:to>
      <xdr:col>9</xdr:col>
      <xdr:colOff>619155</xdr:colOff>
      <xdr:row>70</xdr:row>
      <xdr:rowOff>123825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2785C87C-677A-4D38-BC0E-DB6306722429}"/>
            </a:ext>
          </a:extLst>
        </xdr:cNvPr>
        <xdr:cNvGrpSpPr/>
      </xdr:nvGrpSpPr>
      <xdr:grpSpPr>
        <a:xfrm>
          <a:off x="14220838" y="12201516"/>
          <a:ext cx="247667" cy="1447809"/>
          <a:chOff x="8648702" y="12215015"/>
          <a:chExt cx="119781" cy="394605"/>
        </a:xfrm>
      </xdr:grpSpPr>
      <xdr:cxnSp macro="">
        <xdr:nvCxnSpPr>
          <xdr:cNvPr id="41" name="Straight Connector 40">
            <a:extLst>
              <a:ext uri="{FF2B5EF4-FFF2-40B4-BE49-F238E27FC236}">
                <a16:creationId xmlns:a16="http://schemas.microsoft.com/office/drawing/2014/main" id="{EFE7C3D3-1F62-0986-D061-A9AAC53A2C49}"/>
              </a:ext>
            </a:extLst>
          </xdr:cNvPr>
          <xdr:cNvCxnSpPr/>
        </xdr:nvCxnSpPr>
        <xdr:spPr>
          <a:xfrm>
            <a:off x="8648702" y="12215015"/>
            <a:ext cx="8218" cy="391704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2" name="Right Triangle 41">
            <a:extLst>
              <a:ext uri="{FF2B5EF4-FFF2-40B4-BE49-F238E27FC236}">
                <a16:creationId xmlns:a16="http://schemas.microsoft.com/office/drawing/2014/main" id="{1A0AF486-BFEB-09AA-FB63-4B9F2FC61A4A}"/>
              </a:ext>
            </a:extLst>
          </xdr:cNvPr>
          <xdr:cNvSpPr/>
        </xdr:nvSpPr>
        <xdr:spPr>
          <a:xfrm>
            <a:off x="8668559" y="12568951"/>
            <a:ext cx="99924" cy="40669"/>
          </a:xfrm>
          <a:prstGeom prst="rtTriangl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9</xdr:col>
      <xdr:colOff>266685</xdr:colOff>
      <xdr:row>63</xdr:row>
      <xdr:rowOff>9524</xdr:rowOff>
    </xdr:from>
    <xdr:to>
      <xdr:col>9</xdr:col>
      <xdr:colOff>523875</xdr:colOff>
      <xdr:row>72</xdr:row>
      <xdr:rowOff>57149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3F703E85-D34D-4C72-8B23-A7694FBF8542}"/>
            </a:ext>
          </a:extLst>
        </xdr:cNvPr>
        <xdr:cNvGrpSpPr/>
      </xdr:nvGrpSpPr>
      <xdr:grpSpPr>
        <a:xfrm>
          <a:off x="14116035" y="12201524"/>
          <a:ext cx="257190" cy="1762125"/>
          <a:chOff x="8648702" y="12215015"/>
          <a:chExt cx="191682" cy="391704"/>
        </a:xfrm>
      </xdr:grpSpPr>
      <xdr:cxnSp macro="">
        <xdr:nvCxnSpPr>
          <xdr:cNvPr id="44" name="Straight Connector 43">
            <a:extLst>
              <a:ext uri="{FF2B5EF4-FFF2-40B4-BE49-F238E27FC236}">
                <a16:creationId xmlns:a16="http://schemas.microsoft.com/office/drawing/2014/main" id="{09966F5F-B637-CC37-0400-6E7A13633B8F}"/>
              </a:ext>
            </a:extLst>
          </xdr:cNvPr>
          <xdr:cNvCxnSpPr/>
        </xdr:nvCxnSpPr>
        <xdr:spPr>
          <a:xfrm>
            <a:off x="8648702" y="12215015"/>
            <a:ext cx="8218" cy="391704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5" name="Right Triangle 44">
            <a:extLst>
              <a:ext uri="{FF2B5EF4-FFF2-40B4-BE49-F238E27FC236}">
                <a16:creationId xmlns:a16="http://schemas.microsoft.com/office/drawing/2014/main" id="{C4A83CE9-294D-390E-78F9-9FF0BDF1A050}"/>
              </a:ext>
            </a:extLst>
          </xdr:cNvPr>
          <xdr:cNvSpPr/>
        </xdr:nvSpPr>
        <xdr:spPr>
          <a:xfrm>
            <a:off x="8666956" y="12578740"/>
            <a:ext cx="173428" cy="22835"/>
          </a:xfrm>
          <a:prstGeom prst="rtTriangl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12</xdr:col>
      <xdr:colOff>390524</xdr:colOff>
      <xdr:row>60</xdr:row>
      <xdr:rowOff>142875</xdr:rowOff>
    </xdr:from>
    <xdr:to>
      <xdr:col>13</xdr:col>
      <xdr:colOff>542925</xdr:colOff>
      <xdr:row>61</xdr:row>
      <xdr:rowOff>171451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EB4A5775-DDEC-4A50-87BF-E0A4B8524991}"/>
            </a:ext>
          </a:extLst>
        </xdr:cNvPr>
        <xdr:cNvSpPr txBox="1"/>
      </xdr:nvSpPr>
      <xdr:spPr>
        <a:xfrm>
          <a:off x="11277599" y="11763375"/>
          <a:ext cx="1085851" cy="2190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pressure (psi)</a:t>
          </a:r>
        </a:p>
      </xdr:txBody>
    </xdr:sp>
    <xdr:clientData/>
  </xdr:twoCellAnchor>
  <xdr:twoCellAnchor>
    <xdr:from>
      <xdr:col>12</xdr:col>
      <xdr:colOff>266700</xdr:colOff>
      <xdr:row>67</xdr:row>
      <xdr:rowOff>95251</xdr:rowOff>
    </xdr:from>
    <xdr:to>
      <xdr:col>12</xdr:col>
      <xdr:colOff>542925</xdr:colOff>
      <xdr:row>68</xdr:row>
      <xdr:rowOff>104775</xdr:rowOff>
    </xdr:to>
    <xdr:cxnSp macro="">
      <xdr:nvCxnSpPr>
        <xdr:cNvPr id="48" name="Straight Arrow Connector 80">
          <a:extLst>
            <a:ext uri="{FF2B5EF4-FFF2-40B4-BE49-F238E27FC236}">
              <a16:creationId xmlns:a16="http://schemas.microsoft.com/office/drawing/2014/main" id="{4EFCDB64-E2B3-46B1-B7F8-1D1C95DF2FCF}"/>
            </a:ext>
          </a:extLst>
        </xdr:cNvPr>
        <xdr:cNvCxnSpPr>
          <a:cxnSpLocks/>
        </xdr:cNvCxnSpPr>
      </xdr:nvCxnSpPr>
      <xdr:spPr>
        <a:xfrm flipH="1">
          <a:off x="11153775" y="13049251"/>
          <a:ext cx="276225" cy="20002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723900</xdr:colOff>
      <xdr:row>71</xdr:row>
      <xdr:rowOff>104776</xdr:rowOff>
    </xdr:from>
    <xdr:to>
      <xdr:col>12</xdr:col>
      <xdr:colOff>133350</xdr:colOff>
      <xdr:row>73</xdr:row>
      <xdr:rowOff>38100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0B758A6D-F59B-4F82-9EE7-7C0C7F0D32C9}"/>
            </a:ext>
          </a:extLst>
        </xdr:cNvPr>
        <xdr:cNvCxnSpPr/>
      </xdr:nvCxnSpPr>
      <xdr:spPr>
        <a:xfrm flipH="1">
          <a:off x="10829925" y="13820776"/>
          <a:ext cx="190500" cy="31432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73</xdr:row>
      <xdr:rowOff>85725</xdr:rowOff>
    </xdr:from>
    <xdr:to>
      <xdr:col>12</xdr:col>
      <xdr:colOff>552450</xdr:colOff>
      <xdr:row>74</xdr:row>
      <xdr:rowOff>114300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56CD9119-C63E-4432-BEAD-BADC497C1DF2}"/>
            </a:ext>
          </a:extLst>
        </xdr:cNvPr>
        <xdr:cNvCxnSpPr/>
      </xdr:nvCxnSpPr>
      <xdr:spPr>
        <a:xfrm flipH="1">
          <a:off x="11153775" y="14182725"/>
          <a:ext cx="285750" cy="2190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152400</xdr:colOff>
      <xdr:row>76</xdr:row>
      <xdr:rowOff>104775</xdr:rowOff>
    </xdr:from>
    <xdr:to>
      <xdr:col>12</xdr:col>
      <xdr:colOff>657225</xdr:colOff>
      <xdr:row>79</xdr:row>
      <xdr:rowOff>9525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35B89E0A-1DA9-418A-8F3A-63E159C6DD96}"/>
            </a:ext>
          </a:extLst>
        </xdr:cNvPr>
        <xdr:cNvCxnSpPr/>
      </xdr:nvCxnSpPr>
      <xdr:spPr>
        <a:xfrm flipH="1">
          <a:off x="11039475" y="14773275"/>
          <a:ext cx="504825" cy="4762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619125</xdr:colOff>
      <xdr:row>79</xdr:row>
      <xdr:rowOff>123825</xdr:rowOff>
    </xdr:from>
    <xdr:to>
      <xdr:col>11</xdr:col>
      <xdr:colOff>885825</xdr:colOff>
      <xdr:row>79</xdr:row>
      <xdr:rowOff>180975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754353D2-A1DD-4E49-A438-14A8A03A72AF}"/>
            </a:ext>
          </a:extLst>
        </xdr:cNvPr>
        <xdr:cNvCxnSpPr/>
      </xdr:nvCxnSpPr>
      <xdr:spPr>
        <a:xfrm flipV="1">
          <a:off x="10725150" y="15363825"/>
          <a:ext cx="161925" cy="571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3175</xdr:colOff>
      <xdr:row>62</xdr:row>
      <xdr:rowOff>180975</xdr:rowOff>
    </xdr:from>
    <xdr:to>
      <xdr:col>16</xdr:col>
      <xdr:colOff>571499</xdr:colOff>
      <xdr:row>84</xdr:row>
      <xdr:rowOff>38100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FEE48D14-585C-4CAA-A60C-691343DEB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428627</xdr:colOff>
      <xdr:row>63</xdr:row>
      <xdr:rowOff>23015</xdr:rowOff>
    </xdr:from>
    <xdr:to>
      <xdr:col>9</xdr:col>
      <xdr:colOff>647692</xdr:colOff>
      <xdr:row>65</xdr:row>
      <xdr:rowOff>33719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E76B744C-A380-4539-AD88-4EE86B480131}"/>
            </a:ext>
          </a:extLst>
        </xdr:cNvPr>
        <xdr:cNvGrpSpPr/>
      </xdr:nvGrpSpPr>
      <xdr:grpSpPr>
        <a:xfrm>
          <a:off x="14277977" y="12215015"/>
          <a:ext cx="219065" cy="391704"/>
          <a:chOff x="8648702" y="12215015"/>
          <a:chExt cx="219065" cy="391704"/>
        </a:xfrm>
      </xdr:grpSpPr>
      <xdr:cxnSp macro="">
        <xdr:nvCxnSpPr>
          <xdr:cNvPr id="55" name="Straight Connector 54">
            <a:extLst>
              <a:ext uri="{FF2B5EF4-FFF2-40B4-BE49-F238E27FC236}">
                <a16:creationId xmlns:a16="http://schemas.microsoft.com/office/drawing/2014/main" id="{110ED992-CA1B-B429-B5A1-75B83755B638}"/>
              </a:ext>
            </a:extLst>
          </xdr:cNvPr>
          <xdr:cNvCxnSpPr/>
        </xdr:nvCxnSpPr>
        <xdr:spPr>
          <a:xfrm>
            <a:off x="8648702" y="12215015"/>
            <a:ext cx="8218" cy="391704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6" name="Right Triangle 55">
            <a:extLst>
              <a:ext uri="{FF2B5EF4-FFF2-40B4-BE49-F238E27FC236}">
                <a16:creationId xmlns:a16="http://schemas.microsoft.com/office/drawing/2014/main" id="{1CB87CD2-45DB-1288-D049-12A24C6E11DB}"/>
              </a:ext>
            </a:extLst>
          </xdr:cNvPr>
          <xdr:cNvSpPr/>
        </xdr:nvSpPr>
        <xdr:spPr>
          <a:xfrm>
            <a:off x="8665147" y="12475966"/>
            <a:ext cx="202620" cy="125609"/>
          </a:xfrm>
          <a:prstGeom prst="rtTriangl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9</xdr:col>
      <xdr:colOff>161910</xdr:colOff>
      <xdr:row>63</xdr:row>
      <xdr:rowOff>13488</xdr:rowOff>
    </xdr:from>
    <xdr:to>
      <xdr:col>9</xdr:col>
      <xdr:colOff>419100</xdr:colOff>
      <xdr:row>79</xdr:row>
      <xdr:rowOff>38099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1EE3F43C-F7F0-489C-845E-AC1CB0A6D10C}"/>
            </a:ext>
          </a:extLst>
        </xdr:cNvPr>
        <xdr:cNvGrpSpPr/>
      </xdr:nvGrpSpPr>
      <xdr:grpSpPr>
        <a:xfrm>
          <a:off x="14011260" y="12205488"/>
          <a:ext cx="257190" cy="3072611"/>
          <a:chOff x="8648702" y="12215015"/>
          <a:chExt cx="191682" cy="391704"/>
        </a:xfrm>
      </xdr:grpSpPr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A01C59F2-B49A-656F-27D7-7B62AA3C64C0}"/>
              </a:ext>
            </a:extLst>
          </xdr:cNvPr>
          <xdr:cNvCxnSpPr/>
        </xdr:nvCxnSpPr>
        <xdr:spPr>
          <a:xfrm>
            <a:off x="8648702" y="12215015"/>
            <a:ext cx="8218" cy="391704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9" name="Right Triangle 58">
            <a:extLst>
              <a:ext uri="{FF2B5EF4-FFF2-40B4-BE49-F238E27FC236}">
                <a16:creationId xmlns:a16="http://schemas.microsoft.com/office/drawing/2014/main" id="{71118A50-87F8-9F63-290F-398FB36CC903}"/>
              </a:ext>
            </a:extLst>
          </xdr:cNvPr>
          <xdr:cNvSpPr/>
        </xdr:nvSpPr>
        <xdr:spPr>
          <a:xfrm>
            <a:off x="8666956" y="12591914"/>
            <a:ext cx="173428" cy="13061"/>
          </a:xfrm>
          <a:prstGeom prst="rtTriangl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8</xdr:col>
      <xdr:colOff>66660</xdr:colOff>
      <xdr:row>73</xdr:row>
      <xdr:rowOff>28574</xdr:rowOff>
    </xdr:from>
    <xdr:to>
      <xdr:col>8</xdr:col>
      <xdr:colOff>323850</xdr:colOff>
      <xdr:row>81</xdr:row>
      <xdr:rowOff>142875</xdr:rowOff>
    </xdr:to>
    <xdr:grpSp>
      <xdr:nvGrpSpPr>
        <xdr:cNvPr id="60" name="Group 59">
          <a:extLst>
            <a:ext uri="{FF2B5EF4-FFF2-40B4-BE49-F238E27FC236}">
              <a16:creationId xmlns:a16="http://schemas.microsoft.com/office/drawing/2014/main" id="{3FD62571-0D2C-4C6D-A226-268C8829AC11}"/>
            </a:ext>
          </a:extLst>
        </xdr:cNvPr>
        <xdr:cNvGrpSpPr/>
      </xdr:nvGrpSpPr>
      <xdr:grpSpPr>
        <a:xfrm flipH="1">
          <a:off x="13306410" y="14125574"/>
          <a:ext cx="257190" cy="1638301"/>
          <a:chOff x="8277210" y="14116050"/>
          <a:chExt cx="257190" cy="1419225"/>
        </a:xfrm>
      </xdr:grpSpPr>
      <xdr:grpSp>
        <xdr:nvGrpSpPr>
          <xdr:cNvPr id="61" name="Group 60">
            <a:extLst>
              <a:ext uri="{FF2B5EF4-FFF2-40B4-BE49-F238E27FC236}">
                <a16:creationId xmlns:a16="http://schemas.microsoft.com/office/drawing/2014/main" id="{6394145C-9005-3AF9-1919-57616DAE714B}"/>
              </a:ext>
            </a:extLst>
          </xdr:cNvPr>
          <xdr:cNvGrpSpPr/>
        </xdr:nvGrpSpPr>
        <xdr:grpSpPr>
          <a:xfrm>
            <a:off x="8277210" y="14125576"/>
            <a:ext cx="257190" cy="1409699"/>
            <a:chOff x="8648702" y="12215015"/>
            <a:chExt cx="191682" cy="391704"/>
          </a:xfrm>
        </xdr:grpSpPr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251D4124-E95D-0536-E8BE-0D93BC6C887F}"/>
                </a:ext>
              </a:extLst>
            </xdr:cNvPr>
            <xdr:cNvCxnSpPr/>
          </xdr:nvCxnSpPr>
          <xdr:spPr>
            <a:xfrm>
              <a:off x="8648702" y="12215015"/>
              <a:ext cx="8218" cy="391704"/>
            </a:xfrm>
            <a:prstGeom prst="line">
              <a:avLst/>
            </a:prstGeom>
            <a:ln w="2857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4" name="Right Triangle 63">
              <a:extLst>
                <a:ext uri="{FF2B5EF4-FFF2-40B4-BE49-F238E27FC236}">
                  <a16:creationId xmlns:a16="http://schemas.microsoft.com/office/drawing/2014/main" id="{1D0F225A-5411-FDED-AA97-9F2C80AD7C8D}"/>
                </a:ext>
              </a:extLst>
            </xdr:cNvPr>
            <xdr:cNvSpPr/>
          </xdr:nvSpPr>
          <xdr:spPr>
            <a:xfrm>
              <a:off x="8666956" y="12580557"/>
              <a:ext cx="173428" cy="24418"/>
            </a:xfrm>
            <a:prstGeom prst="rtTriangle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</xdr:grpSp>
      <xdr:sp macro="" textlink="">
        <xdr:nvSpPr>
          <xdr:cNvPr id="62" name="Rectangle 61">
            <a:extLst>
              <a:ext uri="{FF2B5EF4-FFF2-40B4-BE49-F238E27FC236}">
                <a16:creationId xmlns:a16="http://schemas.microsoft.com/office/drawing/2014/main" id="{699EBEDF-10B3-7086-7423-6DCCDF3A170B}"/>
              </a:ext>
            </a:extLst>
          </xdr:cNvPr>
          <xdr:cNvSpPr/>
        </xdr:nvSpPr>
        <xdr:spPr>
          <a:xfrm>
            <a:off x="8296275" y="14116050"/>
            <a:ext cx="76200" cy="133350"/>
          </a:xfrm>
          <a:prstGeom prst="rect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10</xdr:col>
      <xdr:colOff>933450</xdr:colOff>
      <xdr:row>76</xdr:row>
      <xdr:rowOff>180975</xdr:rowOff>
    </xdr:from>
    <xdr:to>
      <xdr:col>12</xdr:col>
      <xdr:colOff>180975</xdr:colOff>
      <xdr:row>78</xdr:row>
      <xdr:rowOff>28576</xdr:rowOff>
    </xdr:to>
    <xdr:sp macro="" textlink="">
      <xdr:nvSpPr>
        <xdr:cNvPr id="65" name="TextBox 67">
          <a:extLst>
            <a:ext uri="{FF2B5EF4-FFF2-40B4-BE49-F238E27FC236}">
              <a16:creationId xmlns:a16="http://schemas.microsoft.com/office/drawing/2014/main" id="{E8832F0D-6D33-459B-979C-6E32D03CE862}"/>
            </a:ext>
          </a:extLst>
        </xdr:cNvPr>
        <xdr:cNvSpPr txBox="1"/>
      </xdr:nvSpPr>
      <xdr:spPr>
        <a:xfrm>
          <a:off x="10067925" y="14849475"/>
          <a:ext cx="1000125" cy="2286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pore pressure</a:t>
          </a:r>
        </a:p>
      </xdr:txBody>
    </xdr:sp>
    <xdr:clientData/>
  </xdr:twoCellAnchor>
  <xdr:twoCellAnchor>
    <xdr:from>
      <xdr:col>14</xdr:col>
      <xdr:colOff>561974</xdr:colOff>
      <xdr:row>76</xdr:row>
      <xdr:rowOff>95249</xdr:rowOff>
    </xdr:from>
    <xdr:to>
      <xdr:col>17</xdr:col>
      <xdr:colOff>152400</xdr:colOff>
      <xdr:row>77</xdr:row>
      <xdr:rowOff>142874</xdr:rowOff>
    </xdr:to>
    <xdr:sp macro="" textlink="">
      <xdr:nvSpPr>
        <xdr:cNvPr id="66" name="TextBox 69">
          <a:extLst>
            <a:ext uri="{FF2B5EF4-FFF2-40B4-BE49-F238E27FC236}">
              <a16:creationId xmlns:a16="http://schemas.microsoft.com/office/drawing/2014/main" id="{CCD2C183-B925-455D-9DB5-D0B05EC31A2B}"/>
            </a:ext>
          </a:extLst>
        </xdr:cNvPr>
        <xdr:cNvSpPr txBox="1"/>
      </xdr:nvSpPr>
      <xdr:spPr>
        <a:xfrm>
          <a:off x="13096874" y="14763749"/>
          <a:ext cx="1419226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kick margin (-0.5ppg)</a:t>
          </a:r>
        </a:p>
      </xdr:txBody>
    </xdr:sp>
    <xdr:clientData/>
  </xdr:twoCellAnchor>
  <xdr:twoCellAnchor>
    <xdr:from>
      <xdr:col>14</xdr:col>
      <xdr:colOff>9524</xdr:colOff>
      <xdr:row>73</xdr:row>
      <xdr:rowOff>66674</xdr:rowOff>
    </xdr:from>
    <xdr:to>
      <xdr:col>16</xdr:col>
      <xdr:colOff>57149</xdr:colOff>
      <xdr:row>74</xdr:row>
      <xdr:rowOff>142875</xdr:rowOff>
    </xdr:to>
    <xdr:sp macro="" textlink="">
      <xdr:nvSpPr>
        <xdr:cNvPr id="67" name="TextBox 70">
          <a:extLst>
            <a:ext uri="{FF2B5EF4-FFF2-40B4-BE49-F238E27FC236}">
              <a16:creationId xmlns:a16="http://schemas.microsoft.com/office/drawing/2014/main" id="{55717CE4-C838-4472-9613-031ED267EF70}"/>
            </a:ext>
          </a:extLst>
        </xdr:cNvPr>
        <xdr:cNvSpPr txBox="1"/>
      </xdr:nvSpPr>
      <xdr:spPr>
        <a:xfrm>
          <a:off x="12544424" y="14163674"/>
          <a:ext cx="1266825" cy="2667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fracture</a:t>
          </a:r>
          <a:r>
            <a:rPr lang="en-GB" sz="1100" baseline="0"/>
            <a:t> pressure</a:t>
          </a:r>
          <a:endParaRPr lang="en-GB" sz="1100"/>
        </a:p>
      </xdr:txBody>
    </xdr:sp>
    <xdr:clientData/>
  </xdr:twoCellAnchor>
  <xdr:twoCellAnchor>
    <xdr:from>
      <xdr:col>13</xdr:col>
      <xdr:colOff>628649</xdr:colOff>
      <xdr:row>79</xdr:row>
      <xdr:rowOff>38099</xdr:rowOff>
    </xdr:from>
    <xdr:to>
      <xdr:col>16</xdr:col>
      <xdr:colOff>600075</xdr:colOff>
      <xdr:row>80</xdr:row>
      <xdr:rowOff>114300</xdr:rowOff>
    </xdr:to>
    <xdr:sp macro="" textlink="">
      <xdr:nvSpPr>
        <xdr:cNvPr id="68" name="TextBox 71">
          <a:extLst>
            <a:ext uri="{FF2B5EF4-FFF2-40B4-BE49-F238E27FC236}">
              <a16:creationId xmlns:a16="http://schemas.microsoft.com/office/drawing/2014/main" id="{2E6D9AC6-8F76-4778-87FB-67E87223331F}"/>
            </a:ext>
          </a:extLst>
        </xdr:cNvPr>
        <xdr:cNvSpPr txBox="1"/>
      </xdr:nvSpPr>
      <xdr:spPr>
        <a:xfrm>
          <a:off x="12449174" y="15278099"/>
          <a:ext cx="1905001" cy="2667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overbalance pressure +0.5ppg</a:t>
          </a:r>
        </a:p>
      </xdr:txBody>
    </xdr:sp>
    <xdr:clientData/>
  </xdr:twoCellAnchor>
  <xdr:twoCellAnchor>
    <xdr:from>
      <xdr:col>12</xdr:col>
      <xdr:colOff>581024</xdr:colOff>
      <xdr:row>71</xdr:row>
      <xdr:rowOff>57150</xdr:rowOff>
    </xdr:from>
    <xdr:to>
      <xdr:col>15</xdr:col>
      <xdr:colOff>266700</xdr:colOff>
      <xdr:row>72</xdr:row>
      <xdr:rowOff>76200</xdr:rowOff>
    </xdr:to>
    <xdr:sp macro="" textlink="">
      <xdr:nvSpPr>
        <xdr:cNvPr id="69" name="TextBox 72">
          <a:extLst>
            <a:ext uri="{FF2B5EF4-FFF2-40B4-BE49-F238E27FC236}">
              <a16:creationId xmlns:a16="http://schemas.microsoft.com/office/drawing/2014/main" id="{A3006733-996C-4E2B-8ACA-93ACB11C51B5}"/>
            </a:ext>
          </a:extLst>
        </xdr:cNvPr>
        <xdr:cNvSpPr txBox="1"/>
      </xdr:nvSpPr>
      <xdr:spPr>
        <a:xfrm>
          <a:off x="11468099" y="13773150"/>
          <a:ext cx="1943101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hydrastatic pressure 0.45psi/ft</a:t>
          </a:r>
          <a:r>
            <a:rPr lang="en-GB" sz="1100" baseline="0"/>
            <a:t> pressure</a:t>
          </a:r>
          <a:endParaRPr lang="en-GB" sz="1100"/>
        </a:p>
      </xdr:txBody>
    </xdr:sp>
    <xdr:clientData/>
  </xdr:twoCellAnchor>
  <xdr:twoCellAnchor>
    <xdr:from>
      <xdr:col>12</xdr:col>
      <xdr:colOff>47625</xdr:colOff>
      <xdr:row>71</xdr:row>
      <xdr:rowOff>161925</xdr:rowOff>
    </xdr:from>
    <xdr:to>
      <xdr:col>12</xdr:col>
      <xdr:colOff>581024</xdr:colOff>
      <xdr:row>74</xdr:row>
      <xdr:rowOff>152400</xdr:rowOff>
    </xdr:to>
    <xdr:cxnSp macro="">
      <xdr:nvCxnSpPr>
        <xdr:cNvPr id="70" name="Straight Arrow Connector 137">
          <a:extLst>
            <a:ext uri="{FF2B5EF4-FFF2-40B4-BE49-F238E27FC236}">
              <a16:creationId xmlns:a16="http://schemas.microsoft.com/office/drawing/2014/main" id="{91A786DC-94FB-427D-86F2-4B81EBB4CD10}"/>
            </a:ext>
          </a:extLst>
        </xdr:cNvPr>
        <xdr:cNvCxnSpPr>
          <a:stCxn id="69" idx="1"/>
        </xdr:cNvCxnSpPr>
      </xdr:nvCxnSpPr>
      <xdr:spPr>
        <a:xfrm flipH="1">
          <a:off x="10934700" y="13877925"/>
          <a:ext cx="533399" cy="5619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190500</xdr:colOff>
      <xdr:row>77</xdr:row>
      <xdr:rowOff>142875</xdr:rowOff>
    </xdr:from>
    <xdr:to>
      <xdr:col>12</xdr:col>
      <xdr:colOff>457200</xdr:colOff>
      <xdr:row>77</xdr:row>
      <xdr:rowOff>152400</xdr:rowOff>
    </xdr:to>
    <xdr:cxnSp macro="">
      <xdr:nvCxnSpPr>
        <xdr:cNvPr id="71" name="Straight Arrow Connector 144">
          <a:extLst>
            <a:ext uri="{FF2B5EF4-FFF2-40B4-BE49-F238E27FC236}">
              <a16:creationId xmlns:a16="http://schemas.microsoft.com/office/drawing/2014/main" id="{F028078D-C4F6-4DE7-AAE4-C67AB17B4500}"/>
            </a:ext>
          </a:extLst>
        </xdr:cNvPr>
        <xdr:cNvCxnSpPr/>
      </xdr:nvCxnSpPr>
      <xdr:spPr>
        <a:xfrm>
          <a:off x="11077575" y="15001875"/>
          <a:ext cx="266700" cy="9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190502</xdr:colOff>
      <xdr:row>63</xdr:row>
      <xdr:rowOff>13490</xdr:rowOff>
    </xdr:from>
    <xdr:to>
      <xdr:col>7</xdr:col>
      <xdr:colOff>409567</xdr:colOff>
      <xdr:row>65</xdr:row>
      <xdr:rowOff>24194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8CEA217C-128A-4C46-A864-B8AF384EF930}"/>
            </a:ext>
          </a:extLst>
        </xdr:cNvPr>
        <xdr:cNvGrpSpPr/>
      </xdr:nvGrpSpPr>
      <xdr:grpSpPr>
        <a:xfrm flipH="1">
          <a:off x="12820652" y="12205490"/>
          <a:ext cx="219065" cy="391704"/>
          <a:chOff x="8648702" y="12215015"/>
          <a:chExt cx="219065" cy="391704"/>
        </a:xfrm>
      </xdr:grpSpPr>
      <xdr:cxnSp macro="">
        <xdr:nvCxnSpPr>
          <xdr:cNvPr id="73" name="Straight Connector 72">
            <a:extLst>
              <a:ext uri="{FF2B5EF4-FFF2-40B4-BE49-F238E27FC236}">
                <a16:creationId xmlns:a16="http://schemas.microsoft.com/office/drawing/2014/main" id="{17832B7A-A3FD-0940-458E-5F2E2AB80556}"/>
              </a:ext>
            </a:extLst>
          </xdr:cNvPr>
          <xdr:cNvCxnSpPr/>
        </xdr:nvCxnSpPr>
        <xdr:spPr>
          <a:xfrm>
            <a:off x="8648702" y="12215015"/>
            <a:ext cx="8218" cy="391704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4" name="Right Triangle 73">
            <a:extLst>
              <a:ext uri="{FF2B5EF4-FFF2-40B4-BE49-F238E27FC236}">
                <a16:creationId xmlns:a16="http://schemas.microsoft.com/office/drawing/2014/main" id="{10851006-8D68-0B5E-4A92-BE4D98D304C2}"/>
              </a:ext>
            </a:extLst>
          </xdr:cNvPr>
          <xdr:cNvSpPr/>
        </xdr:nvSpPr>
        <xdr:spPr>
          <a:xfrm>
            <a:off x="8665147" y="12475966"/>
            <a:ext cx="202620" cy="125609"/>
          </a:xfrm>
          <a:prstGeom prst="rtTriangl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7</xdr:col>
      <xdr:colOff>276237</xdr:colOff>
      <xdr:row>62</xdr:row>
      <xdr:rowOff>190491</xdr:rowOff>
    </xdr:from>
    <xdr:to>
      <xdr:col>7</xdr:col>
      <xdr:colOff>523904</xdr:colOff>
      <xdr:row>70</xdr:row>
      <xdr:rowOff>133350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1C1C344F-86AC-48E2-8057-9BFF321A7CA8}"/>
            </a:ext>
          </a:extLst>
        </xdr:cNvPr>
        <xdr:cNvGrpSpPr/>
      </xdr:nvGrpSpPr>
      <xdr:grpSpPr>
        <a:xfrm flipH="1">
          <a:off x="12906387" y="12191991"/>
          <a:ext cx="247667" cy="1466859"/>
          <a:chOff x="8648702" y="12215015"/>
          <a:chExt cx="119781" cy="394605"/>
        </a:xfrm>
      </xdr:grpSpPr>
      <xdr:cxnSp macro="">
        <xdr:nvCxnSpPr>
          <xdr:cNvPr id="76" name="Straight Connector 75">
            <a:extLst>
              <a:ext uri="{FF2B5EF4-FFF2-40B4-BE49-F238E27FC236}">
                <a16:creationId xmlns:a16="http://schemas.microsoft.com/office/drawing/2014/main" id="{E6F4A4A9-E676-8246-3574-D3167F638B53}"/>
              </a:ext>
            </a:extLst>
          </xdr:cNvPr>
          <xdr:cNvCxnSpPr/>
        </xdr:nvCxnSpPr>
        <xdr:spPr>
          <a:xfrm>
            <a:off x="8648702" y="12215015"/>
            <a:ext cx="8218" cy="391704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7" name="Right Triangle 76">
            <a:extLst>
              <a:ext uri="{FF2B5EF4-FFF2-40B4-BE49-F238E27FC236}">
                <a16:creationId xmlns:a16="http://schemas.microsoft.com/office/drawing/2014/main" id="{ED1C00AF-EAC3-9574-B733-9E9FFB59C8A9}"/>
              </a:ext>
            </a:extLst>
          </xdr:cNvPr>
          <xdr:cNvSpPr/>
        </xdr:nvSpPr>
        <xdr:spPr>
          <a:xfrm>
            <a:off x="8668559" y="12568951"/>
            <a:ext cx="99924" cy="40669"/>
          </a:xfrm>
          <a:prstGeom prst="rtTriangl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7</xdr:col>
      <xdr:colOff>428610</xdr:colOff>
      <xdr:row>62</xdr:row>
      <xdr:rowOff>190499</xdr:rowOff>
    </xdr:from>
    <xdr:to>
      <xdr:col>8</xdr:col>
      <xdr:colOff>76200</xdr:colOff>
      <xdr:row>72</xdr:row>
      <xdr:rowOff>66674</xdr:rowOff>
    </xdr:to>
    <xdr:grpSp>
      <xdr:nvGrpSpPr>
        <xdr:cNvPr id="78" name="Group 77">
          <a:extLst>
            <a:ext uri="{FF2B5EF4-FFF2-40B4-BE49-F238E27FC236}">
              <a16:creationId xmlns:a16="http://schemas.microsoft.com/office/drawing/2014/main" id="{DBED9A99-4FB7-437B-AEC8-8463EFCE122E}"/>
            </a:ext>
          </a:extLst>
        </xdr:cNvPr>
        <xdr:cNvGrpSpPr/>
      </xdr:nvGrpSpPr>
      <xdr:grpSpPr>
        <a:xfrm flipH="1">
          <a:off x="13058760" y="12191999"/>
          <a:ext cx="257190" cy="1781175"/>
          <a:chOff x="8648702" y="12215015"/>
          <a:chExt cx="191682" cy="391704"/>
        </a:xfrm>
      </xdr:grpSpPr>
      <xdr:cxnSp macro="">
        <xdr:nvCxnSpPr>
          <xdr:cNvPr id="79" name="Straight Connector 78">
            <a:extLst>
              <a:ext uri="{FF2B5EF4-FFF2-40B4-BE49-F238E27FC236}">
                <a16:creationId xmlns:a16="http://schemas.microsoft.com/office/drawing/2014/main" id="{54AFCC4E-6CCA-E6C4-3D1F-09B3EB368DAC}"/>
              </a:ext>
            </a:extLst>
          </xdr:cNvPr>
          <xdr:cNvCxnSpPr/>
        </xdr:nvCxnSpPr>
        <xdr:spPr>
          <a:xfrm>
            <a:off x="8648702" y="12215015"/>
            <a:ext cx="8218" cy="391704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0" name="Right Triangle 79">
            <a:extLst>
              <a:ext uri="{FF2B5EF4-FFF2-40B4-BE49-F238E27FC236}">
                <a16:creationId xmlns:a16="http://schemas.microsoft.com/office/drawing/2014/main" id="{ECEC7F91-E8BC-F68D-98E4-7BC42B71F52D}"/>
              </a:ext>
            </a:extLst>
          </xdr:cNvPr>
          <xdr:cNvSpPr/>
        </xdr:nvSpPr>
        <xdr:spPr>
          <a:xfrm>
            <a:off x="8666956" y="12578740"/>
            <a:ext cx="173428" cy="22835"/>
          </a:xfrm>
          <a:prstGeom prst="rtTriangl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7</xdr:col>
      <xdr:colOff>571485</xdr:colOff>
      <xdr:row>63</xdr:row>
      <xdr:rowOff>3964</xdr:rowOff>
    </xdr:from>
    <xdr:to>
      <xdr:col>8</xdr:col>
      <xdr:colOff>219075</xdr:colOff>
      <xdr:row>79</xdr:row>
      <xdr:rowOff>38100</xdr:rowOff>
    </xdr:to>
    <xdr:grpSp>
      <xdr:nvGrpSpPr>
        <xdr:cNvPr id="81" name="Group 80">
          <a:extLst>
            <a:ext uri="{FF2B5EF4-FFF2-40B4-BE49-F238E27FC236}">
              <a16:creationId xmlns:a16="http://schemas.microsoft.com/office/drawing/2014/main" id="{3BB4D937-BC70-4A6A-A3BB-9FC0EB8B58E2}"/>
            </a:ext>
          </a:extLst>
        </xdr:cNvPr>
        <xdr:cNvGrpSpPr/>
      </xdr:nvGrpSpPr>
      <xdr:grpSpPr>
        <a:xfrm flipH="1">
          <a:off x="13201635" y="12195964"/>
          <a:ext cx="257190" cy="3082136"/>
          <a:chOff x="8648702" y="12215015"/>
          <a:chExt cx="191682" cy="391704"/>
        </a:xfrm>
      </xdr:grpSpPr>
      <xdr:cxnSp macro="">
        <xdr:nvCxnSpPr>
          <xdr:cNvPr id="82" name="Straight Connector 81">
            <a:extLst>
              <a:ext uri="{FF2B5EF4-FFF2-40B4-BE49-F238E27FC236}">
                <a16:creationId xmlns:a16="http://schemas.microsoft.com/office/drawing/2014/main" id="{005FA388-9213-75ED-8C80-241E56BDE186}"/>
              </a:ext>
            </a:extLst>
          </xdr:cNvPr>
          <xdr:cNvCxnSpPr/>
        </xdr:nvCxnSpPr>
        <xdr:spPr>
          <a:xfrm>
            <a:off x="8648702" y="12215015"/>
            <a:ext cx="8218" cy="391704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3" name="Right Triangle 82">
            <a:extLst>
              <a:ext uri="{FF2B5EF4-FFF2-40B4-BE49-F238E27FC236}">
                <a16:creationId xmlns:a16="http://schemas.microsoft.com/office/drawing/2014/main" id="{D6328D16-A603-EEEC-1DFD-C69B636A0515}"/>
              </a:ext>
            </a:extLst>
          </xdr:cNvPr>
          <xdr:cNvSpPr/>
        </xdr:nvSpPr>
        <xdr:spPr>
          <a:xfrm>
            <a:off x="8666956" y="12591914"/>
            <a:ext cx="173428" cy="13061"/>
          </a:xfrm>
          <a:prstGeom prst="rtTriangl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9</xdr:col>
      <xdr:colOff>76185</xdr:colOff>
      <xdr:row>73</xdr:row>
      <xdr:rowOff>19050</xdr:rowOff>
    </xdr:from>
    <xdr:to>
      <xdr:col>9</xdr:col>
      <xdr:colOff>333375</xdr:colOff>
      <xdr:row>81</xdr:row>
      <xdr:rowOff>161925</xdr:rowOff>
    </xdr:to>
    <xdr:grpSp>
      <xdr:nvGrpSpPr>
        <xdr:cNvPr id="84" name="Group 83">
          <a:extLst>
            <a:ext uri="{FF2B5EF4-FFF2-40B4-BE49-F238E27FC236}">
              <a16:creationId xmlns:a16="http://schemas.microsoft.com/office/drawing/2014/main" id="{09462F68-C5D0-4DD6-A893-8D1F0B947E08}"/>
            </a:ext>
          </a:extLst>
        </xdr:cNvPr>
        <xdr:cNvGrpSpPr/>
      </xdr:nvGrpSpPr>
      <xdr:grpSpPr>
        <a:xfrm>
          <a:off x="13925535" y="14116050"/>
          <a:ext cx="257190" cy="1666875"/>
          <a:chOff x="8277210" y="14116050"/>
          <a:chExt cx="257190" cy="1419225"/>
        </a:xfrm>
      </xdr:grpSpPr>
      <xdr:grpSp>
        <xdr:nvGrpSpPr>
          <xdr:cNvPr id="85" name="Group 84">
            <a:extLst>
              <a:ext uri="{FF2B5EF4-FFF2-40B4-BE49-F238E27FC236}">
                <a16:creationId xmlns:a16="http://schemas.microsoft.com/office/drawing/2014/main" id="{AFAD864E-7120-09BD-294C-1D7482349202}"/>
              </a:ext>
            </a:extLst>
          </xdr:cNvPr>
          <xdr:cNvGrpSpPr/>
        </xdr:nvGrpSpPr>
        <xdr:grpSpPr>
          <a:xfrm>
            <a:off x="8277210" y="14125576"/>
            <a:ext cx="257190" cy="1409699"/>
            <a:chOff x="8648702" y="12215015"/>
            <a:chExt cx="191682" cy="391704"/>
          </a:xfrm>
        </xdr:grpSpPr>
        <xdr:cxnSp macro="">
          <xdr:nvCxnSpPr>
            <xdr:cNvPr id="87" name="Straight Connector 86">
              <a:extLst>
                <a:ext uri="{FF2B5EF4-FFF2-40B4-BE49-F238E27FC236}">
                  <a16:creationId xmlns:a16="http://schemas.microsoft.com/office/drawing/2014/main" id="{1D9548D3-D2BE-7197-FD80-57B9556B5579}"/>
                </a:ext>
              </a:extLst>
            </xdr:cNvPr>
            <xdr:cNvCxnSpPr/>
          </xdr:nvCxnSpPr>
          <xdr:spPr>
            <a:xfrm>
              <a:off x="8648702" y="12215015"/>
              <a:ext cx="8218" cy="391704"/>
            </a:xfrm>
            <a:prstGeom prst="line">
              <a:avLst/>
            </a:prstGeom>
            <a:ln w="2857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8" name="Right Triangle 87">
              <a:extLst>
                <a:ext uri="{FF2B5EF4-FFF2-40B4-BE49-F238E27FC236}">
                  <a16:creationId xmlns:a16="http://schemas.microsoft.com/office/drawing/2014/main" id="{7D49A237-1844-5147-A202-1DEDDC9BE53F}"/>
                </a:ext>
              </a:extLst>
            </xdr:cNvPr>
            <xdr:cNvSpPr/>
          </xdr:nvSpPr>
          <xdr:spPr>
            <a:xfrm>
              <a:off x="8666956" y="12580557"/>
              <a:ext cx="173428" cy="24418"/>
            </a:xfrm>
            <a:prstGeom prst="rtTriangle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</xdr:grpSp>
      <xdr:sp macro="" textlink="">
        <xdr:nvSpPr>
          <xdr:cNvPr id="86" name="Rectangle 85">
            <a:extLst>
              <a:ext uri="{FF2B5EF4-FFF2-40B4-BE49-F238E27FC236}">
                <a16:creationId xmlns:a16="http://schemas.microsoft.com/office/drawing/2014/main" id="{07521A9A-C1AC-E19E-743F-E45A86791FEB}"/>
              </a:ext>
            </a:extLst>
          </xdr:cNvPr>
          <xdr:cNvSpPr/>
        </xdr:nvSpPr>
        <xdr:spPr>
          <a:xfrm>
            <a:off x="8296275" y="14116050"/>
            <a:ext cx="76200" cy="133350"/>
          </a:xfrm>
          <a:prstGeom prst="rect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13</xdr:col>
      <xdr:colOff>104775</xdr:colOff>
      <xdr:row>79</xdr:row>
      <xdr:rowOff>171450</xdr:rowOff>
    </xdr:from>
    <xdr:to>
      <xdr:col>13</xdr:col>
      <xdr:colOff>628649</xdr:colOff>
      <xdr:row>80</xdr:row>
      <xdr:rowOff>133350</xdr:rowOff>
    </xdr:to>
    <xdr:cxnSp macro="">
      <xdr:nvCxnSpPr>
        <xdr:cNvPr id="89" name="Straight Arrow Connector 178">
          <a:extLst>
            <a:ext uri="{FF2B5EF4-FFF2-40B4-BE49-F238E27FC236}">
              <a16:creationId xmlns:a16="http://schemas.microsoft.com/office/drawing/2014/main" id="{F9DEAFD1-FFCF-45D2-BFAB-5A5FD6C9427E}"/>
            </a:ext>
          </a:extLst>
        </xdr:cNvPr>
        <xdr:cNvCxnSpPr>
          <a:stCxn id="68" idx="1"/>
        </xdr:cNvCxnSpPr>
      </xdr:nvCxnSpPr>
      <xdr:spPr>
        <a:xfrm flipH="1">
          <a:off x="11925300" y="15411450"/>
          <a:ext cx="523874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412546</xdr:colOff>
      <xdr:row>70</xdr:row>
      <xdr:rowOff>123825</xdr:rowOff>
    </xdr:from>
    <xdr:to>
      <xdr:col>11</xdr:col>
      <xdr:colOff>438150</xdr:colOff>
      <xdr:row>70</xdr:row>
      <xdr:rowOff>133350</xdr:rowOff>
    </xdr:to>
    <xdr:cxnSp macro="">
      <xdr:nvCxnSpPr>
        <xdr:cNvPr id="90" name="Straight Connector 181">
          <a:extLst>
            <a:ext uri="{FF2B5EF4-FFF2-40B4-BE49-F238E27FC236}">
              <a16:creationId xmlns:a16="http://schemas.microsoft.com/office/drawing/2014/main" id="{E758FA81-1680-451E-AF2C-985A3FEEF16E}"/>
            </a:ext>
          </a:extLst>
        </xdr:cNvPr>
        <xdr:cNvCxnSpPr>
          <a:stCxn id="42" idx="2"/>
        </xdr:cNvCxnSpPr>
      </xdr:nvCxnSpPr>
      <xdr:spPr>
        <a:xfrm>
          <a:off x="8604046" y="13649325"/>
          <a:ext cx="1940129" cy="9525"/>
        </a:xfrm>
        <a:prstGeom prst="line">
          <a:avLst/>
        </a:prstGeom>
        <a:ln w="1905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352425</xdr:colOff>
      <xdr:row>72</xdr:row>
      <xdr:rowOff>47625</xdr:rowOff>
    </xdr:from>
    <xdr:to>
      <xdr:col>11</xdr:col>
      <xdr:colOff>676275</xdr:colOff>
      <xdr:row>72</xdr:row>
      <xdr:rowOff>47625</xdr:rowOff>
    </xdr:to>
    <xdr:cxnSp macro="">
      <xdr:nvCxnSpPr>
        <xdr:cNvPr id="91" name="Straight Connector 181">
          <a:extLst>
            <a:ext uri="{FF2B5EF4-FFF2-40B4-BE49-F238E27FC236}">
              <a16:creationId xmlns:a16="http://schemas.microsoft.com/office/drawing/2014/main" id="{6EA0654B-8975-4CE4-B72C-0E4E82015081}"/>
            </a:ext>
          </a:extLst>
        </xdr:cNvPr>
        <xdr:cNvCxnSpPr/>
      </xdr:nvCxnSpPr>
      <xdr:spPr>
        <a:xfrm>
          <a:off x="8543925" y="13954125"/>
          <a:ext cx="2238375" cy="0"/>
        </a:xfrm>
        <a:prstGeom prst="line">
          <a:avLst/>
        </a:prstGeom>
        <a:ln w="1905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190500</xdr:colOff>
      <xdr:row>81</xdr:row>
      <xdr:rowOff>152400</xdr:rowOff>
    </xdr:from>
    <xdr:to>
      <xdr:col>13</xdr:col>
      <xdr:colOff>238125</xdr:colOff>
      <xdr:row>81</xdr:row>
      <xdr:rowOff>164078</xdr:rowOff>
    </xdr:to>
    <xdr:cxnSp macro="">
      <xdr:nvCxnSpPr>
        <xdr:cNvPr id="46" name="Straight Connector 181">
          <a:extLst>
            <a:ext uri="{FF2B5EF4-FFF2-40B4-BE49-F238E27FC236}">
              <a16:creationId xmlns:a16="http://schemas.microsoft.com/office/drawing/2014/main" id="{CDA66085-EFFA-41AC-A241-22170547F564}"/>
            </a:ext>
          </a:extLst>
        </xdr:cNvPr>
        <xdr:cNvCxnSpPr/>
      </xdr:nvCxnSpPr>
      <xdr:spPr>
        <a:xfrm flipV="1">
          <a:off x="8382000" y="15773400"/>
          <a:ext cx="3676650" cy="11678"/>
        </a:xfrm>
        <a:prstGeom prst="line">
          <a:avLst/>
        </a:prstGeom>
        <a:ln w="1905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409575</xdr:colOff>
      <xdr:row>86</xdr:row>
      <xdr:rowOff>142875</xdr:rowOff>
    </xdr:from>
    <xdr:to>
      <xdr:col>5</xdr:col>
      <xdr:colOff>95250</xdr:colOff>
      <xdr:row>86</xdr:row>
      <xdr:rowOff>142875</xdr:rowOff>
    </xdr:to>
    <xdr:cxnSp macro="">
      <xdr:nvCxnSpPr>
        <xdr:cNvPr id="93" name="Straight Connector 181">
          <a:extLst>
            <a:ext uri="{FF2B5EF4-FFF2-40B4-BE49-F238E27FC236}">
              <a16:creationId xmlns:a16="http://schemas.microsoft.com/office/drawing/2014/main" id="{33BF2715-C1D6-45FA-9F62-C24D87AD7149}"/>
            </a:ext>
          </a:extLst>
        </xdr:cNvPr>
        <xdr:cNvCxnSpPr/>
      </xdr:nvCxnSpPr>
      <xdr:spPr>
        <a:xfrm>
          <a:off x="2943225" y="16716375"/>
          <a:ext cx="2238375" cy="0"/>
        </a:xfrm>
        <a:prstGeom prst="line">
          <a:avLst/>
        </a:prstGeom>
        <a:ln w="1905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381000</xdr:colOff>
      <xdr:row>73</xdr:row>
      <xdr:rowOff>152400</xdr:rowOff>
    </xdr:from>
    <xdr:to>
      <xdr:col>13</xdr:col>
      <xdr:colOff>714374</xdr:colOff>
      <xdr:row>76</xdr:row>
      <xdr:rowOff>9525</xdr:rowOff>
    </xdr:to>
    <xdr:cxnSp macro="">
      <xdr:nvCxnSpPr>
        <xdr:cNvPr id="98" name="Straight Arrow Connector 137">
          <a:extLst>
            <a:ext uri="{FF2B5EF4-FFF2-40B4-BE49-F238E27FC236}">
              <a16:creationId xmlns:a16="http://schemas.microsoft.com/office/drawing/2014/main" id="{F6D3F803-F074-B898-8838-1B81F469D90F}"/>
            </a:ext>
          </a:extLst>
        </xdr:cNvPr>
        <xdr:cNvCxnSpPr/>
      </xdr:nvCxnSpPr>
      <xdr:spPr>
        <a:xfrm flipH="1">
          <a:off x="12201525" y="14249400"/>
          <a:ext cx="333374" cy="4286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266700</xdr:colOff>
      <xdr:row>77</xdr:row>
      <xdr:rowOff>0</xdr:rowOff>
    </xdr:from>
    <xdr:to>
      <xdr:col>14</xdr:col>
      <xdr:colOff>552449</xdr:colOff>
      <xdr:row>78</xdr:row>
      <xdr:rowOff>123825</xdr:rowOff>
    </xdr:to>
    <xdr:cxnSp macro="">
      <xdr:nvCxnSpPr>
        <xdr:cNvPr id="101" name="Straight Arrow Connector 137">
          <a:extLst>
            <a:ext uri="{FF2B5EF4-FFF2-40B4-BE49-F238E27FC236}">
              <a16:creationId xmlns:a16="http://schemas.microsoft.com/office/drawing/2014/main" id="{496020C0-5303-D88B-E714-CA3D11904F60}"/>
            </a:ext>
          </a:extLst>
        </xdr:cNvPr>
        <xdr:cNvCxnSpPr/>
      </xdr:nvCxnSpPr>
      <xdr:spPr>
        <a:xfrm flipH="1">
          <a:off x="12801600" y="14859000"/>
          <a:ext cx="285749" cy="3143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180975</xdr:colOff>
      <xdr:row>79</xdr:row>
      <xdr:rowOff>47625</xdr:rowOff>
    </xdr:from>
    <xdr:to>
      <xdr:col>12</xdr:col>
      <xdr:colOff>695325</xdr:colOff>
      <xdr:row>79</xdr:row>
      <xdr:rowOff>49778</xdr:rowOff>
    </xdr:to>
    <xdr:cxnSp macro="">
      <xdr:nvCxnSpPr>
        <xdr:cNvPr id="92" name="Straight Connector 181">
          <a:extLst>
            <a:ext uri="{FF2B5EF4-FFF2-40B4-BE49-F238E27FC236}">
              <a16:creationId xmlns:a16="http://schemas.microsoft.com/office/drawing/2014/main" id="{7EBDB120-C233-9F20-AFB0-53410FBB411D}"/>
            </a:ext>
          </a:extLst>
        </xdr:cNvPr>
        <xdr:cNvCxnSpPr/>
      </xdr:nvCxnSpPr>
      <xdr:spPr>
        <a:xfrm flipV="1">
          <a:off x="8372475" y="15287625"/>
          <a:ext cx="3209925" cy="2153"/>
        </a:xfrm>
        <a:prstGeom prst="line">
          <a:avLst/>
        </a:prstGeom>
        <a:ln w="1905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0.55373</cdr:x>
      <cdr:y>0.55488</cdr:y>
    </cdr:from>
    <cdr:to>
      <cdr:x>0.59211</cdr:x>
      <cdr:y>0.76423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78FDAD10-C1EB-A2A8-7423-C3DD2CC1CDF9}"/>
            </a:ext>
          </a:extLst>
        </cdr:cNvPr>
        <cdr:cNvCxnSpPr/>
      </cdr:nvCxnSpPr>
      <cdr:spPr>
        <a:xfrm xmlns:a="http://schemas.openxmlformats.org/drawingml/2006/main" flipH="1" flipV="1">
          <a:off x="6012655" y="3250404"/>
          <a:ext cx="416719" cy="1226344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0.41118</cdr:x>
      <cdr:y>0.55691</cdr:y>
    </cdr:from>
    <cdr:to>
      <cdr:x>0.55373</cdr:x>
      <cdr:y>0.55691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B1C27299-469A-A208-3D64-672A996CC8E8}"/>
            </a:ext>
          </a:extLst>
        </cdr:cNvPr>
        <cdr:cNvCxnSpPr/>
      </cdr:nvCxnSpPr>
      <cdr:spPr>
        <a:xfrm xmlns:a="http://schemas.openxmlformats.org/drawingml/2006/main" flipH="1">
          <a:off x="4464843" y="3262310"/>
          <a:ext cx="1547812" cy="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0.38158</cdr:x>
      <cdr:y>0.4187</cdr:y>
    </cdr:from>
    <cdr:to>
      <cdr:x>0.41009</cdr:x>
      <cdr:y>0.55488</cdr:y>
    </cdr:to>
    <cdr:cxnSp macro="">
      <cdr:nvCxnSpPr>
        <cdr:cNvPr id="7" name="Straight Connector 6">
          <a:extLst xmlns:a="http://schemas.openxmlformats.org/drawingml/2006/main">
            <a:ext uri="{FF2B5EF4-FFF2-40B4-BE49-F238E27FC236}">
              <a16:creationId xmlns:a16="http://schemas.microsoft.com/office/drawing/2014/main" id="{B718B1BC-C597-22C5-021B-A0BF96AA36FB}"/>
            </a:ext>
          </a:extLst>
        </cdr:cNvPr>
        <cdr:cNvCxnSpPr/>
      </cdr:nvCxnSpPr>
      <cdr:spPr>
        <a:xfrm xmlns:a="http://schemas.openxmlformats.org/drawingml/2006/main" flipH="1" flipV="1">
          <a:off x="4143374" y="2452685"/>
          <a:ext cx="309562" cy="797719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0.29934</cdr:x>
      <cdr:y>0.42073</cdr:y>
    </cdr:from>
    <cdr:to>
      <cdr:x>0.38158</cdr:x>
      <cdr:y>0.42073</cdr:y>
    </cdr:to>
    <cdr:cxnSp macro="">
      <cdr:nvCxnSpPr>
        <cdr:cNvPr id="9" name="Straight Connector 8">
          <a:extLst xmlns:a="http://schemas.openxmlformats.org/drawingml/2006/main">
            <a:ext uri="{FF2B5EF4-FFF2-40B4-BE49-F238E27FC236}">
              <a16:creationId xmlns:a16="http://schemas.microsoft.com/office/drawing/2014/main" id="{8DA7DF16-140A-18D5-F4ED-5D561D2CAE15}"/>
            </a:ext>
          </a:extLst>
        </cdr:cNvPr>
        <cdr:cNvCxnSpPr/>
      </cdr:nvCxnSpPr>
      <cdr:spPr>
        <a:xfrm xmlns:a="http://schemas.openxmlformats.org/drawingml/2006/main" flipH="1">
          <a:off x="3250405" y="2464591"/>
          <a:ext cx="892969" cy="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0.26974</cdr:x>
      <cdr:y>0.32927</cdr:y>
    </cdr:from>
    <cdr:to>
      <cdr:x>0.29934</cdr:x>
      <cdr:y>0.42276</cdr:y>
    </cdr:to>
    <cdr:cxnSp macro="">
      <cdr:nvCxnSpPr>
        <cdr:cNvPr id="11" name="Straight Connector 10">
          <a:extLst xmlns:a="http://schemas.openxmlformats.org/drawingml/2006/main">
            <a:ext uri="{FF2B5EF4-FFF2-40B4-BE49-F238E27FC236}">
              <a16:creationId xmlns:a16="http://schemas.microsoft.com/office/drawing/2014/main" id="{0F2443FF-F779-7934-75F3-BC595A530944}"/>
            </a:ext>
          </a:extLst>
        </cdr:cNvPr>
        <cdr:cNvCxnSpPr/>
      </cdr:nvCxnSpPr>
      <cdr:spPr>
        <a:xfrm xmlns:a="http://schemas.openxmlformats.org/drawingml/2006/main" flipH="1" flipV="1">
          <a:off x="2928936" y="1928810"/>
          <a:ext cx="321469" cy="547688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0.23465</cdr:x>
      <cdr:y>0.32927</cdr:y>
    </cdr:from>
    <cdr:to>
      <cdr:x>0.27112</cdr:x>
      <cdr:y>0.32927</cdr:y>
    </cdr:to>
    <cdr:cxnSp macro="">
      <cdr:nvCxnSpPr>
        <cdr:cNvPr id="13" name="Straight Connector 12">
          <a:extLst xmlns:a="http://schemas.openxmlformats.org/drawingml/2006/main">
            <a:ext uri="{FF2B5EF4-FFF2-40B4-BE49-F238E27FC236}">
              <a16:creationId xmlns:a16="http://schemas.microsoft.com/office/drawing/2014/main" id="{F474DD61-B99B-9B12-FDA1-4C5E84504B76}"/>
            </a:ext>
          </a:extLst>
        </cdr:cNvPr>
        <cdr:cNvCxnSpPr/>
      </cdr:nvCxnSpPr>
      <cdr:spPr>
        <a:xfrm xmlns:a="http://schemas.openxmlformats.org/drawingml/2006/main" flipH="1">
          <a:off x="2547936" y="1928810"/>
          <a:ext cx="396000" cy="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762000</xdr:colOff>
      <xdr:row>65</xdr:row>
      <xdr:rowOff>0</xdr:rowOff>
    </xdr:from>
    <xdr:ext cx="1297781" cy="27646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BDBBEB5-7F4E-874F-0790-EBAA1F63B436}"/>
            </a:ext>
          </a:extLst>
        </xdr:cNvPr>
        <xdr:cNvSpPr txBox="1"/>
      </xdr:nvSpPr>
      <xdr:spPr>
        <a:xfrm>
          <a:off x="6941344" y="12382500"/>
          <a:ext cx="1297781" cy="276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GB" sz="1100"/>
        </a:p>
      </xdr:txBody>
    </xdr:sp>
    <xdr:clientData/>
  </xdr:oneCellAnchor>
  <xdr:twoCellAnchor>
    <xdr:from>
      <xdr:col>2</xdr:col>
      <xdr:colOff>535783</xdr:colOff>
      <xdr:row>45</xdr:row>
      <xdr:rowOff>119063</xdr:rowOff>
    </xdr:from>
    <xdr:to>
      <xdr:col>9</xdr:col>
      <xdr:colOff>1297782</xdr:colOff>
      <xdr:row>73</xdr:row>
      <xdr:rowOff>107858</xdr:rowOff>
    </xdr:to>
    <xdr:graphicFrame macro="">
      <xdr:nvGraphicFramePr>
        <xdr:cNvPr id="81" name="Chart 2">
          <a:extLst>
            <a:ext uri="{FF2B5EF4-FFF2-40B4-BE49-F238E27FC236}">
              <a16:creationId xmlns:a16="http://schemas.microsoft.com/office/drawing/2014/main" id="{18C578E2-DB85-4D0C-8BC3-E9AD4FBF5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940595</xdr:colOff>
      <xdr:row>138</xdr:row>
      <xdr:rowOff>166688</xdr:rowOff>
    </xdr:from>
    <xdr:to>
      <xdr:col>4</xdr:col>
      <xdr:colOff>261939</xdr:colOff>
      <xdr:row>146</xdr:row>
      <xdr:rowOff>11906</xdr:rowOff>
    </xdr:to>
    <xdr:sp macro="" textlink="">
      <xdr:nvSpPr>
        <xdr:cNvPr id="84" name="TextBox 3">
          <a:extLst>
            <a:ext uri="{FF2B5EF4-FFF2-40B4-BE49-F238E27FC236}">
              <a16:creationId xmlns:a16="http://schemas.microsoft.com/office/drawing/2014/main" id="{45383D03-A5A0-DDE0-235A-7F32DC867030}"/>
            </a:ext>
          </a:extLst>
        </xdr:cNvPr>
        <xdr:cNvSpPr txBox="1"/>
      </xdr:nvSpPr>
      <xdr:spPr>
        <a:xfrm>
          <a:off x="940595" y="26455688"/>
          <a:ext cx="2762250" cy="13692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SLIGHTY OVER PRESSURED ZONE IN THE HYDROCARBON BEARING FORMATION</a:t>
          </a:r>
          <a:r>
            <a:rPr lang="en-GB" sz="1100" baseline="0"/>
            <a:t> AT 8100FT. </a:t>
          </a:r>
        </a:p>
        <a:p>
          <a:r>
            <a:rPr lang="en-GB" sz="1100" baseline="0"/>
            <a:t>THIS IS CAUSED BY THE CAP ROCK WHICH IS LARGE SHALE INTERVAL FROM  4100FT TO 8060FT. PRESSURE GRADIENT INCREASES FROM 0.468PSI/ft TO 0.494PSI/ft.</a:t>
          </a:r>
        </a:p>
        <a:p>
          <a:endParaRPr lang="en-GB" sz="1100"/>
        </a:p>
      </xdr:txBody>
    </xdr:sp>
    <xdr:clientData/>
  </xdr:twoCellAnchor>
  <xdr:twoCellAnchor>
    <xdr:from>
      <xdr:col>4</xdr:col>
      <xdr:colOff>476250</xdr:colOff>
      <xdr:row>118</xdr:row>
      <xdr:rowOff>83343</xdr:rowOff>
    </xdr:from>
    <xdr:to>
      <xdr:col>12</xdr:col>
      <xdr:colOff>381000</xdr:colOff>
      <xdr:row>146</xdr:row>
      <xdr:rowOff>59530</xdr:rowOff>
    </xdr:to>
    <xdr:graphicFrame macro="">
      <xdr:nvGraphicFramePr>
        <xdr:cNvPr id="255" name="Chart 7">
          <a:extLst>
            <a:ext uri="{FF2B5EF4-FFF2-40B4-BE49-F238E27FC236}">
              <a16:creationId xmlns:a16="http://schemas.microsoft.com/office/drawing/2014/main" id="{EA0AAC59-5580-4ED0-BE77-0E522F49A1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1381124</xdr:colOff>
      <xdr:row>135</xdr:row>
      <xdr:rowOff>107155</xdr:rowOff>
    </xdr:from>
    <xdr:to>
      <xdr:col>7</xdr:col>
      <xdr:colOff>1023937</xdr:colOff>
      <xdr:row>143</xdr:row>
      <xdr:rowOff>59529</xdr:rowOff>
    </xdr:to>
    <xdr:sp macro="" textlink="">
      <xdr:nvSpPr>
        <xdr:cNvPr id="251" name="TextBox 9">
          <a:extLst>
            <a:ext uri="{FF2B5EF4-FFF2-40B4-BE49-F238E27FC236}">
              <a16:creationId xmlns:a16="http://schemas.microsoft.com/office/drawing/2014/main" id="{6CC99224-0A88-392F-60CD-27D563D9A08E}"/>
            </a:ext>
          </a:extLst>
        </xdr:cNvPr>
        <xdr:cNvSpPr txBox="1"/>
      </xdr:nvSpPr>
      <xdr:spPr>
        <a:xfrm>
          <a:off x="6107905" y="25824655"/>
          <a:ext cx="2595563" cy="14763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SLIGHTY OVER PRESSURED ZONE IN THE PALEOCENE SANDSTONE FORMATION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 8100FT. </a:t>
          </a:r>
          <a:endParaRPr lang="en-GB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IS CAUSED BY THE CAP ROCK WHICH IS LARGE SHALE INTERVAL FROM  4100FT TO 8060FT. PRESSURE GRADIENT INCREASES FROM 0.468PSI/ft TO 0.494PSI/ft.</a:t>
          </a:r>
          <a:endParaRPr lang="en-GB">
            <a:effectLst/>
          </a:endParaRPr>
        </a:p>
        <a:p>
          <a:endParaRPr lang="en-GB" sz="1100"/>
        </a:p>
      </xdr:txBody>
    </xdr:sp>
    <xdr:clientData/>
  </xdr:twoCellAnchor>
  <xdr:twoCellAnchor>
    <xdr:from>
      <xdr:col>7</xdr:col>
      <xdr:colOff>1012031</xdr:colOff>
      <xdr:row>138</xdr:row>
      <xdr:rowOff>119062</xdr:rowOff>
    </xdr:from>
    <xdr:to>
      <xdr:col>8</xdr:col>
      <xdr:colOff>809624</xdr:colOff>
      <xdr:row>138</xdr:row>
      <xdr:rowOff>166687</xdr:rowOff>
    </xdr:to>
    <xdr:cxnSp macro="">
      <xdr:nvCxnSpPr>
        <xdr:cNvPr id="250" name="Straight Arrow Connector 11">
          <a:extLst>
            <a:ext uri="{FF2B5EF4-FFF2-40B4-BE49-F238E27FC236}">
              <a16:creationId xmlns:a16="http://schemas.microsoft.com/office/drawing/2014/main" id="{45B2D8DA-863D-9726-CCE5-BEF056388E6A}"/>
            </a:ext>
          </a:extLst>
        </xdr:cNvPr>
        <xdr:cNvCxnSpPr/>
      </xdr:nvCxnSpPr>
      <xdr:spPr>
        <a:xfrm>
          <a:off x="8691562" y="26408062"/>
          <a:ext cx="1250156" cy="4762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1428751</xdr:colOff>
      <xdr:row>132</xdr:row>
      <xdr:rowOff>47625</xdr:rowOff>
    </xdr:from>
    <xdr:to>
      <xdr:col>6</xdr:col>
      <xdr:colOff>1404938</xdr:colOff>
      <xdr:row>134</xdr:row>
      <xdr:rowOff>83344</xdr:rowOff>
    </xdr:to>
    <xdr:sp macro="" textlink="">
      <xdr:nvSpPr>
        <xdr:cNvPr id="254" name="TextBox 12">
          <a:extLst>
            <a:ext uri="{FF2B5EF4-FFF2-40B4-BE49-F238E27FC236}">
              <a16:creationId xmlns:a16="http://schemas.microsoft.com/office/drawing/2014/main" id="{9242F3D8-5CB4-785E-F8E6-4642EA1CDEE3}"/>
            </a:ext>
          </a:extLst>
        </xdr:cNvPr>
        <xdr:cNvSpPr txBox="1"/>
      </xdr:nvSpPr>
      <xdr:spPr>
        <a:xfrm>
          <a:off x="6155532" y="25193625"/>
          <a:ext cx="1428750" cy="416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00"/>
            <a:t>NORMALLY</a:t>
          </a:r>
          <a:r>
            <a:rPr lang="en-GB" sz="1000" baseline="0"/>
            <a:t> PRESSURED 0.45PSI/FT</a:t>
          </a:r>
          <a:endParaRPr lang="en-GB" sz="1000"/>
        </a:p>
      </xdr:txBody>
    </xdr:sp>
    <xdr:clientData/>
  </xdr:twoCellAnchor>
  <xdr:twoCellAnchor>
    <xdr:from>
      <xdr:col>6</xdr:col>
      <xdr:colOff>1381124</xdr:colOff>
      <xdr:row>133</xdr:row>
      <xdr:rowOff>23813</xdr:rowOff>
    </xdr:from>
    <xdr:to>
      <xdr:col>7</xdr:col>
      <xdr:colOff>523875</xdr:colOff>
      <xdr:row>133</xdr:row>
      <xdr:rowOff>154781</xdr:rowOff>
    </xdr:to>
    <xdr:cxnSp macro="">
      <xdr:nvCxnSpPr>
        <xdr:cNvPr id="253" name="Straight Arrow Connector 14">
          <a:extLst>
            <a:ext uri="{FF2B5EF4-FFF2-40B4-BE49-F238E27FC236}">
              <a16:creationId xmlns:a16="http://schemas.microsoft.com/office/drawing/2014/main" id="{7600AF32-EE31-2C1F-250C-4D8C8D432086}"/>
            </a:ext>
          </a:extLst>
        </xdr:cNvPr>
        <xdr:cNvCxnSpPr/>
      </xdr:nvCxnSpPr>
      <xdr:spPr>
        <a:xfrm>
          <a:off x="7560468" y="25360313"/>
          <a:ext cx="642938" cy="13096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0.17618</cdr:x>
      <cdr:y>0.58158</cdr:y>
    </cdr:from>
    <cdr:to>
      <cdr:x>0.37781</cdr:x>
      <cdr:y>0.81645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213CFAB-CFDF-4CF6-101B-12AD59B994F4}"/>
            </a:ext>
          </a:extLst>
        </cdr:cNvPr>
        <cdr:cNvSpPr txBox="1"/>
      </cdr:nvSpPr>
      <cdr:spPr>
        <a:xfrm xmlns:a="http://schemas.openxmlformats.org/drawingml/2006/main">
          <a:off x="2143124" y="3095624"/>
          <a:ext cx="2452687" cy="12501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 sz="1100" kern="1200"/>
        </a:p>
      </cdr:txBody>
    </cdr:sp>
  </cdr:relSizeAnchor>
  <cdr:relSizeAnchor xmlns:cdr="http://schemas.openxmlformats.org/drawingml/2006/chartDrawing">
    <cdr:from>
      <cdr:x>0.8571</cdr:x>
      <cdr:y>0.70908</cdr:y>
    </cdr:from>
    <cdr:to>
      <cdr:x>1</cdr:x>
      <cdr:y>0.71132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06BFA914-6C95-B199-6C1C-C53947ACCC2E}"/>
            </a:ext>
          </a:extLst>
        </cdr:cNvPr>
        <cdr:cNvCxnSpPr/>
      </cdr:nvCxnSpPr>
      <cdr:spPr>
        <a:xfrm xmlns:a="http://schemas.openxmlformats.org/drawingml/2006/main" flipV="1">
          <a:off x="8531220" y="3774281"/>
          <a:ext cx="1422404" cy="11906"/>
        </a:xfrm>
        <a:prstGeom xmlns:a="http://schemas.openxmlformats.org/drawingml/2006/main" prst="straightConnector1">
          <a:avLst/>
        </a:prstGeom>
        <a:ln xmlns:a="http://schemas.openxmlformats.org/drawingml/2006/main" w="12700"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223837</xdr:colOff>
      <xdr:row>6</xdr:row>
      <xdr:rowOff>23812</xdr:rowOff>
    </xdr:from>
    <xdr:to>
      <xdr:col>19</xdr:col>
      <xdr:colOff>466725</xdr:colOff>
      <xdr:row>20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9EFA1E-C89F-53B1-B417-5C5D6D1285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128591</xdr:colOff>
      <xdr:row>0</xdr:row>
      <xdr:rowOff>179294</xdr:rowOff>
    </xdr:from>
    <xdr:to>
      <xdr:col>22</xdr:col>
      <xdr:colOff>11206</xdr:colOff>
      <xdr:row>28</xdr:row>
      <xdr:rowOff>168089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60DDFD-CE84-4934-930A-AE8F774FC8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5</xdr:row>
      <xdr:rowOff>0</xdr:rowOff>
    </xdr:from>
    <xdr:to>
      <xdr:col>11</xdr:col>
      <xdr:colOff>0</xdr:colOff>
      <xdr:row>6</xdr:row>
      <xdr:rowOff>57150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A6606AD-153F-4E56-AA87-B01BEC78B564}"/>
            </a:ext>
            <a:ext uri="{147F2762-F138-4A5C-976F-8EAC2B608ADB}">
              <a16:predDERef xmlns:a16="http://schemas.microsoft.com/office/drawing/2014/main" pred="{59938CF0-65FA-4304-9871-9065534C007C}"/>
            </a:ext>
          </a:extLst>
        </xdr:cNvPr>
        <xdr:cNvSpPr txBox="1"/>
      </xdr:nvSpPr>
      <xdr:spPr>
        <a:xfrm>
          <a:off x="7077075" y="4457700"/>
          <a:ext cx="809625" cy="247650"/>
        </a:xfrm>
        <a:prstGeom prst="rect">
          <a:avLst/>
        </a:prstGeom>
        <a:solidFill>
          <a:schemeClr val="bg2">
            <a:lumMod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twoCellAnchor>
    <xdr:from>
      <xdr:col>5</xdr:col>
      <xdr:colOff>104775</xdr:colOff>
      <xdr:row>0</xdr:row>
      <xdr:rowOff>-1362075</xdr:rowOff>
    </xdr:from>
    <xdr:to>
      <xdr:col>5</xdr:col>
      <xdr:colOff>104775</xdr:colOff>
      <xdr:row>0</xdr:row>
      <xdr:rowOff>-1362075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ED6C3E7A-B364-4DB1-B74E-CF98BB564B1F}"/>
            </a:ext>
            <a:ext uri="{147F2762-F138-4A5C-976F-8EAC2B608ADB}">
              <a16:predDERef xmlns:a16="http://schemas.microsoft.com/office/drawing/2014/main" pred="{F4897D82-C22A-4C20-AAED-BB55271ECADF}"/>
            </a:ext>
          </a:extLst>
        </xdr:cNvPr>
        <xdr:cNvSpPr txBox="1"/>
      </xdr:nvSpPr>
      <xdr:spPr>
        <a:xfrm>
          <a:off x="2743200" y="-1362075"/>
          <a:ext cx="0" cy="0"/>
        </a:xfrm>
        <a:prstGeom prst="rect">
          <a:avLst/>
        </a:prstGeom>
        <a:solidFill>
          <a:schemeClr val="bg2">
            <a:lumMod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twoCellAnchor>
    <xdr:from>
      <xdr:col>6</xdr:col>
      <xdr:colOff>19050</xdr:colOff>
      <xdr:row>8</xdr:row>
      <xdr:rowOff>19050</xdr:rowOff>
    </xdr:from>
    <xdr:to>
      <xdr:col>6</xdr:col>
      <xdr:colOff>800100</xdr:colOff>
      <xdr:row>8</xdr:row>
      <xdr:rowOff>152401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2519FE9-4DB6-444C-A645-540B8B5D4396}"/>
            </a:ext>
            <a:ext uri="{147F2762-F138-4A5C-976F-8EAC2B608ADB}">
              <a16:predDERef xmlns:a16="http://schemas.microsoft.com/office/drawing/2014/main" pred="{E390ECED-EC39-4F72-B87A-EAB782E7FFD8}"/>
            </a:ext>
          </a:extLst>
        </xdr:cNvPr>
        <xdr:cNvSpPr txBox="1"/>
      </xdr:nvSpPr>
      <xdr:spPr>
        <a:xfrm>
          <a:off x="5372100" y="1571625"/>
          <a:ext cx="781050" cy="133351"/>
        </a:xfrm>
        <a:prstGeom prst="rect">
          <a:avLst/>
        </a:prstGeom>
        <a:pattFill prst="pct10">
          <a:fgClr>
            <a:schemeClr val="tx1"/>
          </a:fgClr>
          <a:bgClr>
            <a:schemeClr val="bg1"/>
          </a:bgClr>
        </a:pattFill>
        <a:ln w="158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GB" sz="1100"/>
        </a:p>
      </xdr:txBody>
    </xdr:sp>
    <xdr:clientData/>
  </xdr:twoCellAnchor>
  <xdr:twoCellAnchor>
    <xdr:from>
      <xdr:col>5</xdr:col>
      <xdr:colOff>0</xdr:colOff>
      <xdr:row>11</xdr:row>
      <xdr:rowOff>47625</xdr:rowOff>
    </xdr:from>
    <xdr:to>
      <xdr:col>6</xdr:col>
      <xdr:colOff>0</xdr:colOff>
      <xdr:row>12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34538A-622A-E52A-85DC-BCD9FCDD8488}"/>
            </a:ext>
          </a:extLst>
        </xdr:cNvPr>
        <xdr:cNvSpPr txBox="1"/>
      </xdr:nvSpPr>
      <xdr:spPr>
        <a:xfrm>
          <a:off x="5476875" y="2200275"/>
          <a:ext cx="1295400" cy="295275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aseline="0"/>
            <a:t> </a:t>
          </a:r>
          <a:r>
            <a:rPr lang="en-GB" sz="1100" b="1"/>
            <a:t>claystone</a:t>
          </a:r>
        </a:p>
      </xdr:txBody>
    </xdr:sp>
    <xdr:clientData/>
  </xdr:twoCellAnchor>
  <xdr:twoCellAnchor>
    <xdr:from>
      <xdr:col>5</xdr:col>
      <xdr:colOff>0</xdr:colOff>
      <xdr:row>10</xdr:row>
      <xdr:rowOff>85725</xdr:rowOff>
    </xdr:from>
    <xdr:to>
      <xdr:col>6</xdr:col>
      <xdr:colOff>0</xdr:colOff>
      <xdr:row>11</xdr:row>
      <xdr:rowOff>47625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1E49CE9-ED2E-1447-98EA-6B3B5AB75436}"/>
            </a:ext>
          </a:extLst>
        </xdr:cNvPr>
        <xdr:cNvSpPr txBox="1"/>
      </xdr:nvSpPr>
      <xdr:spPr>
        <a:xfrm>
          <a:off x="5476875" y="2038350"/>
          <a:ext cx="1295400" cy="161925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900" b="1"/>
            <a:t>  sandstone</a:t>
          </a:r>
        </a:p>
      </xdr:txBody>
    </xdr:sp>
    <xdr:clientData/>
  </xdr:twoCellAnchor>
  <xdr:twoCellAnchor>
    <xdr:from>
      <xdr:col>5</xdr:col>
      <xdr:colOff>0</xdr:colOff>
      <xdr:row>12</xdr:row>
      <xdr:rowOff>133350</xdr:rowOff>
    </xdr:from>
    <xdr:to>
      <xdr:col>6</xdr:col>
      <xdr:colOff>0</xdr:colOff>
      <xdr:row>14</xdr:row>
      <xdr:rowOff>161925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B856724-65D7-4A16-9219-E1F29404BE3E}"/>
            </a:ext>
          </a:extLst>
        </xdr:cNvPr>
        <xdr:cNvSpPr txBox="1"/>
      </xdr:nvSpPr>
      <xdr:spPr>
        <a:xfrm>
          <a:off x="5476875" y="2486025"/>
          <a:ext cx="1295400" cy="428625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aseline="0"/>
            <a:t> </a:t>
          </a:r>
          <a:r>
            <a:rPr lang="en-GB" sz="1100" b="1" baseline="0"/>
            <a:t>shale</a:t>
          </a:r>
          <a:endParaRPr lang="en-GB" sz="1100" b="1"/>
        </a:p>
      </xdr:txBody>
    </xdr:sp>
    <xdr:clientData/>
  </xdr:twoCellAnchor>
  <xdr:twoCellAnchor>
    <xdr:from>
      <xdr:col>5</xdr:col>
      <xdr:colOff>0</xdr:colOff>
      <xdr:row>14</xdr:row>
      <xdr:rowOff>161924</xdr:rowOff>
    </xdr:from>
    <xdr:to>
      <xdr:col>6</xdr:col>
      <xdr:colOff>0</xdr:colOff>
      <xdr:row>17</xdr:row>
      <xdr:rowOff>9524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45699D0-FB97-47DD-8067-C2B0BCF28120}"/>
            </a:ext>
          </a:extLst>
        </xdr:cNvPr>
        <xdr:cNvSpPr txBox="1"/>
      </xdr:nvSpPr>
      <xdr:spPr>
        <a:xfrm>
          <a:off x="5476875" y="2914649"/>
          <a:ext cx="1295400" cy="447675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aseline="0"/>
            <a:t> </a:t>
          </a:r>
          <a:r>
            <a:rPr lang="en-GB" sz="1100" b="1"/>
            <a:t>shale</a:t>
          </a:r>
        </a:p>
      </xdr:txBody>
    </xdr:sp>
    <xdr:clientData/>
  </xdr:twoCellAnchor>
  <xdr:twoCellAnchor>
    <xdr:from>
      <xdr:col>11</xdr:col>
      <xdr:colOff>304800</xdr:colOff>
      <xdr:row>25</xdr:row>
      <xdr:rowOff>152400</xdr:rowOff>
    </xdr:from>
    <xdr:to>
      <xdr:col>21</xdr:col>
      <xdr:colOff>161925</xdr:colOff>
      <xdr:row>49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89CCB6C-7FE1-4CD0-B6A0-05D4282852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35</xdr:row>
      <xdr:rowOff>114300</xdr:rowOff>
    </xdr:from>
    <xdr:to>
      <xdr:col>13</xdr:col>
      <xdr:colOff>430950</xdr:colOff>
      <xdr:row>35</xdr:row>
      <xdr:rowOff>114300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5503C894-443E-5351-49AD-7B025077AB94}"/>
            </a:ext>
          </a:extLst>
        </xdr:cNvPr>
        <xdr:cNvCxnSpPr/>
      </xdr:nvCxnSpPr>
      <xdr:spPr>
        <a:xfrm flipH="1">
          <a:off x="6172200" y="6953250"/>
          <a:ext cx="2983650" cy="0"/>
        </a:xfrm>
        <a:prstGeom prst="line">
          <a:avLst/>
        </a:prstGeom>
        <a:ln w="1905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152400</xdr:colOff>
      <xdr:row>33</xdr:row>
      <xdr:rowOff>85725</xdr:rowOff>
    </xdr:from>
    <xdr:to>
      <xdr:col>12</xdr:col>
      <xdr:colOff>1309200</xdr:colOff>
      <xdr:row>33</xdr:row>
      <xdr:rowOff>85725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A5360415-014E-0782-317C-9D4EC4C8E93B}"/>
            </a:ext>
          </a:extLst>
        </xdr:cNvPr>
        <xdr:cNvCxnSpPr/>
      </xdr:nvCxnSpPr>
      <xdr:spPr>
        <a:xfrm flipH="1" flipV="1">
          <a:off x="6315075" y="6543675"/>
          <a:ext cx="2376000" cy="0"/>
        </a:xfrm>
        <a:prstGeom prst="line">
          <a:avLst/>
        </a:prstGeom>
        <a:ln w="1905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42</xdr:row>
      <xdr:rowOff>161925</xdr:rowOff>
    </xdr:from>
    <xdr:to>
      <xdr:col>15</xdr:col>
      <xdr:colOff>662700</xdr:colOff>
      <xdr:row>42</xdr:row>
      <xdr:rowOff>161925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595AF76C-6546-6463-8BE6-3F280DE80D1B}"/>
            </a:ext>
          </a:extLst>
        </xdr:cNvPr>
        <xdr:cNvCxnSpPr/>
      </xdr:nvCxnSpPr>
      <xdr:spPr>
        <a:xfrm flipH="1">
          <a:off x="6172200" y="8334375"/>
          <a:ext cx="4968000" cy="0"/>
        </a:xfrm>
        <a:prstGeom prst="line">
          <a:avLst/>
        </a:prstGeom>
        <a:ln w="1905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</xdr:row>
      <xdr:rowOff>9525</xdr:rowOff>
    </xdr:from>
    <xdr:to>
      <xdr:col>7</xdr:col>
      <xdr:colOff>0</xdr:colOff>
      <xdr:row>22</xdr:row>
      <xdr:rowOff>180975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E637EF45-5A68-1593-497E-5AD71727CE51}"/>
            </a:ext>
          </a:extLst>
        </xdr:cNvPr>
        <xdr:cNvGrpSpPr/>
      </xdr:nvGrpSpPr>
      <xdr:grpSpPr>
        <a:xfrm>
          <a:off x="6029325" y="971550"/>
          <a:ext cx="809625" cy="3562350"/>
          <a:chOff x="6162675" y="971550"/>
          <a:chExt cx="809625" cy="3562350"/>
        </a:xfrm>
      </xdr:grpSpPr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2EF42FFD-E467-4FA6-B691-3407460957E3}"/>
              </a:ext>
              <a:ext uri="{147F2762-F138-4A5C-976F-8EAC2B608ADB}">
                <a16:predDERef xmlns:a16="http://schemas.microsoft.com/office/drawing/2014/main" pred="{FE128332-2F97-42F6-867C-814F54003C90}"/>
              </a:ext>
            </a:extLst>
          </xdr:cNvPr>
          <xdr:cNvSpPr txBox="1"/>
        </xdr:nvSpPr>
        <xdr:spPr>
          <a:xfrm>
            <a:off x="6172200" y="2914649"/>
            <a:ext cx="790576" cy="85726"/>
          </a:xfrm>
          <a:prstGeom prst="rect">
            <a:avLst/>
          </a:prstGeom>
          <a:pattFill prst="pct10">
            <a:fgClr>
              <a:schemeClr val="tx1"/>
            </a:fgClr>
            <a:bgClr>
              <a:schemeClr val="bg1"/>
            </a:bgClr>
          </a:pattFill>
          <a:ln w="1587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 sz="1100"/>
          </a:p>
        </xdr:txBody>
      </xdr:sp>
      <xdr:grpSp>
        <xdr:nvGrpSpPr>
          <xdr:cNvPr id="22" name="Group 21">
            <a:extLst>
              <a:ext uri="{FF2B5EF4-FFF2-40B4-BE49-F238E27FC236}">
                <a16:creationId xmlns:a16="http://schemas.microsoft.com/office/drawing/2014/main" id="{BEF0D554-136B-980C-993E-E564B2D419A9}"/>
              </a:ext>
            </a:extLst>
          </xdr:cNvPr>
          <xdr:cNvGrpSpPr/>
        </xdr:nvGrpSpPr>
        <xdr:grpSpPr>
          <a:xfrm>
            <a:off x="6162675" y="971550"/>
            <a:ext cx="809625" cy="3562350"/>
            <a:chOff x="6162675" y="971550"/>
            <a:chExt cx="809625" cy="3562350"/>
          </a:xfrm>
        </xdr:grpSpPr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E390ECED-EC39-4F72-B87A-EAB782E7FFD8}"/>
                </a:ext>
                <a:ext uri="{147F2762-F138-4A5C-976F-8EAC2B608ADB}">
                  <a16:predDERef xmlns:a16="http://schemas.microsoft.com/office/drawing/2014/main" pred="{ED6C3E7A-B364-4DB1-B74E-CF98BB564B1F}"/>
                </a:ext>
              </a:extLst>
            </xdr:cNvPr>
            <xdr:cNvSpPr txBox="1"/>
          </xdr:nvSpPr>
          <xdr:spPr>
            <a:xfrm>
              <a:off x="6172200" y="971550"/>
              <a:ext cx="790576" cy="581025"/>
            </a:xfrm>
            <a:prstGeom prst="rect">
              <a:avLst/>
            </a:prstGeom>
            <a:pattFill prst="dashHorz">
              <a:fgClr>
                <a:schemeClr val="bg1">
                  <a:lumMod val="65000"/>
                </a:schemeClr>
              </a:fgClr>
              <a:bgClr>
                <a:schemeClr val="bg1"/>
              </a:bgClr>
            </a:pattFill>
            <a:ln w="1587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 sz="1100"/>
            </a:p>
          </xdr:txBody>
        </xdr:sp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A88A2F3-5B4D-41D3-8F2B-D99F80AF9582}"/>
                </a:ext>
                <a:ext uri="{147F2762-F138-4A5C-976F-8EAC2B608ADB}">
                  <a16:predDERef xmlns:a16="http://schemas.microsoft.com/office/drawing/2014/main" pred="{B2519FE9-4DB6-444C-A645-540B8B5D4396}"/>
                </a:ext>
              </a:extLst>
            </xdr:cNvPr>
            <xdr:cNvSpPr txBox="1"/>
          </xdr:nvSpPr>
          <xdr:spPr>
            <a:xfrm>
              <a:off x="6172199" y="1714500"/>
              <a:ext cx="790575" cy="285750"/>
            </a:xfrm>
            <a:prstGeom prst="rect">
              <a:avLst/>
            </a:prstGeom>
            <a:pattFill prst="dashHorz">
              <a:fgClr>
                <a:schemeClr val="bg1">
                  <a:lumMod val="65000"/>
                </a:schemeClr>
              </a:fgClr>
              <a:bgClr>
                <a:schemeClr val="bg1"/>
              </a:bgClr>
            </a:pattFill>
            <a:ln w="1587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 sz="1100"/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0ECF50D-345E-4CC3-81A7-44A6AB55288F}"/>
                </a:ext>
                <a:ext uri="{147F2762-F138-4A5C-976F-8EAC2B608ADB}">
                  <a16:predDERef xmlns:a16="http://schemas.microsoft.com/office/drawing/2014/main" pred="{AA88A2F3-5B4D-41D3-8F2B-D99F80AF9582}"/>
                </a:ext>
              </a:extLst>
            </xdr:cNvPr>
            <xdr:cNvSpPr txBox="1"/>
          </xdr:nvSpPr>
          <xdr:spPr>
            <a:xfrm>
              <a:off x="6172200" y="2009775"/>
              <a:ext cx="790575" cy="190500"/>
            </a:xfrm>
            <a:prstGeom prst="rect">
              <a:avLst/>
            </a:prstGeom>
            <a:pattFill prst="pct10">
              <a:fgClr>
                <a:schemeClr val="tx1"/>
              </a:fgClr>
              <a:bgClr>
                <a:schemeClr val="bg1"/>
              </a:bgClr>
            </a:pattFill>
            <a:ln w="1587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 sz="1100"/>
            </a:p>
          </xdr:txBody>
        </xdr:sp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E3422F6-871A-481B-B86E-87DCFC7ACDEF}"/>
                </a:ext>
                <a:ext uri="{147F2762-F138-4A5C-976F-8EAC2B608ADB}">
                  <a16:predDERef xmlns:a16="http://schemas.microsoft.com/office/drawing/2014/main" pred="{B0ECF50D-345E-4CC3-81A7-44A6AB55288F}"/>
                </a:ext>
              </a:extLst>
            </xdr:cNvPr>
            <xdr:cNvSpPr txBox="1"/>
          </xdr:nvSpPr>
          <xdr:spPr>
            <a:xfrm>
              <a:off x="6181725" y="2209800"/>
              <a:ext cx="781050" cy="304800"/>
            </a:xfrm>
            <a:prstGeom prst="rect">
              <a:avLst/>
            </a:prstGeom>
            <a:pattFill prst="dashHorz">
              <a:fgClr>
                <a:schemeClr val="bg1">
                  <a:lumMod val="65000"/>
                </a:schemeClr>
              </a:fgClr>
              <a:bgClr>
                <a:schemeClr val="bg1"/>
              </a:bgClr>
            </a:pattFill>
            <a:ln w="1587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 sz="1100"/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838BA21-7A04-47CD-A0BC-7E713B1F4304}"/>
                </a:ext>
                <a:ext uri="{147F2762-F138-4A5C-976F-8EAC2B608ADB}">
                  <a16:predDERef xmlns:a16="http://schemas.microsoft.com/office/drawing/2014/main" pred="{0E3422F6-871A-481B-B86E-87DCFC7ACDEF}"/>
                </a:ext>
              </a:extLst>
            </xdr:cNvPr>
            <xdr:cNvSpPr txBox="1"/>
          </xdr:nvSpPr>
          <xdr:spPr>
            <a:xfrm>
              <a:off x="6172200" y="2495549"/>
              <a:ext cx="790575" cy="409576"/>
            </a:xfrm>
            <a:prstGeom prst="rect">
              <a:avLst/>
            </a:prstGeom>
            <a:pattFill prst="narHorz">
              <a:fgClr>
                <a:schemeClr val="bg2">
                  <a:lumMod val="25000"/>
                </a:schemeClr>
              </a:fgClr>
              <a:bgClr>
                <a:schemeClr val="bg1"/>
              </a:bgClr>
            </a:pattFill>
            <a:ln w="1587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 sz="1100"/>
            </a:p>
          </xdr:txBody>
        </xdr:sp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0E1681B4-8317-4A80-A385-5307CAAADA11}"/>
                </a:ext>
                <a:ext uri="{147F2762-F138-4A5C-976F-8EAC2B608ADB}">
                  <a16:predDERef xmlns:a16="http://schemas.microsoft.com/office/drawing/2014/main" pred="{2EF42FFD-E467-4FA6-B691-3407460957E3}"/>
                </a:ext>
              </a:extLst>
            </xdr:cNvPr>
            <xdr:cNvSpPr txBox="1"/>
          </xdr:nvSpPr>
          <xdr:spPr>
            <a:xfrm>
              <a:off x="6162675" y="2981325"/>
              <a:ext cx="800100" cy="390525"/>
            </a:xfrm>
            <a:prstGeom prst="rect">
              <a:avLst/>
            </a:prstGeom>
            <a:pattFill prst="narHorz">
              <a:fgClr>
                <a:schemeClr val="bg2">
                  <a:lumMod val="25000"/>
                </a:schemeClr>
              </a:fgClr>
              <a:bgClr>
                <a:schemeClr val="bg1"/>
              </a:bgClr>
            </a:pattFill>
            <a:ln w="1587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 sz="1100"/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847DFD8D-7F18-4CCB-B28A-33BEBC8557F3}"/>
                </a:ext>
                <a:ext uri="{147F2762-F138-4A5C-976F-8EAC2B608ADB}">
                  <a16:predDERef xmlns:a16="http://schemas.microsoft.com/office/drawing/2014/main" pred="{0E1681B4-8317-4A80-A385-5307CAAADA11}"/>
                </a:ext>
              </a:extLst>
            </xdr:cNvPr>
            <xdr:cNvSpPr txBox="1"/>
          </xdr:nvSpPr>
          <xdr:spPr>
            <a:xfrm>
              <a:off x="6172199" y="3362324"/>
              <a:ext cx="790575" cy="400051"/>
            </a:xfrm>
            <a:prstGeom prst="rect">
              <a:avLst/>
            </a:prstGeom>
            <a:pattFill prst="pct10">
              <a:fgClr>
                <a:schemeClr val="tx1"/>
              </a:fgClr>
              <a:bgClr>
                <a:schemeClr val="bg1"/>
              </a:bgClr>
            </a:pattFill>
            <a:ln w="1587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 sz="1100"/>
            </a:p>
          </xdr:txBody>
        </xdr:sp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E5024298-1D1A-46A8-8D9E-80EDFAE686BE}"/>
                </a:ext>
                <a:ext uri="{147F2762-F138-4A5C-976F-8EAC2B608ADB}">
                  <a16:predDERef xmlns:a16="http://schemas.microsoft.com/office/drawing/2014/main" pred="{847DFD8D-7F18-4CCB-B28A-33BEBC8557F3}"/>
                </a:ext>
              </a:extLst>
            </xdr:cNvPr>
            <xdr:cNvSpPr txBox="1"/>
          </xdr:nvSpPr>
          <xdr:spPr>
            <a:xfrm>
              <a:off x="6162675" y="4171949"/>
              <a:ext cx="800100" cy="161925"/>
            </a:xfrm>
            <a:prstGeom prst="rect">
              <a:avLst/>
            </a:prstGeom>
            <a:pattFill prst="dotDmnd">
              <a:fgClr>
                <a:schemeClr val="bg2">
                  <a:lumMod val="50000"/>
                </a:schemeClr>
              </a:fgClr>
              <a:bgClr>
                <a:schemeClr val="bg1"/>
              </a:bgClr>
            </a:pattFill>
            <a:ln w="1587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 sz="1100"/>
            </a:p>
          </xdr:txBody>
        </xdr:sp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5E6BBED6-299A-42F7-BD44-68362751D31A}"/>
                </a:ext>
                <a:ext uri="{147F2762-F138-4A5C-976F-8EAC2B608ADB}">
                  <a16:predDERef xmlns:a16="http://schemas.microsoft.com/office/drawing/2014/main" pred="{E5024298-1D1A-46A8-8D9E-80EDFAE686BE}"/>
                </a:ext>
              </a:extLst>
            </xdr:cNvPr>
            <xdr:cNvSpPr txBox="1"/>
          </xdr:nvSpPr>
          <xdr:spPr>
            <a:xfrm>
              <a:off x="6162676" y="3924301"/>
              <a:ext cx="800100" cy="238124"/>
            </a:xfrm>
            <a:prstGeom prst="rect">
              <a:avLst/>
            </a:prstGeom>
            <a:pattFill prst="horzBrick">
              <a:fgClr>
                <a:schemeClr val="bg2">
                  <a:lumMod val="25000"/>
                </a:schemeClr>
              </a:fgClr>
              <a:bgClr>
                <a:schemeClr val="bg1"/>
              </a:bgClr>
            </a:pattFill>
            <a:ln w="1587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 sz="1100"/>
            </a:p>
          </xdr:txBody>
        </xdr:sp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179A24B3-867F-D168-22B8-B0E9063BB741}"/>
                </a:ext>
                <a:ext uri="{147F2762-F138-4A5C-976F-8EAC2B608ADB}">
                  <a16:predDERef xmlns:a16="http://schemas.microsoft.com/office/drawing/2014/main" pred="{847DFD8D-7F18-4CCB-B28A-33BEBC8557F3}"/>
                </a:ext>
              </a:extLst>
            </xdr:cNvPr>
            <xdr:cNvSpPr txBox="1"/>
          </xdr:nvSpPr>
          <xdr:spPr>
            <a:xfrm>
              <a:off x="6172200" y="3771899"/>
              <a:ext cx="800100" cy="161925"/>
            </a:xfrm>
            <a:prstGeom prst="rect">
              <a:avLst/>
            </a:prstGeom>
            <a:pattFill prst="dotDmnd">
              <a:fgClr>
                <a:schemeClr val="bg2">
                  <a:lumMod val="50000"/>
                </a:schemeClr>
              </a:fgClr>
              <a:bgClr>
                <a:schemeClr val="bg1"/>
              </a:bgClr>
            </a:pattFill>
            <a:ln w="1587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 sz="1100"/>
            </a:p>
          </xdr:txBody>
        </xdr:sp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4B9DBC81-4A2B-9E09-371B-3DF19ECA40CE}"/>
                </a:ext>
              </a:extLst>
            </xdr:cNvPr>
            <xdr:cNvSpPr txBox="1"/>
          </xdr:nvSpPr>
          <xdr:spPr>
            <a:xfrm>
              <a:off x="6172199" y="4352925"/>
              <a:ext cx="790575" cy="180975"/>
            </a:xfrm>
            <a:prstGeom prst="rect">
              <a:avLst/>
            </a:prstGeom>
            <a:pattFill prst="horzBrick">
              <a:fgClr>
                <a:schemeClr val="bg2">
                  <a:lumMod val="25000"/>
                </a:schemeClr>
              </a:fgClr>
              <a:bgClr>
                <a:schemeClr val="bg1"/>
              </a:bgClr>
            </a:patt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en-GB" sz="1100"/>
            </a:p>
          </xdr:txBody>
        </xdr:sp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30724E76-6393-78CF-7625-FA7D3B4D8472}"/>
                </a:ext>
              </a:extLst>
            </xdr:cNvPr>
            <xdr:cNvSpPr txBox="1"/>
          </xdr:nvSpPr>
          <xdr:spPr>
            <a:xfrm>
              <a:off x="6172200" y="3552824"/>
              <a:ext cx="800100" cy="95251"/>
            </a:xfrm>
            <a:prstGeom prst="rect">
              <a:avLst/>
            </a:prstGeom>
            <a:pattFill prst="narHorz">
              <a:fgClr>
                <a:schemeClr val="bg2">
                  <a:lumMod val="25000"/>
                </a:schemeClr>
              </a:fgClr>
              <a:bgClr>
                <a:schemeClr val="bg1"/>
              </a:bgClr>
            </a:patt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en-GB" sz="1100"/>
            </a:p>
          </xdr:txBody>
        </xdr:sp>
      </xdr:grpSp>
    </xdr:grpSp>
    <xdr:clientData/>
  </xdr:twoCellAnchor>
  <xdr:twoCellAnchor>
    <xdr:from>
      <xdr:col>10</xdr:col>
      <xdr:colOff>19049</xdr:colOff>
      <xdr:row>29</xdr:row>
      <xdr:rowOff>38100</xdr:rowOff>
    </xdr:from>
    <xdr:to>
      <xdr:col>12</xdr:col>
      <xdr:colOff>419849</xdr:colOff>
      <xdr:row>29</xdr:row>
      <xdr:rowOff>38100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B90244A1-36CF-4B9E-B8A7-1A529ADE1448}"/>
            </a:ext>
          </a:extLst>
        </xdr:cNvPr>
        <xdr:cNvCxnSpPr/>
      </xdr:nvCxnSpPr>
      <xdr:spPr>
        <a:xfrm flipH="1">
          <a:off x="6181724" y="5734050"/>
          <a:ext cx="1620000" cy="0"/>
        </a:xfrm>
        <a:prstGeom prst="line">
          <a:avLst/>
        </a:prstGeom>
        <a:ln w="1905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52387</xdr:colOff>
      <xdr:row>33</xdr:row>
      <xdr:rowOff>80962</xdr:rowOff>
    </xdr:from>
    <xdr:to>
      <xdr:col>11</xdr:col>
      <xdr:colOff>295275</xdr:colOff>
      <xdr:row>35</xdr:row>
      <xdr:rowOff>104775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9669CC16-491A-F4A4-E8BB-18F17D7E0E8D}"/>
            </a:ext>
          </a:extLst>
        </xdr:cNvPr>
        <xdr:cNvSpPr txBox="1"/>
      </xdr:nvSpPr>
      <xdr:spPr>
        <a:xfrm>
          <a:off x="6215062" y="6538912"/>
          <a:ext cx="852488" cy="404813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900" b="1"/>
            <a:t>intermediate hole@4200ft</a:t>
          </a:r>
        </a:p>
      </xdr:txBody>
    </xdr:sp>
    <xdr:clientData/>
  </xdr:twoCellAnchor>
  <xdr:twoCellAnchor>
    <xdr:from>
      <xdr:col>10</xdr:col>
      <xdr:colOff>47625</xdr:colOff>
      <xdr:row>29</xdr:row>
      <xdr:rowOff>19050</xdr:rowOff>
    </xdr:from>
    <xdr:to>
      <xdr:col>11</xdr:col>
      <xdr:colOff>304800</xdr:colOff>
      <xdr:row>33</xdr:row>
      <xdr:rowOff>66675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CB7F6903-5627-03B0-F4C9-CD678E8B8334}"/>
            </a:ext>
          </a:extLst>
        </xdr:cNvPr>
        <xdr:cNvSpPr txBox="1"/>
      </xdr:nvSpPr>
      <xdr:spPr>
        <a:xfrm>
          <a:off x="6210300" y="5715000"/>
          <a:ext cx="866775" cy="809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00" b="1"/>
            <a:t>top hole </a:t>
          </a:r>
        </a:p>
        <a:p>
          <a:r>
            <a:rPr lang="en-GB" sz="1000" b="1"/>
            <a:t>section@</a:t>
          </a:r>
        </a:p>
        <a:p>
          <a:r>
            <a:rPr lang="en-GB" sz="1000" b="1"/>
            <a:t>2600ft</a:t>
          </a:r>
        </a:p>
      </xdr:txBody>
    </xdr:sp>
    <xdr:clientData/>
  </xdr:twoCellAnchor>
  <xdr:twoCellAnchor>
    <xdr:from>
      <xdr:col>10</xdr:col>
      <xdr:colOff>57150</xdr:colOff>
      <xdr:row>35</xdr:row>
      <xdr:rowOff>114300</xdr:rowOff>
    </xdr:from>
    <xdr:to>
      <xdr:col>11</xdr:col>
      <xdr:colOff>295275</xdr:colOff>
      <xdr:row>42</xdr:row>
      <xdr:rowOff>180975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66C23E50-B2F2-5BA3-FB48-5FD2DDBC6E76}"/>
            </a:ext>
          </a:extLst>
        </xdr:cNvPr>
        <xdr:cNvSpPr txBox="1"/>
      </xdr:nvSpPr>
      <xdr:spPr>
        <a:xfrm>
          <a:off x="6219825" y="6953250"/>
          <a:ext cx="847725" cy="1400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  <a:p>
          <a:endParaRPr lang="en-GB" sz="1100"/>
        </a:p>
        <a:p>
          <a:r>
            <a:rPr lang="en-GB" sz="1100" b="1"/>
            <a:t>bottom</a:t>
          </a:r>
          <a:r>
            <a:rPr lang="en-GB" sz="1100" b="1" baseline="0"/>
            <a:t> </a:t>
          </a:r>
          <a:r>
            <a:rPr lang="en-GB" sz="1100" b="1"/>
            <a:t>hole section @8600ft</a:t>
          </a:r>
        </a:p>
      </xdr:txBody>
    </xdr:sp>
    <xdr:clientData/>
  </xdr:twoCellAnchor>
  <xdr:twoCellAnchor>
    <xdr:from>
      <xdr:col>3</xdr:col>
      <xdr:colOff>1419224</xdr:colOff>
      <xdr:row>9</xdr:row>
      <xdr:rowOff>0</xdr:rowOff>
    </xdr:from>
    <xdr:to>
      <xdr:col>4</xdr:col>
      <xdr:colOff>1419224</xdr:colOff>
      <xdr:row>10</xdr:row>
      <xdr:rowOff>85725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8743AA1-A5BD-DD4E-DB81-81A10A8302DD}"/>
            </a:ext>
          </a:extLst>
        </xdr:cNvPr>
        <xdr:cNvSpPr txBox="1"/>
      </xdr:nvSpPr>
      <xdr:spPr>
        <a:xfrm>
          <a:off x="4057649" y="1752600"/>
          <a:ext cx="1419225" cy="2857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  </a:t>
          </a:r>
          <a:r>
            <a:rPr lang="en-GB" sz="1200" b="1"/>
            <a:t>3220 - 3300 ft</a:t>
          </a:r>
        </a:p>
      </xdr:txBody>
    </xdr:sp>
    <xdr:clientData/>
  </xdr:twoCellAnchor>
  <xdr:twoCellAnchor>
    <xdr:from>
      <xdr:col>3</xdr:col>
      <xdr:colOff>1419224</xdr:colOff>
      <xdr:row>10</xdr:row>
      <xdr:rowOff>85725</xdr:rowOff>
    </xdr:from>
    <xdr:to>
      <xdr:col>4</xdr:col>
      <xdr:colOff>1419224</xdr:colOff>
      <xdr:row>11</xdr:row>
      <xdr:rowOff>47625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19B9D72-6454-82FA-409A-D3B02E412A43}"/>
            </a:ext>
          </a:extLst>
        </xdr:cNvPr>
        <xdr:cNvSpPr txBox="1"/>
      </xdr:nvSpPr>
      <xdr:spPr>
        <a:xfrm>
          <a:off x="4057649" y="2038350"/>
          <a:ext cx="1419225" cy="16192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900"/>
            <a:t>   </a:t>
          </a:r>
          <a:r>
            <a:rPr lang="en-GB" sz="900" b="1"/>
            <a:t>3300 - 4100 ft</a:t>
          </a:r>
        </a:p>
      </xdr:txBody>
    </xdr:sp>
    <xdr:clientData/>
  </xdr:twoCellAnchor>
  <xdr:twoCellAnchor>
    <xdr:from>
      <xdr:col>3</xdr:col>
      <xdr:colOff>1304924</xdr:colOff>
      <xdr:row>11</xdr:row>
      <xdr:rowOff>47624</xdr:rowOff>
    </xdr:from>
    <xdr:to>
      <xdr:col>4</xdr:col>
      <xdr:colOff>1247774</xdr:colOff>
      <xdr:row>15</xdr:row>
      <xdr:rowOff>171449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40353B6-0037-E6C7-3064-CD23A268592D}"/>
            </a:ext>
          </a:extLst>
        </xdr:cNvPr>
        <xdr:cNvSpPr txBox="1"/>
      </xdr:nvSpPr>
      <xdr:spPr>
        <a:xfrm>
          <a:off x="3838574" y="2200274"/>
          <a:ext cx="1247775" cy="92392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0"/>
            <a:t> </a:t>
          </a:r>
          <a:endParaRPr lang="en-GB" sz="1200" b="1"/>
        </a:p>
      </xdr:txBody>
    </xdr:sp>
    <xdr:clientData/>
  </xdr:twoCellAnchor>
  <xdr:twoCellAnchor>
    <xdr:from>
      <xdr:col>3</xdr:col>
      <xdr:colOff>1419224</xdr:colOff>
      <xdr:row>16</xdr:row>
      <xdr:rowOff>200024</xdr:rowOff>
    </xdr:from>
    <xdr:to>
      <xdr:col>4</xdr:col>
      <xdr:colOff>1419224</xdr:colOff>
      <xdr:row>19</xdr:row>
      <xdr:rowOff>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3DB6543-5A2F-7BB4-4D5C-BCA553CA549D}"/>
            </a:ext>
          </a:extLst>
        </xdr:cNvPr>
        <xdr:cNvSpPr txBox="1"/>
      </xdr:nvSpPr>
      <xdr:spPr>
        <a:xfrm>
          <a:off x="4057649" y="3352799"/>
          <a:ext cx="1419225" cy="400051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/>
            <a:t> </a:t>
          </a:r>
          <a:r>
            <a:rPr lang="en-GB" sz="1200" b="1"/>
            <a:t>8060 - 8400 ft </a:t>
          </a:r>
        </a:p>
      </xdr:txBody>
    </xdr:sp>
    <xdr:clientData/>
  </xdr:twoCellAnchor>
  <xdr:twoCellAnchor>
    <xdr:from>
      <xdr:col>3</xdr:col>
      <xdr:colOff>1304924</xdr:colOff>
      <xdr:row>15</xdr:row>
      <xdr:rowOff>85725</xdr:rowOff>
    </xdr:from>
    <xdr:to>
      <xdr:col>4</xdr:col>
      <xdr:colOff>1247774</xdr:colOff>
      <xdr:row>19</xdr:row>
      <xdr:rowOff>1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D9546CF2-8543-A898-10D2-3F375AD3CF8D}"/>
            </a:ext>
          </a:extLst>
        </xdr:cNvPr>
        <xdr:cNvSpPr txBox="1"/>
      </xdr:nvSpPr>
      <xdr:spPr>
        <a:xfrm>
          <a:off x="3838574" y="3038475"/>
          <a:ext cx="1247775" cy="714376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0"/>
            <a:t> </a:t>
          </a:r>
        </a:p>
        <a:p>
          <a:r>
            <a:rPr lang="en-GB" sz="1200" b="0"/>
            <a:t> </a:t>
          </a:r>
          <a:r>
            <a:rPr lang="en-GB" sz="1200" b="1"/>
            <a:t>8060 - 8400 ft</a:t>
          </a:r>
        </a:p>
      </xdr:txBody>
    </xdr:sp>
    <xdr:clientData/>
  </xdr:twoCellAnchor>
  <xdr:twoCellAnchor>
    <xdr:from>
      <xdr:col>3</xdr:col>
      <xdr:colOff>1295399</xdr:colOff>
      <xdr:row>11</xdr:row>
      <xdr:rowOff>57149</xdr:rowOff>
    </xdr:from>
    <xdr:to>
      <xdr:col>4</xdr:col>
      <xdr:colOff>1238249</xdr:colOff>
      <xdr:row>16</xdr:row>
      <xdr:rowOff>76200</xdr:rowOff>
    </xdr:to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F20EB622-BCA2-4A54-97FF-4C399E8736B0}"/>
            </a:ext>
          </a:extLst>
        </xdr:cNvPr>
        <xdr:cNvSpPr txBox="1"/>
      </xdr:nvSpPr>
      <xdr:spPr>
        <a:xfrm>
          <a:off x="3829049" y="2209799"/>
          <a:ext cx="1247775" cy="1019176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0"/>
            <a:t> </a:t>
          </a:r>
        </a:p>
        <a:p>
          <a:r>
            <a:rPr lang="en-GB" sz="1200" b="1"/>
            <a:t>4100 - 7700 ft</a:t>
          </a:r>
        </a:p>
        <a:p>
          <a:r>
            <a:rPr lang="en-GB" sz="1200" b="0"/>
            <a:t> </a:t>
          </a:r>
          <a:endParaRPr lang="en-GB" sz="1200" b="1"/>
        </a:p>
      </xdr:txBody>
    </xdr:sp>
    <xdr:clientData/>
  </xdr:twoCellAnchor>
  <xdr:twoCellAnchor editAs="oneCell">
    <xdr:from>
      <xdr:col>3</xdr:col>
      <xdr:colOff>28575</xdr:colOff>
      <xdr:row>130</xdr:row>
      <xdr:rowOff>0</xdr:rowOff>
    </xdr:from>
    <xdr:to>
      <xdr:col>16</xdr:col>
      <xdr:colOff>582737</xdr:colOff>
      <xdr:row>161</xdr:row>
      <xdr:rowOff>162772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999E0B73-B955-FA35-6AF0-699533332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62225" y="24974550"/>
          <a:ext cx="12269912" cy="6068272"/>
        </a:xfrm>
        <a:prstGeom prst="rect">
          <a:avLst/>
        </a:prstGeom>
      </xdr:spPr>
    </xdr:pic>
    <xdr:clientData/>
  </xdr:twoCellAnchor>
  <xdr:twoCellAnchor>
    <xdr:from>
      <xdr:col>12</xdr:col>
      <xdr:colOff>371488</xdr:colOff>
      <xdr:row>63</xdr:row>
      <xdr:rowOff>9516</xdr:rowOff>
    </xdr:from>
    <xdr:to>
      <xdr:col>12</xdr:col>
      <xdr:colOff>619155</xdr:colOff>
      <xdr:row>70</xdr:row>
      <xdr:rowOff>123825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0CA4E3A7-F4C7-0840-9BAC-2ED9766F45F4}"/>
            </a:ext>
          </a:extLst>
        </xdr:cNvPr>
        <xdr:cNvGrpSpPr/>
      </xdr:nvGrpSpPr>
      <xdr:grpSpPr>
        <a:xfrm>
          <a:off x="11363338" y="12220566"/>
          <a:ext cx="247667" cy="1466859"/>
          <a:chOff x="8648702" y="12215015"/>
          <a:chExt cx="119781" cy="394605"/>
        </a:xfrm>
      </xdr:grpSpPr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48D6E806-3751-D50C-5F9F-668C32E33726}"/>
              </a:ext>
            </a:extLst>
          </xdr:cNvPr>
          <xdr:cNvCxnSpPr/>
        </xdr:nvCxnSpPr>
        <xdr:spPr>
          <a:xfrm>
            <a:off x="8648702" y="12215015"/>
            <a:ext cx="8218" cy="391704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6" name="Right Triangle 25">
            <a:extLst>
              <a:ext uri="{FF2B5EF4-FFF2-40B4-BE49-F238E27FC236}">
                <a16:creationId xmlns:a16="http://schemas.microsoft.com/office/drawing/2014/main" id="{3DB52BA1-4E85-845B-0D19-7B345E077E67}"/>
              </a:ext>
            </a:extLst>
          </xdr:cNvPr>
          <xdr:cNvSpPr/>
        </xdr:nvSpPr>
        <xdr:spPr>
          <a:xfrm>
            <a:off x="8668559" y="12568951"/>
            <a:ext cx="99924" cy="40669"/>
          </a:xfrm>
          <a:prstGeom prst="rtTriangl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12</xdr:col>
      <xdr:colOff>266685</xdr:colOff>
      <xdr:row>63</xdr:row>
      <xdr:rowOff>9524</xdr:rowOff>
    </xdr:from>
    <xdr:to>
      <xdr:col>12</xdr:col>
      <xdr:colOff>523875</xdr:colOff>
      <xdr:row>72</xdr:row>
      <xdr:rowOff>57149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A1F715C9-F01B-3017-8517-8F3B05D63AD6}"/>
            </a:ext>
          </a:extLst>
        </xdr:cNvPr>
        <xdr:cNvGrpSpPr/>
      </xdr:nvGrpSpPr>
      <xdr:grpSpPr>
        <a:xfrm>
          <a:off x="11258535" y="12220574"/>
          <a:ext cx="257190" cy="1781175"/>
          <a:chOff x="8648702" y="12215015"/>
          <a:chExt cx="191682" cy="391704"/>
        </a:xfrm>
      </xdr:grpSpPr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BCA704E5-21B6-0AA2-F143-700371858A06}"/>
              </a:ext>
            </a:extLst>
          </xdr:cNvPr>
          <xdr:cNvCxnSpPr/>
        </xdr:nvCxnSpPr>
        <xdr:spPr>
          <a:xfrm>
            <a:off x="8648702" y="12215015"/>
            <a:ext cx="8218" cy="391704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4" name="Right Triangle 33">
            <a:extLst>
              <a:ext uri="{FF2B5EF4-FFF2-40B4-BE49-F238E27FC236}">
                <a16:creationId xmlns:a16="http://schemas.microsoft.com/office/drawing/2014/main" id="{D0DBF42B-F259-C528-EDEE-C054CD944F0E}"/>
              </a:ext>
            </a:extLst>
          </xdr:cNvPr>
          <xdr:cNvSpPr/>
        </xdr:nvSpPr>
        <xdr:spPr>
          <a:xfrm>
            <a:off x="8666956" y="12578740"/>
            <a:ext cx="173428" cy="22835"/>
          </a:xfrm>
          <a:prstGeom prst="rtTriangl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14</xdr:col>
      <xdr:colOff>723899</xdr:colOff>
      <xdr:row>61</xdr:row>
      <xdr:rowOff>85725</xdr:rowOff>
    </xdr:from>
    <xdr:to>
      <xdr:col>16</xdr:col>
      <xdr:colOff>95250</xdr:colOff>
      <xdr:row>62</xdr:row>
      <xdr:rowOff>114301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693F22D9-0925-6C9C-5D3E-363BE09E78D5}"/>
            </a:ext>
          </a:extLst>
        </xdr:cNvPr>
        <xdr:cNvSpPr txBox="1"/>
      </xdr:nvSpPr>
      <xdr:spPr>
        <a:xfrm>
          <a:off x="10829924" y="11896725"/>
          <a:ext cx="1085851" cy="2190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pressure (psi)</a:t>
          </a:r>
        </a:p>
      </xdr:txBody>
    </xdr:sp>
    <xdr:clientData/>
  </xdr:twoCellAnchor>
  <xdr:twoCellAnchor>
    <xdr:from>
      <xdr:col>15</xdr:col>
      <xdr:colOff>266700</xdr:colOff>
      <xdr:row>67</xdr:row>
      <xdr:rowOff>95251</xdr:rowOff>
    </xdr:from>
    <xdr:to>
      <xdr:col>15</xdr:col>
      <xdr:colOff>542925</xdr:colOff>
      <xdr:row>68</xdr:row>
      <xdr:rowOff>104775</xdr:rowOff>
    </xdr:to>
    <xdr:cxnSp macro="">
      <xdr:nvCxnSpPr>
        <xdr:cNvPr id="75" name="Straight Arrow Connector 80">
          <a:extLst>
            <a:ext uri="{FF2B5EF4-FFF2-40B4-BE49-F238E27FC236}">
              <a16:creationId xmlns:a16="http://schemas.microsoft.com/office/drawing/2014/main" id="{D943250A-B6DA-72CA-B784-A5F83209E8EC}"/>
            </a:ext>
          </a:extLst>
        </xdr:cNvPr>
        <xdr:cNvCxnSpPr>
          <a:cxnSpLocks/>
        </xdr:cNvCxnSpPr>
      </xdr:nvCxnSpPr>
      <xdr:spPr>
        <a:xfrm flipH="1">
          <a:off x="12087225" y="13058776"/>
          <a:ext cx="276225" cy="20002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723900</xdr:colOff>
      <xdr:row>71</xdr:row>
      <xdr:rowOff>104776</xdr:rowOff>
    </xdr:from>
    <xdr:to>
      <xdr:col>15</xdr:col>
      <xdr:colOff>133350</xdr:colOff>
      <xdr:row>73</xdr:row>
      <xdr:rowOff>38100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B6BE40D5-812E-BA0E-6D1D-64715730E32C}"/>
            </a:ext>
          </a:extLst>
        </xdr:cNvPr>
        <xdr:cNvCxnSpPr/>
      </xdr:nvCxnSpPr>
      <xdr:spPr>
        <a:xfrm flipH="1">
          <a:off x="11610975" y="13811251"/>
          <a:ext cx="342900" cy="31432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73</xdr:row>
      <xdr:rowOff>85725</xdr:rowOff>
    </xdr:from>
    <xdr:to>
      <xdr:col>15</xdr:col>
      <xdr:colOff>552450</xdr:colOff>
      <xdr:row>74</xdr:row>
      <xdr:rowOff>114300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52B9DB5A-20E4-D047-0020-E641753E42A6}"/>
            </a:ext>
          </a:extLst>
        </xdr:cNvPr>
        <xdr:cNvCxnSpPr/>
      </xdr:nvCxnSpPr>
      <xdr:spPr>
        <a:xfrm flipH="1">
          <a:off x="12087225" y="14173200"/>
          <a:ext cx="285750" cy="2190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152400</xdr:colOff>
      <xdr:row>76</xdr:row>
      <xdr:rowOff>104775</xdr:rowOff>
    </xdr:from>
    <xdr:to>
      <xdr:col>15</xdr:col>
      <xdr:colOff>657225</xdr:colOff>
      <xdr:row>79</xdr:row>
      <xdr:rowOff>9525</xdr:rowOff>
    </xdr:to>
    <xdr:cxnSp macro="">
      <xdr:nvCxnSpPr>
        <xdr:cNvPr id="91" name="Straight Arrow Connector 90">
          <a:extLst>
            <a:ext uri="{FF2B5EF4-FFF2-40B4-BE49-F238E27FC236}">
              <a16:creationId xmlns:a16="http://schemas.microsoft.com/office/drawing/2014/main" id="{1B01FFF2-D7EC-58A9-53E6-B37CC7E41DC4}"/>
            </a:ext>
          </a:extLst>
        </xdr:cNvPr>
        <xdr:cNvCxnSpPr/>
      </xdr:nvCxnSpPr>
      <xdr:spPr>
        <a:xfrm flipH="1">
          <a:off x="11972925" y="14763750"/>
          <a:ext cx="504825" cy="4762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619125</xdr:colOff>
      <xdr:row>79</xdr:row>
      <xdr:rowOff>123825</xdr:rowOff>
    </xdr:from>
    <xdr:to>
      <xdr:col>14</xdr:col>
      <xdr:colOff>885825</xdr:colOff>
      <xdr:row>79</xdr:row>
      <xdr:rowOff>180975</xdr:rowOff>
    </xdr:to>
    <xdr:cxnSp macro="">
      <xdr:nvCxnSpPr>
        <xdr:cNvPr id="93" name="Straight Arrow Connector 92">
          <a:extLst>
            <a:ext uri="{FF2B5EF4-FFF2-40B4-BE49-F238E27FC236}">
              <a16:creationId xmlns:a16="http://schemas.microsoft.com/office/drawing/2014/main" id="{95381127-1540-FC84-DC15-9B406136662F}"/>
            </a:ext>
          </a:extLst>
        </xdr:cNvPr>
        <xdr:cNvCxnSpPr/>
      </xdr:nvCxnSpPr>
      <xdr:spPr>
        <a:xfrm flipV="1">
          <a:off x="11506200" y="15354300"/>
          <a:ext cx="266700" cy="571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98425</xdr:colOff>
      <xdr:row>63</xdr:row>
      <xdr:rowOff>0</xdr:rowOff>
    </xdr:from>
    <xdr:to>
      <xdr:col>20</xdr:col>
      <xdr:colOff>57149</xdr:colOff>
      <xdr:row>84</xdr:row>
      <xdr:rowOff>47625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ECED05E5-5B19-453F-B4C4-26096C57C3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428627</xdr:colOff>
      <xdr:row>63</xdr:row>
      <xdr:rowOff>23015</xdr:rowOff>
    </xdr:from>
    <xdr:to>
      <xdr:col>12</xdr:col>
      <xdr:colOff>647692</xdr:colOff>
      <xdr:row>65</xdr:row>
      <xdr:rowOff>33719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B89244A0-2D4D-346A-419C-57BB0E6B26BB}"/>
            </a:ext>
          </a:extLst>
        </xdr:cNvPr>
        <xdr:cNvGrpSpPr/>
      </xdr:nvGrpSpPr>
      <xdr:grpSpPr>
        <a:xfrm>
          <a:off x="11420477" y="12234065"/>
          <a:ext cx="219065" cy="391704"/>
          <a:chOff x="8648702" y="12215015"/>
          <a:chExt cx="219065" cy="391704"/>
        </a:xfrm>
      </xdr:grpSpPr>
      <xdr:cxnSp macro="">
        <xdr:nvCxnSpPr>
          <xdr:cNvPr id="89" name="Straight Connector 88">
            <a:extLst>
              <a:ext uri="{FF2B5EF4-FFF2-40B4-BE49-F238E27FC236}">
                <a16:creationId xmlns:a16="http://schemas.microsoft.com/office/drawing/2014/main" id="{C5FE7022-2D5C-9EF6-40C4-40EBAFC9CEB2}"/>
              </a:ext>
            </a:extLst>
          </xdr:cNvPr>
          <xdr:cNvCxnSpPr/>
        </xdr:nvCxnSpPr>
        <xdr:spPr>
          <a:xfrm>
            <a:off x="8648702" y="12215015"/>
            <a:ext cx="8218" cy="391704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0" name="Right Triangle 89">
            <a:extLst>
              <a:ext uri="{FF2B5EF4-FFF2-40B4-BE49-F238E27FC236}">
                <a16:creationId xmlns:a16="http://schemas.microsoft.com/office/drawing/2014/main" id="{91F0CCF2-D08A-AFA5-B2FE-864371097E2E}"/>
              </a:ext>
            </a:extLst>
          </xdr:cNvPr>
          <xdr:cNvSpPr/>
        </xdr:nvSpPr>
        <xdr:spPr>
          <a:xfrm>
            <a:off x="8665147" y="12475966"/>
            <a:ext cx="202620" cy="125609"/>
          </a:xfrm>
          <a:prstGeom prst="rtTriangl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12</xdr:col>
      <xdr:colOff>161910</xdr:colOff>
      <xdr:row>63</xdr:row>
      <xdr:rowOff>13488</xdr:rowOff>
    </xdr:from>
    <xdr:to>
      <xdr:col>12</xdr:col>
      <xdr:colOff>419100</xdr:colOff>
      <xdr:row>79</xdr:row>
      <xdr:rowOff>38099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785D5D1D-B83F-BBBF-40B9-4183ADD2F685}"/>
            </a:ext>
          </a:extLst>
        </xdr:cNvPr>
        <xdr:cNvGrpSpPr/>
      </xdr:nvGrpSpPr>
      <xdr:grpSpPr>
        <a:xfrm>
          <a:off x="11153760" y="12224538"/>
          <a:ext cx="257190" cy="3091661"/>
          <a:chOff x="8648702" y="12215015"/>
          <a:chExt cx="191682" cy="391704"/>
        </a:xfrm>
      </xdr:grpSpPr>
      <xdr:cxnSp macro="">
        <xdr:nvCxnSpPr>
          <xdr:cNvPr id="36" name="Straight Connector 35">
            <a:extLst>
              <a:ext uri="{FF2B5EF4-FFF2-40B4-BE49-F238E27FC236}">
                <a16:creationId xmlns:a16="http://schemas.microsoft.com/office/drawing/2014/main" id="{88E34F31-B079-01A8-7A25-6D1E0FE0E23A}"/>
              </a:ext>
            </a:extLst>
          </xdr:cNvPr>
          <xdr:cNvCxnSpPr/>
        </xdr:nvCxnSpPr>
        <xdr:spPr>
          <a:xfrm>
            <a:off x="8648702" y="12215015"/>
            <a:ext cx="8218" cy="391704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" name="Right Triangle 36">
            <a:extLst>
              <a:ext uri="{FF2B5EF4-FFF2-40B4-BE49-F238E27FC236}">
                <a16:creationId xmlns:a16="http://schemas.microsoft.com/office/drawing/2014/main" id="{C91735C8-944F-36C5-9C99-483AC9C0630F}"/>
              </a:ext>
            </a:extLst>
          </xdr:cNvPr>
          <xdr:cNvSpPr/>
        </xdr:nvSpPr>
        <xdr:spPr>
          <a:xfrm>
            <a:off x="8666956" y="12591914"/>
            <a:ext cx="173428" cy="13061"/>
          </a:xfrm>
          <a:prstGeom prst="rtTriangl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11</xdr:col>
      <xdr:colOff>66660</xdr:colOff>
      <xdr:row>73</xdr:row>
      <xdr:rowOff>28574</xdr:rowOff>
    </xdr:from>
    <xdr:to>
      <xdr:col>11</xdr:col>
      <xdr:colOff>323850</xdr:colOff>
      <xdr:row>81</xdr:row>
      <xdr:rowOff>152400</xdr:rowOff>
    </xdr:to>
    <xdr:grpSp>
      <xdr:nvGrpSpPr>
        <xdr:cNvPr id="110" name="Group 109">
          <a:extLst>
            <a:ext uri="{FF2B5EF4-FFF2-40B4-BE49-F238E27FC236}">
              <a16:creationId xmlns:a16="http://schemas.microsoft.com/office/drawing/2014/main" id="{BCA0184E-D640-2292-3373-1B41553B01BF}"/>
            </a:ext>
          </a:extLst>
        </xdr:cNvPr>
        <xdr:cNvGrpSpPr/>
      </xdr:nvGrpSpPr>
      <xdr:grpSpPr>
        <a:xfrm flipH="1">
          <a:off x="9944085" y="14163674"/>
          <a:ext cx="257190" cy="1647826"/>
          <a:chOff x="8277210" y="14116050"/>
          <a:chExt cx="257190" cy="1419225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038CA080-5337-BFC9-49E3-AFD841BA95CA}"/>
              </a:ext>
            </a:extLst>
          </xdr:cNvPr>
          <xdr:cNvGrpSpPr/>
        </xdr:nvGrpSpPr>
        <xdr:grpSpPr>
          <a:xfrm>
            <a:off x="8277210" y="14125576"/>
            <a:ext cx="257190" cy="1409699"/>
            <a:chOff x="8648702" y="12215015"/>
            <a:chExt cx="191682" cy="391704"/>
          </a:xfrm>
        </xdr:grpSpPr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D97D74-4021-0477-1E1E-1CED8FE43A04}"/>
                </a:ext>
              </a:extLst>
            </xdr:cNvPr>
            <xdr:cNvCxnSpPr/>
          </xdr:nvCxnSpPr>
          <xdr:spPr>
            <a:xfrm>
              <a:off x="8648702" y="12215015"/>
              <a:ext cx="8218" cy="391704"/>
            </a:xfrm>
            <a:prstGeom prst="line">
              <a:avLst/>
            </a:prstGeom>
            <a:ln w="2857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4" name="Right Triangle 43">
              <a:extLst>
                <a:ext uri="{FF2B5EF4-FFF2-40B4-BE49-F238E27FC236}">
                  <a16:creationId xmlns:a16="http://schemas.microsoft.com/office/drawing/2014/main" id="{5D6FF0EA-3ADE-3522-D88E-F45A332E35C5}"/>
                </a:ext>
              </a:extLst>
            </xdr:cNvPr>
            <xdr:cNvSpPr/>
          </xdr:nvSpPr>
          <xdr:spPr>
            <a:xfrm>
              <a:off x="8666956" y="12580557"/>
              <a:ext cx="173428" cy="24418"/>
            </a:xfrm>
            <a:prstGeom prst="rtTriangle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</xdr:grpSp>
      <xdr:sp macro="" textlink="">
        <xdr:nvSpPr>
          <xdr:cNvPr id="49" name="Rectangle 48">
            <a:extLst>
              <a:ext uri="{FF2B5EF4-FFF2-40B4-BE49-F238E27FC236}">
                <a16:creationId xmlns:a16="http://schemas.microsoft.com/office/drawing/2014/main" id="{4871E91D-B84C-D57E-DE4A-F28EF9FF5438}"/>
              </a:ext>
            </a:extLst>
          </xdr:cNvPr>
          <xdr:cNvSpPr/>
        </xdr:nvSpPr>
        <xdr:spPr>
          <a:xfrm>
            <a:off x="8296275" y="14116050"/>
            <a:ext cx="76200" cy="133350"/>
          </a:xfrm>
          <a:prstGeom prst="rect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13</xdr:col>
      <xdr:colOff>933450</xdr:colOff>
      <xdr:row>76</xdr:row>
      <xdr:rowOff>180975</xdr:rowOff>
    </xdr:from>
    <xdr:to>
      <xdr:col>15</xdr:col>
      <xdr:colOff>180975</xdr:colOff>
      <xdr:row>78</xdr:row>
      <xdr:rowOff>28576</xdr:rowOff>
    </xdr:to>
    <xdr:sp macro="" textlink="">
      <xdr:nvSpPr>
        <xdr:cNvPr id="46" name="TextBox 67">
          <a:extLst>
            <a:ext uri="{FF2B5EF4-FFF2-40B4-BE49-F238E27FC236}">
              <a16:creationId xmlns:a16="http://schemas.microsoft.com/office/drawing/2014/main" id="{152312B9-222F-4980-3F7A-976617163FB7}"/>
            </a:ext>
          </a:extLst>
        </xdr:cNvPr>
        <xdr:cNvSpPr txBox="1"/>
      </xdr:nvSpPr>
      <xdr:spPr>
        <a:xfrm>
          <a:off x="10067925" y="14849475"/>
          <a:ext cx="1000125" cy="2286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pore pressure</a:t>
          </a:r>
        </a:p>
      </xdr:txBody>
    </xdr:sp>
    <xdr:clientData/>
  </xdr:twoCellAnchor>
  <xdr:twoCellAnchor>
    <xdr:from>
      <xdr:col>17</xdr:col>
      <xdr:colOff>409574</xdr:colOff>
      <xdr:row>76</xdr:row>
      <xdr:rowOff>142874</xdr:rowOff>
    </xdr:from>
    <xdr:to>
      <xdr:col>20</xdr:col>
      <xdr:colOff>0</xdr:colOff>
      <xdr:row>77</xdr:row>
      <xdr:rowOff>190499</xdr:rowOff>
    </xdr:to>
    <xdr:sp macro="" textlink="">
      <xdr:nvSpPr>
        <xdr:cNvPr id="65" name="TextBox 69">
          <a:extLst>
            <a:ext uri="{FF2B5EF4-FFF2-40B4-BE49-F238E27FC236}">
              <a16:creationId xmlns:a16="http://schemas.microsoft.com/office/drawing/2014/main" id="{CE23267B-7AEB-0FA7-E473-14B69559D3BB}"/>
            </a:ext>
          </a:extLst>
        </xdr:cNvPr>
        <xdr:cNvSpPr txBox="1"/>
      </xdr:nvSpPr>
      <xdr:spPr>
        <a:xfrm>
          <a:off x="12944474" y="14830424"/>
          <a:ext cx="1419226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kick margin (-0.5ppg)</a:t>
          </a:r>
        </a:p>
      </xdr:txBody>
    </xdr:sp>
    <xdr:clientData/>
  </xdr:twoCellAnchor>
  <xdr:twoCellAnchor>
    <xdr:from>
      <xdr:col>17</xdr:col>
      <xdr:colOff>114299</xdr:colOff>
      <xdr:row>73</xdr:row>
      <xdr:rowOff>38099</xdr:rowOff>
    </xdr:from>
    <xdr:to>
      <xdr:col>19</xdr:col>
      <xdr:colOff>161924</xdr:colOff>
      <xdr:row>74</xdr:row>
      <xdr:rowOff>114300</xdr:rowOff>
    </xdr:to>
    <xdr:sp macro="" textlink="">
      <xdr:nvSpPr>
        <xdr:cNvPr id="64" name="TextBox 70">
          <a:extLst>
            <a:ext uri="{FF2B5EF4-FFF2-40B4-BE49-F238E27FC236}">
              <a16:creationId xmlns:a16="http://schemas.microsoft.com/office/drawing/2014/main" id="{C4CFF914-5E3F-C693-ABBC-21A56B1A07EF}"/>
            </a:ext>
          </a:extLst>
        </xdr:cNvPr>
        <xdr:cNvSpPr txBox="1"/>
      </xdr:nvSpPr>
      <xdr:spPr>
        <a:xfrm>
          <a:off x="12649199" y="14154149"/>
          <a:ext cx="1266825" cy="2667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fracture</a:t>
          </a:r>
          <a:r>
            <a:rPr lang="en-GB" sz="1100" baseline="0"/>
            <a:t> pressure</a:t>
          </a:r>
          <a:endParaRPr lang="en-GB" sz="1100"/>
        </a:p>
      </xdr:txBody>
    </xdr:sp>
    <xdr:clientData/>
  </xdr:twoCellAnchor>
  <xdr:twoCellAnchor>
    <xdr:from>
      <xdr:col>16</xdr:col>
      <xdr:colOff>561974</xdr:colOff>
      <xdr:row>82</xdr:row>
      <xdr:rowOff>38099</xdr:rowOff>
    </xdr:from>
    <xdr:to>
      <xdr:col>19</xdr:col>
      <xdr:colOff>533400</xdr:colOff>
      <xdr:row>83</xdr:row>
      <xdr:rowOff>114300</xdr:rowOff>
    </xdr:to>
    <xdr:sp macro="" textlink="">
      <xdr:nvSpPr>
        <xdr:cNvPr id="63" name="TextBox 71">
          <a:extLst>
            <a:ext uri="{FF2B5EF4-FFF2-40B4-BE49-F238E27FC236}">
              <a16:creationId xmlns:a16="http://schemas.microsoft.com/office/drawing/2014/main" id="{EA26537F-DF1E-C3C6-CD8F-0A092194ECBC}"/>
            </a:ext>
          </a:extLst>
        </xdr:cNvPr>
        <xdr:cNvSpPr txBox="1"/>
      </xdr:nvSpPr>
      <xdr:spPr>
        <a:xfrm>
          <a:off x="12382499" y="15868649"/>
          <a:ext cx="1905001" cy="2667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overbalance pressure +0.5ppg</a:t>
          </a:r>
        </a:p>
      </xdr:txBody>
    </xdr:sp>
    <xdr:clientData/>
  </xdr:twoCellAnchor>
  <xdr:twoCellAnchor>
    <xdr:from>
      <xdr:col>16</xdr:col>
      <xdr:colOff>152399</xdr:colOff>
      <xdr:row>68</xdr:row>
      <xdr:rowOff>190499</xdr:rowOff>
    </xdr:from>
    <xdr:to>
      <xdr:col>19</xdr:col>
      <xdr:colOff>447675</xdr:colOff>
      <xdr:row>70</xdr:row>
      <xdr:rowOff>104775</xdr:rowOff>
    </xdr:to>
    <xdr:sp macro="" textlink="">
      <xdr:nvSpPr>
        <xdr:cNvPr id="123" name="TextBox 72">
          <a:extLst>
            <a:ext uri="{FF2B5EF4-FFF2-40B4-BE49-F238E27FC236}">
              <a16:creationId xmlns:a16="http://schemas.microsoft.com/office/drawing/2014/main" id="{038D47B8-871E-B9AA-B984-18F9484A1FAF}"/>
            </a:ext>
          </a:extLst>
        </xdr:cNvPr>
        <xdr:cNvSpPr txBox="1"/>
      </xdr:nvSpPr>
      <xdr:spPr>
        <a:xfrm>
          <a:off x="14801849" y="13354049"/>
          <a:ext cx="2228851" cy="3143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hydrastatic pressure 0.45psi/ft</a:t>
          </a:r>
          <a:r>
            <a:rPr lang="en-GB" sz="1100" baseline="0"/>
            <a:t> pressure</a:t>
          </a:r>
          <a:endParaRPr lang="en-GB" sz="1100"/>
        </a:p>
      </xdr:txBody>
    </xdr:sp>
    <xdr:clientData/>
  </xdr:twoCellAnchor>
  <xdr:twoCellAnchor>
    <xdr:from>
      <xdr:col>15</xdr:col>
      <xdr:colOff>352425</xdr:colOff>
      <xdr:row>69</xdr:row>
      <xdr:rowOff>157162</xdr:rowOff>
    </xdr:from>
    <xdr:to>
      <xdr:col>16</xdr:col>
      <xdr:colOff>152399</xdr:colOff>
      <xdr:row>76</xdr:row>
      <xdr:rowOff>66675</xdr:rowOff>
    </xdr:to>
    <xdr:cxnSp macro="">
      <xdr:nvCxnSpPr>
        <xdr:cNvPr id="124" name="Straight Arrow Connector 137">
          <a:extLst>
            <a:ext uri="{FF2B5EF4-FFF2-40B4-BE49-F238E27FC236}">
              <a16:creationId xmlns:a16="http://schemas.microsoft.com/office/drawing/2014/main" id="{596109B3-0302-CDAC-F213-33B29FE8A4BF}"/>
            </a:ext>
          </a:extLst>
        </xdr:cNvPr>
        <xdr:cNvCxnSpPr>
          <a:stCxn id="123" idx="1"/>
        </xdr:cNvCxnSpPr>
      </xdr:nvCxnSpPr>
      <xdr:spPr>
        <a:xfrm flipH="1">
          <a:off x="14068425" y="13511212"/>
          <a:ext cx="733424" cy="126206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77</xdr:row>
      <xdr:rowOff>142875</xdr:rowOff>
    </xdr:from>
    <xdr:to>
      <xdr:col>15</xdr:col>
      <xdr:colOff>657225</xdr:colOff>
      <xdr:row>77</xdr:row>
      <xdr:rowOff>161925</xdr:rowOff>
    </xdr:to>
    <xdr:cxnSp macro="">
      <xdr:nvCxnSpPr>
        <xdr:cNvPr id="54" name="Straight Arrow Connector 144">
          <a:extLst>
            <a:ext uri="{FF2B5EF4-FFF2-40B4-BE49-F238E27FC236}">
              <a16:creationId xmlns:a16="http://schemas.microsoft.com/office/drawing/2014/main" id="{0E19BBED-137F-909C-D29D-CA5F933FC115}"/>
            </a:ext>
          </a:extLst>
        </xdr:cNvPr>
        <xdr:cNvCxnSpPr/>
      </xdr:nvCxnSpPr>
      <xdr:spPr>
        <a:xfrm>
          <a:off x="11077575" y="15020925"/>
          <a:ext cx="466725" cy="19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190502</xdr:colOff>
      <xdr:row>63</xdr:row>
      <xdr:rowOff>13490</xdr:rowOff>
    </xdr:from>
    <xdr:to>
      <xdr:col>10</xdr:col>
      <xdr:colOff>409567</xdr:colOff>
      <xdr:row>65</xdr:row>
      <xdr:rowOff>24194</xdr:rowOff>
    </xdr:to>
    <xdr:grpSp>
      <xdr:nvGrpSpPr>
        <xdr:cNvPr id="151" name="Group 150">
          <a:extLst>
            <a:ext uri="{FF2B5EF4-FFF2-40B4-BE49-F238E27FC236}">
              <a16:creationId xmlns:a16="http://schemas.microsoft.com/office/drawing/2014/main" id="{077831EC-A8FF-68C1-2EFE-B7BE078D816A}"/>
            </a:ext>
          </a:extLst>
        </xdr:cNvPr>
        <xdr:cNvGrpSpPr/>
      </xdr:nvGrpSpPr>
      <xdr:grpSpPr>
        <a:xfrm flipH="1">
          <a:off x="9458327" y="12224540"/>
          <a:ext cx="219065" cy="391704"/>
          <a:chOff x="8648702" y="12215015"/>
          <a:chExt cx="219065" cy="391704"/>
        </a:xfrm>
      </xdr:grpSpPr>
      <xdr:cxnSp macro="">
        <xdr:nvCxnSpPr>
          <xdr:cNvPr id="152" name="Straight Connector 151">
            <a:extLst>
              <a:ext uri="{FF2B5EF4-FFF2-40B4-BE49-F238E27FC236}">
                <a16:creationId xmlns:a16="http://schemas.microsoft.com/office/drawing/2014/main" id="{602FB76A-66CC-67A1-7A98-F1452073FE0F}"/>
              </a:ext>
            </a:extLst>
          </xdr:cNvPr>
          <xdr:cNvCxnSpPr/>
        </xdr:nvCxnSpPr>
        <xdr:spPr>
          <a:xfrm>
            <a:off x="8648702" y="12215015"/>
            <a:ext cx="8218" cy="391704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3" name="Right Triangle 152">
            <a:extLst>
              <a:ext uri="{FF2B5EF4-FFF2-40B4-BE49-F238E27FC236}">
                <a16:creationId xmlns:a16="http://schemas.microsoft.com/office/drawing/2014/main" id="{C6540DA5-674B-2C74-DC94-40EDCEACAC00}"/>
              </a:ext>
            </a:extLst>
          </xdr:cNvPr>
          <xdr:cNvSpPr/>
        </xdr:nvSpPr>
        <xdr:spPr>
          <a:xfrm>
            <a:off x="8665147" y="12475966"/>
            <a:ext cx="202620" cy="125609"/>
          </a:xfrm>
          <a:prstGeom prst="rtTriangl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10</xdr:col>
      <xdr:colOff>276237</xdr:colOff>
      <xdr:row>62</xdr:row>
      <xdr:rowOff>190491</xdr:rowOff>
    </xdr:from>
    <xdr:to>
      <xdr:col>10</xdr:col>
      <xdr:colOff>523904</xdr:colOff>
      <xdr:row>70</xdr:row>
      <xdr:rowOff>133350</xdr:rowOff>
    </xdr:to>
    <xdr:grpSp>
      <xdr:nvGrpSpPr>
        <xdr:cNvPr id="154" name="Group 153">
          <a:extLst>
            <a:ext uri="{FF2B5EF4-FFF2-40B4-BE49-F238E27FC236}">
              <a16:creationId xmlns:a16="http://schemas.microsoft.com/office/drawing/2014/main" id="{9074B519-72BD-426F-4787-B181605C602F}"/>
            </a:ext>
          </a:extLst>
        </xdr:cNvPr>
        <xdr:cNvGrpSpPr/>
      </xdr:nvGrpSpPr>
      <xdr:grpSpPr>
        <a:xfrm flipH="1">
          <a:off x="9544062" y="12191991"/>
          <a:ext cx="247667" cy="1504959"/>
          <a:chOff x="8648702" y="12215015"/>
          <a:chExt cx="119781" cy="394605"/>
        </a:xfrm>
      </xdr:grpSpPr>
      <xdr:cxnSp macro="">
        <xdr:nvCxnSpPr>
          <xdr:cNvPr id="155" name="Straight Connector 154">
            <a:extLst>
              <a:ext uri="{FF2B5EF4-FFF2-40B4-BE49-F238E27FC236}">
                <a16:creationId xmlns:a16="http://schemas.microsoft.com/office/drawing/2014/main" id="{C19AA6B1-DCC1-086B-BAE1-D11BF752582A}"/>
              </a:ext>
            </a:extLst>
          </xdr:cNvPr>
          <xdr:cNvCxnSpPr/>
        </xdr:nvCxnSpPr>
        <xdr:spPr>
          <a:xfrm>
            <a:off x="8648702" y="12215015"/>
            <a:ext cx="8218" cy="391704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6" name="Right Triangle 155">
            <a:extLst>
              <a:ext uri="{FF2B5EF4-FFF2-40B4-BE49-F238E27FC236}">
                <a16:creationId xmlns:a16="http://schemas.microsoft.com/office/drawing/2014/main" id="{AEFA8E00-D9DE-8F90-5A26-EACD7D31F864}"/>
              </a:ext>
            </a:extLst>
          </xdr:cNvPr>
          <xdr:cNvSpPr/>
        </xdr:nvSpPr>
        <xdr:spPr>
          <a:xfrm>
            <a:off x="8668559" y="12568951"/>
            <a:ext cx="99924" cy="40669"/>
          </a:xfrm>
          <a:prstGeom prst="rtTriangl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10</xdr:col>
      <xdr:colOff>428610</xdr:colOff>
      <xdr:row>62</xdr:row>
      <xdr:rowOff>190499</xdr:rowOff>
    </xdr:from>
    <xdr:to>
      <xdr:col>11</xdr:col>
      <xdr:colOff>76200</xdr:colOff>
      <xdr:row>72</xdr:row>
      <xdr:rowOff>66674</xdr:rowOff>
    </xdr:to>
    <xdr:grpSp>
      <xdr:nvGrpSpPr>
        <xdr:cNvPr id="163" name="Group 162">
          <a:extLst>
            <a:ext uri="{FF2B5EF4-FFF2-40B4-BE49-F238E27FC236}">
              <a16:creationId xmlns:a16="http://schemas.microsoft.com/office/drawing/2014/main" id="{54314A4E-41BB-A46D-CB4D-16C6204AD95E}"/>
            </a:ext>
          </a:extLst>
        </xdr:cNvPr>
        <xdr:cNvGrpSpPr/>
      </xdr:nvGrpSpPr>
      <xdr:grpSpPr>
        <a:xfrm flipH="1">
          <a:off x="9696435" y="12191999"/>
          <a:ext cx="257190" cy="1819275"/>
          <a:chOff x="8648702" y="12215015"/>
          <a:chExt cx="191682" cy="391704"/>
        </a:xfrm>
      </xdr:grpSpPr>
      <xdr:cxnSp macro="">
        <xdr:nvCxnSpPr>
          <xdr:cNvPr id="164" name="Straight Connector 163">
            <a:extLst>
              <a:ext uri="{FF2B5EF4-FFF2-40B4-BE49-F238E27FC236}">
                <a16:creationId xmlns:a16="http://schemas.microsoft.com/office/drawing/2014/main" id="{B828784C-45B5-D771-886F-7EF1C0BAB25C}"/>
              </a:ext>
            </a:extLst>
          </xdr:cNvPr>
          <xdr:cNvCxnSpPr/>
        </xdr:nvCxnSpPr>
        <xdr:spPr>
          <a:xfrm>
            <a:off x="8648702" y="12215015"/>
            <a:ext cx="8218" cy="391704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5" name="Right Triangle 164">
            <a:extLst>
              <a:ext uri="{FF2B5EF4-FFF2-40B4-BE49-F238E27FC236}">
                <a16:creationId xmlns:a16="http://schemas.microsoft.com/office/drawing/2014/main" id="{22FFD150-93D9-6A62-C3E1-DC8F17ED0F71}"/>
              </a:ext>
            </a:extLst>
          </xdr:cNvPr>
          <xdr:cNvSpPr/>
        </xdr:nvSpPr>
        <xdr:spPr>
          <a:xfrm>
            <a:off x="8666956" y="12578740"/>
            <a:ext cx="173428" cy="22835"/>
          </a:xfrm>
          <a:prstGeom prst="rtTriangl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10</xdr:col>
      <xdr:colOff>571485</xdr:colOff>
      <xdr:row>63</xdr:row>
      <xdr:rowOff>3964</xdr:rowOff>
    </xdr:from>
    <xdr:to>
      <xdr:col>11</xdr:col>
      <xdr:colOff>219075</xdr:colOff>
      <xdr:row>79</xdr:row>
      <xdr:rowOff>38100</xdr:rowOff>
    </xdr:to>
    <xdr:grpSp>
      <xdr:nvGrpSpPr>
        <xdr:cNvPr id="166" name="Group 165">
          <a:extLst>
            <a:ext uri="{FF2B5EF4-FFF2-40B4-BE49-F238E27FC236}">
              <a16:creationId xmlns:a16="http://schemas.microsoft.com/office/drawing/2014/main" id="{23141AF6-39CA-5A55-ABA3-80D9FAC286E2}"/>
            </a:ext>
          </a:extLst>
        </xdr:cNvPr>
        <xdr:cNvGrpSpPr/>
      </xdr:nvGrpSpPr>
      <xdr:grpSpPr>
        <a:xfrm flipH="1">
          <a:off x="9839310" y="12215014"/>
          <a:ext cx="257190" cy="3101186"/>
          <a:chOff x="8648702" y="12215015"/>
          <a:chExt cx="191682" cy="391704"/>
        </a:xfrm>
      </xdr:grpSpPr>
      <xdr:cxnSp macro="">
        <xdr:nvCxnSpPr>
          <xdr:cNvPr id="167" name="Straight Connector 166">
            <a:extLst>
              <a:ext uri="{FF2B5EF4-FFF2-40B4-BE49-F238E27FC236}">
                <a16:creationId xmlns:a16="http://schemas.microsoft.com/office/drawing/2014/main" id="{6AB66FC2-0FB4-4F38-2A8C-419390078DA8}"/>
              </a:ext>
            </a:extLst>
          </xdr:cNvPr>
          <xdr:cNvCxnSpPr/>
        </xdr:nvCxnSpPr>
        <xdr:spPr>
          <a:xfrm>
            <a:off x="8648702" y="12215015"/>
            <a:ext cx="8218" cy="391704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8" name="Right Triangle 167">
            <a:extLst>
              <a:ext uri="{FF2B5EF4-FFF2-40B4-BE49-F238E27FC236}">
                <a16:creationId xmlns:a16="http://schemas.microsoft.com/office/drawing/2014/main" id="{F8AF5AA2-2128-22D6-5575-EDEB5A9AF39E}"/>
              </a:ext>
            </a:extLst>
          </xdr:cNvPr>
          <xdr:cNvSpPr/>
        </xdr:nvSpPr>
        <xdr:spPr>
          <a:xfrm>
            <a:off x="8666956" y="12591914"/>
            <a:ext cx="173428" cy="13061"/>
          </a:xfrm>
          <a:prstGeom prst="rtTriangl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12</xdr:col>
      <xdr:colOff>76185</xdr:colOff>
      <xdr:row>73</xdr:row>
      <xdr:rowOff>19050</xdr:rowOff>
    </xdr:from>
    <xdr:to>
      <xdr:col>12</xdr:col>
      <xdr:colOff>333375</xdr:colOff>
      <xdr:row>81</xdr:row>
      <xdr:rowOff>142875</xdr:rowOff>
    </xdr:to>
    <xdr:grpSp>
      <xdr:nvGrpSpPr>
        <xdr:cNvPr id="169" name="Group 168">
          <a:extLst>
            <a:ext uri="{FF2B5EF4-FFF2-40B4-BE49-F238E27FC236}">
              <a16:creationId xmlns:a16="http://schemas.microsoft.com/office/drawing/2014/main" id="{580128AA-25FA-7DE2-8E56-2A296BF4585E}"/>
            </a:ext>
          </a:extLst>
        </xdr:cNvPr>
        <xdr:cNvGrpSpPr/>
      </xdr:nvGrpSpPr>
      <xdr:grpSpPr>
        <a:xfrm>
          <a:off x="11068035" y="14154150"/>
          <a:ext cx="257190" cy="1647825"/>
          <a:chOff x="8277210" y="14116050"/>
          <a:chExt cx="257190" cy="1419225"/>
        </a:xfrm>
      </xdr:grpSpPr>
      <xdr:grpSp>
        <xdr:nvGrpSpPr>
          <xdr:cNvPr id="170" name="Group 169">
            <a:extLst>
              <a:ext uri="{FF2B5EF4-FFF2-40B4-BE49-F238E27FC236}">
                <a16:creationId xmlns:a16="http://schemas.microsoft.com/office/drawing/2014/main" id="{812C2335-3EB5-2A8C-F251-CA001085E1DE}"/>
              </a:ext>
            </a:extLst>
          </xdr:cNvPr>
          <xdr:cNvGrpSpPr/>
        </xdr:nvGrpSpPr>
        <xdr:grpSpPr>
          <a:xfrm>
            <a:off x="8277210" y="14125576"/>
            <a:ext cx="257190" cy="1409699"/>
            <a:chOff x="8648702" y="12215015"/>
            <a:chExt cx="191682" cy="391704"/>
          </a:xfrm>
        </xdr:grpSpPr>
        <xdr:cxnSp macro="">
          <xdr:nvCxnSpPr>
            <xdr:cNvPr id="172" name="Straight Connector 171">
              <a:extLst>
                <a:ext uri="{FF2B5EF4-FFF2-40B4-BE49-F238E27FC236}">
                  <a16:creationId xmlns:a16="http://schemas.microsoft.com/office/drawing/2014/main" id="{5AFF72E1-D74D-E7F0-1B3C-3160B6B30682}"/>
                </a:ext>
              </a:extLst>
            </xdr:cNvPr>
            <xdr:cNvCxnSpPr/>
          </xdr:nvCxnSpPr>
          <xdr:spPr>
            <a:xfrm>
              <a:off x="8648702" y="12215015"/>
              <a:ext cx="8218" cy="391704"/>
            </a:xfrm>
            <a:prstGeom prst="line">
              <a:avLst/>
            </a:prstGeom>
            <a:ln w="2857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3" name="Right Triangle 172">
              <a:extLst>
                <a:ext uri="{FF2B5EF4-FFF2-40B4-BE49-F238E27FC236}">
                  <a16:creationId xmlns:a16="http://schemas.microsoft.com/office/drawing/2014/main" id="{C61AAF72-7BCF-D410-7CDF-D8D5B60BE33C}"/>
                </a:ext>
              </a:extLst>
            </xdr:cNvPr>
            <xdr:cNvSpPr/>
          </xdr:nvSpPr>
          <xdr:spPr>
            <a:xfrm>
              <a:off x="8666956" y="12580557"/>
              <a:ext cx="173428" cy="24418"/>
            </a:xfrm>
            <a:prstGeom prst="rtTriangle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</xdr:grpSp>
      <xdr:sp macro="" textlink="">
        <xdr:nvSpPr>
          <xdr:cNvPr id="171" name="Rectangle 170">
            <a:extLst>
              <a:ext uri="{FF2B5EF4-FFF2-40B4-BE49-F238E27FC236}">
                <a16:creationId xmlns:a16="http://schemas.microsoft.com/office/drawing/2014/main" id="{722FF685-A765-64DD-D5C1-5C3E114A6BEA}"/>
              </a:ext>
            </a:extLst>
          </xdr:cNvPr>
          <xdr:cNvSpPr/>
        </xdr:nvSpPr>
        <xdr:spPr>
          <a:xfrm>
            <a:off x="8296275" y="14116050"/>
            <a:ext cx="76200" cy="133350"/>
          </a:xfrm>
          <a:prstGeom prst="rect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16</xdr:col>
      <xdr:colOff>314325</xdr:colOff>
      <xdr:row>80</xdr:row>
      <xdr:rowOff>114300</xdr:rowOff>
    </xdr:from>
    <xdr:to>
      <xdr:col>17</xdr:col>
      <xdr:colOff>323850</xdr:colOff>
      <xdr:row>82</xdr:row>
      <xdr:rowOff>38100</xdr:rowOff>
    </xdr:to>
    <xdr:cxnSp macro="">
      <xdr:nvCxnSpPr>
        <xdr:cNvPr id="82" name="Straight Arrow Connector 178">
          <a:extLst>
            <a:ext uri="{FF2B5EF4-FFF2-40B4-BE49-F238E27FC236}">
              <a16:creationId xmlns:a16="http://schemas.microsoft.com/office/drawing/2014/main" id="{B284962B-7F5C-66F0-40B7-9881BD81F65B}"/>
            </a:ext>
          </a:extLst>
        </xdr:cNvPr>
        <xdr:cNvCxnSpPr/>
      </xdr:nvCxnSpPr>
      <xdr:spPr>
        <a:xfrm flipH="1" flipV="1">
          <a:off x="12134850" y="15563850"/>
          <a:ext cx="72390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412546</xdr:colOff>
      <xdr:row>70</xdr:row>
      <xdr:rowOff>123825</xdr:rowOff>
    </xdr:from>
    <xdr:to>
      <xdr:col>14</xdr:col>
      <xdr:colOff>438150</xdr:colOff>
      <xdr:row>70</xdr:row>
      <xdr:rowOff>133350</xdr:rowOff>
    </xdr:to>
    <xdr:cxnSp macro="">
      <xdr:nvCxnSpPr>
        <xdr:cNvPr id="87" name="Straight Connector 181">
          <a:extLst>
            <a:ext uri="{FF2B5EF4-FFF2-40B4-BE49-F238E27FC236}">
              <a16:creationId xmlns:a16="http://schemas.microsoft.com/office/drawing/2014/main" id="{12ED1566-6AE2-40A7-904A-C5A7CEBD5EB7}"/>
            </a:ext>
          </a:extLst>
        </xdr:cNvPr>
        <xdr:cNvCxnSpPr>
          <a:stCxn id="26" idx="2"/>
        </xdr:cNvCxnSpPr>
      </xdr:nvCxnSpPr>
      <xdr:spPr>
        <a:xfrm>
          <a:off x="8604046" y="13649325"/>
          <a:ext cx="1940129" cy="9525"/>
        </a:xfrm>
        <a:prstGeom prst="line">
          <a:avLst/>
        </a:prstGeom>
        <a:ln w="1905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352425</xdr:colOff>
      <xdr:row>72</xdr:row>
      <xdr:rowOff>28575</xdr:rowOff>
    </xdr:from>
    <xdr:to>
      <xdr:col>14</xdr:col>
      <xdr:colOff>723900</xdr:colOff>
      <xdr:row>72</xdr:row>
      <xdr:rowOff>47625</xdr:rowOff>
    </xdr:to>
    <xdr:cxnSp macro="">
      <xdr:nvCxnSpPr>
        <xdr:cNvPr id="6" name="Straight Connector 181">
          <a:extLst>
            <a:ext uri="{FF2B5EF4-FFF2-40B4-BE49-F238E27FC236}">
              <a16:creationId xmlns:a16="http://schemas.microsoft.com/office/drawing/2014/main" id="{13F34F03-29CD-F168-1439-4205045DFCF1}"/>
            </a:ext>
          </a:extLst>
        </xdr:cNvPr>
        <xdr:cNvCxnSpPr/>
      </xdr:nvCxnSpPr>
      <xdr:spPr>
        <a:xfrm flipV="1">
          <a:off x="8543925" y="13954125"/>
          <a:ext cx="2286000" cy="19050"/>
        </a:xfrm>
        <a:prstGeom prst="line">
          <a:avLst/>
        </a:prstGeom>
        <a:ln w="1905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302751</xdr:colOff>
      <xdr:row>79</xdr:row>
      <xdr:rowOff>24334</xdr:rowOff>
    </xdr:from>
    <xdr:to>
      <xdr:col>15</xdr:col>
      <xdr:colOff>704850</xdr:colOff>
      <xdr:row>79</xdr:row>
      <xdr:rowOff>28575</xdr:rowOff>
    </xdr:to>
    <xdr:cxnSp macro="">
      <xdr:nvCxnSpPr>
        <xdr:cNvPr id="51" name="Straight Connector 181">
          <a:extLst>
            <a:ext uri="{FF2B5EF4-FFF2-40B4-BE49-F238E27FC236}">
              <a16:creationId xmlns:a16="http://schemas.microsoft.com/office/drawing/2014/main" id="{CF823C74-F66E-4EF6-B09C-3730CA462381}"/>
            </a:ext>
          </a:extLst>
        </xdr:cNvPr>
        <xdr:cNvCxnSpPr>
          <a:stCxn id="37" idx="3"/>
        </xdr:cNvCxnSpPr>
      </xdr:nvCxnSpPr>
      <xdr:spPr>
        <a:xfrm>
          <a:off x="8494251" y="15283384"/>
          <a:ext cx="3097674" cy="4241"/>
        </a:xfrm>
        <a:prstGeom prst="line">
          <a:avLst/>
        </a:prstGeom>
        <a:ln w="1905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66675</xdr:colOff>
      <xdr:row>81</xdr:row>
      <xdr:rowOff>152400</xdr:rowOff>
    </xdr:from>
    <xdr:to>
      <xdr:col>16</xdr:col>
      <xdr:colOff>523875</xdr:colOff>
      <xdr:row>81</xdr:row>
      <xdr:rowOff>152400</xdr:rowOff>
    </xdr:to>
    <xdr:cxnSp macro="">
      <xdr:nvCxnSpPr>
        <xdr:cNvPr id="59" name="Straight Connector 181">
          <a:extLst>
            <a:ext uri="{FF2B5EF4-FFF2-40B4-BE49-F238E27FC236}">
              <a16:creationId xmlns:a16="http://schemas.microsoft.com/office/drawing/2014/main" id="{89B76A74-4978-7A97-C73B-6A5C50B0B0E9}"/>
            </a:ext>
          </a:extLst>
        </xdr:cNvPr>
        <xdr:cNvCxnSpPr/>
      </xdr:nvCxnSpPr>
      <xdr:spPr>
        <a:xfrm>
          <a:off x="8258175" y="15792450"/>
          <a:ext cx="4086225" cy="0"/>
        </a:xfrm>
        <a:prstGeom prst="line">
          <a:avLst/>
        </a:prstGeom>
        <a:ln w="1905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400050</xdr:colOff>
      <xdr:row>73</xdr:row>
      <xdr:rowOff>133350</xdr:rowOff>
    </xdr:from>
    <xdr:to>
      <xdr:col>17</xdr:col>
      <xdr:colOff>123824</xdr:colOff>
      <xdr:row>75</xdr:row>
      <xdr:rowOff>171450</xdr:rowOff>
    </xdr:to>
    <xdr:cxnSp macro="">
      <xdr:nvCxnSpPr>
        <xdr:cNvPr id="52" name="Straight Arrow Connector 137">
          <a:extLst>
            <a:ext uri="{FF2B5EF4-FFF2-40B4-BE49-F238E27FC236}">
              <a16:creationId xmlns:a16="http://schemas.microsoft.com/office/drawing/2014/main" id="{38E44492-BD9C-F19E-E032-08709001659F}"/>
            </a:ext>
          </a:extLst>
        </xdr:cNvPr>
        <xdr:cNvCxnSpPr/>
      </xdr:nvCxnSpPr>
      <xdr:spPr>
        <a:xfrm flipH="1">
          <a:off x="12220575" y="14249400"/>
          <a:ext cx="438149" cy="4191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542925</xdr:colOff>
      <xdr:row>78</xdr:row>
      <xdr:rowOff>19050</xdr:rowOff>
    </xdr:from>
    <xdr:to>
      <xdr:col>18</xdr:col>
      <xdr:colOff>200025</xdr:colOff>
      <xdr:row>79</xdr:row>
      <xdr:rowOff>28575</xdr:rowOff>
    </xdr:to>
    <xdr:cxnSp macro="">
      <xdr:nvCxnSpPr>
        <xdr:cNvPr id="55" name="Straight Arrow Connector 137">
          <a:extLst>
            <a:ext uri="{FF2B5EF4-FFF2-40B4-BE49-F238E27FC236}">
              <a16:creationId xmlns:a16="http://schemas.microsoft.com/office/drawing/2014/main" id="{F38B8B92-5155-611C-F5A9-C6FAD5C947DF}"/>
            </a:ext>
          </a:extLst>
        </xdr:cNvPr>
        <xdr:cNvCxnSpPr/>
      </xdr:nvCxnSpPr>
      <xdr:spPr>
        <a:xfrm flipH="1">
          <a:off x="13077825" y="15087600"/>
          <a:ext cx="266700" cy="2000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180975</xdr:colOff>
      <xdr:row>61</xdr:row>
      <xdr:rowOff>133350</xdr:rowOff>
    </xdr:from>
    <xdr:to>
      <xdr:col>13</xdr:col>
      <xdr:colOff>104775</xdr:colOff>
      <xdr:row>62</xdr:row>
      <xdr:rowOff>190500</xdr:rowOff>
    </xdr:to>
    <xdr:sp macro="" textlink="">
      <xdr:nvSpPr>
        <xdr:cNvPr id="120" name="TextBox 44">
          <a:extLst>
            <a:ext uri="{FF2B5EF4-FFF2-40B4-BE49-F238E27FC236}">
              <a16:creationId xmlns:a16="http://schemas.microsoft.com/office/drawing/2014/main" id="{B4140ADA-11F5-799C-71FF-AD3C6E85BD5B}"/>
            </a:ext>
          </a:extLst>
        </xdr:cNvPr>
        <xdr:cNvSpPr txBox="1"/>
      </xdr:nvSpPr>
      <xdr:spPr>
        <a:xfrm>
          <a:off x="7153275" y="11944350"/>
          <a:ext cx="2085975" cy="247650"/>
        </a:xfrm>
        <a:prstGeom prst="rect">
          <a:avLst/>
        </a:prstGeom>
        <a:solidFill>
          <a:srgbClr val="92D050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50" b="1">
              <a:latin typeface="Arial Narrow" panose="020B0606020202030204" pitchFamily="34" charset="0"/>
              <a:cs typeface="Arial" panose="020B0604020202020204" pitchFamily="34" charset="0"/>
            </a:rPr>
            <a:t>CASING DESIGN &amp; SETTING DEPTH</a:t>
          </a:r>
        </a:p>
      </xdr:txBody>
    </xdr:sp>
    <xdr:clientData/>
  </xdr:twoCellAnchor>
  <xdr:twoCellAnchor editAs="oneCell">
    <xdr:from>
      <xdr:col>3</xdr:col>
      <xdr:colOff>1295400</xdr:colOff>
      <xdr:row>61</xdr:row>
      <xdr:rowOff>142874</xdr:rowOff>
    </xdr:from>
    <xdr:to>
      <xdr:col>10</xdr:col>
      <xdr:colOff>181759</xdr:colOff>
      <xdr:row>81</xdr:row>
      <xdr:rowOff>190499</xdr:rowOff>
    </xdr:to>
    <xdr:pic>
      <xdr:nvPicPr>
        <xdr:cNvPr id="125" name="Picture 47">
          <a:extLst>
            <a:ext uri="{FF2B5EF4-FFF2-40B4-BE49-F238E27FC236}">
              <a16:creationId xmlns:a16="http://schemas.microsoft.com/office/drawing/2014/main" id="{417354BE-5E0E-AB4C-CD8A-DF25155F0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29050" y="11953874"/>
          <a:ext cx="5620534" cy="3895725"/>
        </a:xfrm>
        <a:prstGeom prst="rect">
          <a:avLst/>
        </a:prstGeom>
      </xdr:spPr>
    </xdr:pic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0.55373</cdr:x>
      <cdr:y>0.55488</cdr:y>
    </cdr:from>
    <cdr:to>
      <cdr:x>0.59211</cdr:x>
      <cdr:y>0.76423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78FDAD10-C1EB-A2A8-7423-C3DD2CC1CDF9}"/>
            </a:ext>
          </a:extLst>
        </cdr:cNvPr>
        <cdr:cNvCxnSpPr/>
      </cdr:nvCxnSpPr>
      <cdr:spPr>
        <a:xfrm xmlns:a="http://schemas.openxmlformats.org/drawingml/2006/main" flipH="1" flipV="1">
          <a:off x="6012655" y="3250404"/>
          <a:ext cx="416719" cy="1226344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0.41118</cdr:x>
      <cdr:y>0.55691</cdr:y>
    </cdr:from>
    <cdr:to>
      <cdr:x>0.55373</cdr:x>
      <cdr:y>0.55691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B1C27299-469A-A208-3D64-672A996CC8E8}"/>
            </a:ext>
          </a:extLst>
        </cdr:cNvPr>
        <cdr:cNvCxnSpPr/>
      </cdr:nvCxnSpPr>
      <cdr:spPr>
        <a:xfrm xmlns:a="http://schemas.openxmlformats.org/drawingml/2006/main" flipH="1">
          <a:off x="4464843" y="3262310"/>
          <a:ext cx="1547812" cy="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0.38158</cdr:x>
      <cdr:y>0.4187</cdr:y>
    </cdr:from>
    <cdr:to>
      <cdr:x>0.41009</cdr:x>
      <cdr:y>0.55488</cdr:y>
    </cdr:to>
    <cdr:cxnSp macro="">
      <cdr:nvCxnSpPr>
        <cdr:cNvPr id="7" name="Straight Connector 6">
          <a:extLst xmlns:a="http://schemas.openxmlformats.org/drawingml/2006/main">
            <a:ext uri="{FF2B5EF4-FFF2-40B4-BE49-F238E27FC236}">
              <a16:creationId xmlns:a16="http://schemas.microsoft.com/office/drawing/2014/main" id="{B718B1BC-C597-22C5-021B-A0BF96AA36FB}"/>
            </a:ext>
          </a:extLst>
        </cdr:cNvPr>
        <cdr:cNvCxnSpPr/>
      </cdr:nvCxnSpPr>
      <cdr:spPr>
        <a:xfrm xmlns:a="http://schemas.openxmlformats.org/drawingml/2006/main" flipH="1" flipV="1">
          <a:off x="4143374" y="2452685"/>
          <a:ext cx="309562" cy="797719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0.29934</cdr:x>
      <cdr:y>0.42073</cdr:y>
    </cdr:from>
    <cdr:to>
      <cdr:x>0.38158</cdr:x>
      <cdr:y>0.42073</cdr:y>
    </cdr:to>
    <cdr:cxnSp macro="">
      <cdr:nvCxnSpPr>
        <cdr:cNvPr id="9" name="Straight Connector 8">
          <a:extLst xmlns:a="http://schemas.openxmlformats.org/drawingml/2006/main">
            <a:ext uri="{FF2B5EF4-FFF2-40B4-BE49-F238E27FC236}">
              <a16:creationId xmlns:a16="http://schemas.microsoft.com/office/drawing/2014/main" id="{8DA7DF16-140A-18D5-F4ED-5D561D2CAE15}"/>
            </a:ext>
          </a:extLst>
        </cdr:cNvPr>
        <cdr:cNvCxnSpPr/>
      </cdr:nvCxnSpPr>
      <cdr:spPr>
        <a:xfrm xmlns:a="http://schemas.openxmlformats.org/drawingml/2006/main" flipH="1">
          <a:off x="3250405" y="2464591"/>
          <a:ext cx="892969" cy="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0.26974</cdr:x>
      <cdr:y>0.32927</cdr:y>
    </cdr:from>
    <cdr:to>
      <cdr:x>0.29934</cdr:x>
      <cdr:y>0.42276</cdr:y>
    </cdr:to>
    <cdr:cxnSp macro="">
      <cdr:nvCxnSpPr>
        <cdr:cNvPr id="11" name="Straight Connector 10">
          <a:extLst xmlns:a="http://schemas.openxmlformats.org/drawingml/2006/main">
            <a:ext uri="{FF2B5EF4-FFF2-40B4-BE49-F238E27FC236}">
              <a16:creationId xmlns:a16="http://schemas.microsoft.com/office/drawing/2014/main" id="{0F2443FF-F779-7934-75F3-BC595A530944}"/>
            </a:ext>
          </a:extLst>
        </cdr:cNvPr>
        <cdr:cNvCxnSpPr/>
      </cdr:nvCxnSpPr>
      <cdr:spPr>
        <a:xfrm xmlns:a="http://schemas.openxmlformats.org/drawingml/2006/main" flipH="1" flipV="1">
          <a:off x="2928936" y="1928810"/>
          <a:ext cx="321469" cy="547688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0.23465</cdr:x>
      <cdr:y>0.32927</cdr:y>
    </cdr:from>
    <cdr:to>
      <cdr:x>0.27112</cdr:x>
      <cdr:y>0.32927</cdr:y>
    </cdr:to>
    <cdr:cxnSp macro="">
      <cdr:nvCxnSpPr>
        <cdr:cNvPr id="13" name="Straight Connector 12">
          <a:extLst xmlns:a="http://schemas.openxmlformats.org/drawingml/2006/main">
            <a:ext uri="{FF2B5EF4-FFF2-40B4-BE49-F238E27FC236}">
              <a16:creationId xmlns:a16="http://schemas.microsoft.com/office/drawing/2014/main" id="{F474DD61-B99B-9B12-FDA1-4C5E84504B76}"/>
            </a:ext>
          </a:extLst>
        </cdr:cNvPr>
        <cdr:cNvCxnSpPr/>
      </cdr:nvCxnSpPr>
      <cdr:spPr>
        <a:xfrm xmlns:a="http://schemas.openxmlformats.org/drawingml/2006/main" flipH="1">
          <a:off x="2547936" y="1928810"/>
          <a:ext cx="396000" cy="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</xdr:colOff>
      <xdr:row>67</xdr:row>
      <xdr:rowOff>0</xdr:rowOff>
    </xdr:from>
    <xdr:to>
      <xdr:col>17</xdr:col>
      <xdr:colOff>209550</xdr:colOff>
      <xdr:row>68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3D4593-ECF2-0F17-19DB-22D6755D6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96826" y="13573125"/>
          <a:ext cx="1190624" cy="9906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66</xdr:row>
      <xdr:rowOff>0</xdr:rowOff>
    </xdr:from>
    <xdr:to>
      <xdr:col>17</xdr:col>
      <xdr:colOff>38100</xdr:colOff>
      <xdr:row>66</xdr:row>
      <xdr:rowOff>990600</xdr:rowOff>
    </xdr:to>
    <xdr:pic>
      <xdr:nvPicPr>
        <xdr:cNvPr id="5" name="Picture 4" descr="MILLED TOOTH BITS">
          <a:extLst>
            <a:ext uri="{FF2B5EF4-FFF2-40B4-BE49-F238E27FC236}">
              <a16:creationId xmlns:a16="http://schemas.microsoft.com/office/drawing/2014/main" id="{4D9A2EC2-65CA-6A6A-5619-412BA20D7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12573000"/>
          <a:ext cx="1019175" cy="990600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67</xdr:row>
      <xdr:rowOff>990599</xdr:rowOff>
    </xdr:from>
    <xdr:to>
      <xdr:col>17</xdr:col>
      <xdr:colOff>190500</xdr:colOff>
      <xdr:row>69</xdr:row>
      <xdr:rowOff>180974</xdr:rowOff>
    </xdr:to>
    <xdr:pic>
      <xdr:nvPicPr>
        <xdr:cNvPr id="31" name="Picture 6">
          <a:extLst>
            <a:ext uri="{FF2B5EF4-FFF2-40B4-BE49-F238E27FC236}">
              <a16:creationId xmlns:a16="http://schemas.microsoft.com/office/drawing/2014/main" id="{5D8C2B02-BBE6-58E9-C364-B7EBC756F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696825" y="14563724"/>
          <a:ext cx="1171575" cy="11906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12</xdr:col>
      <xdr:colOff>9525</xdr:colOff>
      <xdr:row>348</xdr:row>
      <xdr:rowOff>800100</xdr:rowOff>
    </xdr:from>
    <xdr:to>
      <xdr:col>12</xdr:col>
      <xdr:colOff>1171574</xdr:colOff>
      <xdr:row>349</xdr:row>
      <xdr:rowOff>9525</xdr:rowOff>
    </xdr:to>
    <xdr:sp macro="" textlink="">
      <xdr:nvSpPr>
        <xdr:cNvPr id="511" name="TextBox 27">
          <a:extLst>
            <a:ext uri="{FF2B5EF4-FFF2-40B4-BE49-F238E27FC236}">
              <a16:creationId xmlns:a16="http://schemas.microsoft.com/office/drawing/2014/main" id="{7F9D976C-6553-F8CA-0D24-AD6574020BEB}"/>
            </a:ext>
          </a:extLst>
        </xdr:cNvPr>
        <xdr:cNvSpPr txBox="1"/>
      </xdr:nvSpPr>
      <xdr:spPr>
        <a:xfrm>
          <a:off x="9210675" y="73713975"/>
          <a:ext cx="1162049" cy="20955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1" i="0" u="none" strike="noStrike">
              <a:solidFill>
                <a:schemeClr val="dk1"/>
              </a:solidFill>
              <a:effectLst/>
              <a:latin typeface="Arial Narrow" panose="020B0606020202030204" pitchFamily="34" charset="0"/>
              <a:ea typeface="+mn-ea"/>
              <a:cs typeface="Times New Roman" panose="02020603050405020304" pitchFamily="18" charset="0"/>
            </a:rPr>
            <a:t>    2 - 1 – 3</a:t>
          </a:r>
        </a:p>
      </xdr:txBody>
    </xdr:sp>
    <xdr:clientData/>
  </xdr:twoCellAnchor>
  <xdr:twoCellAnchor editAs="oneCell">
    <xdr:from>
      <xdr:col>0</xdr:col>
      <xdr:colOff>0</xdr:colOff>
      <xdr:row>344</xdr:row>
      <xdr:rowOff>104775</xdr:rowOff>
    </xdr:from>
    <xdr:to>
      <xdr:col>4</xdr:col>
      <xdr:colOff>81915</xdr:colOff>
      <xdr:row>349</xdr:row>
      <xdr:rowOff>974725</xdr:rowOff>
    </xdr:to>
    <xdr:pic>
      <xdr:nvPicPr>
        <xdr:cNvPr id="91" name="Picture 35" descr="A table of information&#10;&#10;AI-generated content may be incorrect.">
          <a:extLst>
            <a:ext uri="{FF2B5EF4-FFF2-40B4-BE49-F238E27FC236}">
              <a16:creationId xmlns:a16="http://schemas.microsoft.com/office/drawing/2014/main" id="{57CD0160-09BA-49B5-D06C-428F92BC3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0342125"/>
          <a:ext cx="2520315" cy="2536825"/>
        </a:xfrm>
        <a:prstGeom prst="rect">
          <a:avLst/>
        </a:prstGeom>
      </xdr:spPr>
    </xdr:pic>
    <xdr:clientData/>
  </xdr:twoCellAnchor>
  <xdr:oneCellAnchor>
    <xdr:from>
      <xdr:col>13</xdr:col>
      <xdr:colOff>0</xdr:colOff>
      <xdr:row>88</xdr:row>
      <xdr:rowOff>0</xdr:rowOff>
    </xdr:from>
    <xdr:ext cx="7392432" cy="2886478"/>
    <xdr:pic>
      <xdr:nvPicPr>
        <xdr:cNvPr id="4" name="Picture 1">
          <a:extLst>
            <a:ext uri="{FF2B5EF4-FFF2-40B4-BE49-F238E27FC236}">
              <a16:creationId xmlns:a16="http://schemas.microsoft.com/office/drawing/2014/main" id="{24B9B923-F0EF-8CED-06AD-4EEAA4CCA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62375" y="19573875"/>
          <a:ext cx="7392432" cy="2886478"/>
        </a:xfrm>
        <a:prstGeom prst="rect">
          <a:avLst/>
        </a:prstGeom>
      </xdr:spPr>
    </xdr:pic>
    <xdr:clientData/>
  </xdr:oneCellAnchor>
  <xdr:twoCellAnchor>
    <xdr:from>
      <xdr:col>12</xdr:col>
      <xdr:colOff>0</xdr:colOff>
      <xdr:row>299</xdr:row>
      <xdr:rowOff>0</xdr:rowOff>
    </xdr:from>
    <xdr:to>
      <xdr:col>13</xdr:col>
      <xdr:colOff>2555875</xdr:colOff>
      <xdr:row>319</xdr:row>
      <xdr:rowOff>29845</xdr:rowOff>
    </xdr:to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id="{0CB84476-1C9F-CD80-AECE-FF6FD94A8CEB}"/>
            </a:ext>
          </a:extLst>
        </xdr:cNvPr>
        <xdr:cNvSpPr txBox="1"/>
      </xdr:nvSpPr>
      <xdr:spPr>
        <a:xfrm>
          <a:off x="3886200" y="63760350"/>
          <a:ext cx="4070350" cy="3839845"/>
        </a:xfrm>
        <a:prstGeom prst="rect">
          <a:avLst/>
        </a:prstGeom>
        <a:solidFill>
          <a:sysClr val="window" lastClr="FFFFFF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15000"/>
            </a:lnSpc>
            <a:spcAft>
              <a:spcPts val="800"/>
            </a:spcAft>
            <a:buNone/>
          </a:pPr>
          <a:r>
            <a:rPr lang="en-GB" sz="1200" kern="100">
              <a:effectLst/>
              <a:latin typeface="Calibri" panose="020F050202020403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BIT</a:t>
          </a:r>
          <a:endParaRPr lang="en-GB" sz="12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>
            <a:lnSpc>
              <a:spcPct val="115000"/>
            </a:lnSpc>
            <a:spcAft>
              <a:spcPts val="800"/>
            </a:spcAft>
            <a:buNone/>
          </a:pPr>
          <a:r>
            <a:rPr lang="en-GB" sz="1200" kern="100">
              <a:effectLst/>
              <a:latin typeface="Calibri" panose="020F050202020403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BIT TYPE</a:t>
          </a:r>
          <a:endParaRPr lang="en-GB" sz="12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>
            <a:lnSpc>
              <a:spcPct val="115000"/>
            </a:lnSpc>
            <a:spcAft>
              <a:spcPts val="800"/>
            </a:spcAft>
            <a:buNone/>
          </a:pPr>
          <a:r>
            <a:rPr lang="en-GB" sz="1200" kern="100">
              <a:effectLst/>
              <a:latin typeface="Calibri" panose="020F050202020403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REMARKS</a:t>
          </a:r>
          <a:endParaRPr lang="en-GB" sz="12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>
            <a:lnSpc>
              <a:spcPct val="115000"/>
            </a:lnSpc>
            <a:spcAft>
              <a:spcPts val="800"/>
            </a:spcAft>
            <a:buNone/>
          </a:pPr>
          <a:r>
            <a:rPr lang="en-GB" sz="1200" kern="100">
              <a:effectLst/>
              <a:latin typeface="Calibri" panose="020F050202020403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MILLER TOOTH</a:t>
          </a:r>
          <a:endParaRPr lang="en-GB" sz="12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>
            <a:lnSpc>
              <a:spcPct val="115000"/>
            </a:lnSpc>
            <a:spcAft>
              <a:spcPts val="800"/>
            </a:spcAft>
            <a:buNone/>
          </a:pPr>
          <a:r>
            <a:rPr lang="en-GB" sz="1200" kern="100">
              <a:effectLst/>
              <a:latin typeface="Calibri" panose="020F050202020403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Surface </a:t>
          </a:r>
          <a:endParaRPr lang="en-GB" sz="12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>
            <a:lnSpc>
              <a:spcPct val="115000"/>
            </a:lnSpc>
            <a:spcAft>
              <a:spcPts val="800"/>
            </a:spcAft>
            <a:buNone/>
          </a:pPr>
          <a:r>
            <a:rPr lang="en-GB" sz="1200" b="1" kern="100">
              <a:effectLst/>
              <a:latin typeface="Calibri" panose="020F050202020403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First hole</a:t>
          </a:r>
          <a:r>
            <a:rPr lang="en-GB" sz="1200" kern="100">
              <a:effectLst/>
              <a:latin typeface="Calibri" panose="020F050202020403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@ 3300FT</a:t>
          </a:r>
          <a:endParaRPr lang="en-GB" sz="12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>
            <a:lnSpc>
              <a:spcPct val="115000"/>
            </a:lnSpc>
            <a:spcAft>
              <a:spcPts val="800"/>
            </a:spcAft>
            <a:buNone/>
          </a:pPr>
          <a:r>
            <a:rPr lang="en-GB" sz="1200" kern="100">
              <a:effectLst/>
              <a:latin typeface="Calibri" panose="020F050202020403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1- 3 - 1</a:t>
          </a:r>
          <a:endParaRPr lang="en-GB" sz="12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>
            <a:lnSpc>
              <a:spcPct val="115000"/>
            </a:lnSpc>
            <a:spcAft>
              <a:spcPts val="800"/>
            </a:spcAft>
            <a:buNone/>
          </a:pPr>
          <a:r>
            <a:rPr lang="en-GB" sz="1200" kern="100">
              <a:effectLst/>
              <a:latin typeface="Calibri" panose="020F050202020403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formations in this section are dominated with claystone which are weak and unconsolidated. Long teeth to prevent bit balling and widely spaced teeth to easily remove cuttings from bit face. </a:t>
          </a:r>
          <a:endParaRPr lang="en-GB" sz="12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>
            <a:lnSpc>
              <a:spcPct val="115000"/>
            </a:lnSpc>
            <a:spcAft>
              <a:spcPts val="800"/>
            </a:spcAft>
            <a:buNone/>
          </a:pPr>
          <a:r>
            <a:rPr lang="en-GB" sz="1200" kern="100">
              <a:effectLst/>
              <a:latin typeface="Calibri" panose="020F050202020403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MILLER TOOTH @ 4100 FT</a:t>
          </a:r>
          <a:endParaRPr lang="en-GB" sz="12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>
            <a:lnSpc>
              <a:spcPct val="115000"/>
            </a:lnSpc>
            <a:spcAft>
              <a:spcPts val="800"/>
            </a:spcAft>
            <a:buNone/>
          </a:pPr>
          <a:r>
            <a:rPr lang="en-GB" sz="1200" kern="100">
              <a:effectLst/>
              <a:latin typeface="Calibri" panose="020F050202020403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2 - 1 – 3</a:t>
          </a:r>
          <a:endParaRPr lang="en-GB" sz="12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>
            <a:lnSpc>
              <a:spcPct val="115000"/>
            </a:lnSpc>
            <a:spcAft>
              <a:spcPts val="800"/>
            </a:spcAft>
            <a:buNone/>
          </a:pPr>
          <a:r>
            <a:rPr lang="en-GB" sz="1200" kern="100">
              <a:effectLst/>
              <a:latin typeface="Calibri" panose="020F050202020403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 </a:t>
          </a:r>
          <a:endParaRPr lang="en-GB" sz="12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>
            <a:lnSpc>
              <a:spcPct val="115000"/>
            </a:lnSpc>
            <a:spcAft>
              <a:spcPts val="800"/>
            </a:spcAft>
            <a:buNone/>
          </a:pPr>
          <a:r>
            <a:rPr lang="en-GB" sz="1200" kern="100">
              <a:effectLst/>
              <a:latin typeface="Calibri" panose="020F050202020403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moderately consolidated formations. shale dominated section. </a:t>
          </a:r>
          <a:endParaRPr lang="en-GB" sz="12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>
            <a:lnSpc>
              <a:spcPct val="115000"/>
            </a:lnSpc>
            <a:spcAft>
              <a:spcPts val="800"/>
            </a:spcAft>
            <a:buNone/>
          </a:pPr>
          <a:r>
            <a:rPr lang="en-GB" sz="1200" kern="100">
              <a:effectLst/>
              <a:latin typeface="Calibri" panose="020F050202020403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PDC @ 7700 FT</a:t>
          </a:r>
          <a:endParaRPr lang="en-GB" sz="12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>
            <a:lnSpc>
              <a:spcPct val="115000"/>
            </a:lnSpc>
            <a:spcAft>
              <a:spcPts val="800"/>
            </a:spcAft>
            <a:buNone/>
          </a:pPr>
          <a:r>
            <a:rPr lang="en-GB" sz="1200" kern="100">
              <a:effectLst/>
              <a:latin typeface="Calibri" panose="020F050202020403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Hard formations at deeper depth. Bit is resistant to increasing temperature and pressure at deeper depth. </a:t>
          </a:r>
          <a:endParaRPr lang="en-GB" sz="12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>
            <a:lnSpc>
              <a:spcPct val="115000"/>
            </a:lnSpc>
            <a:spcAft>
              <a:spcPts val="800"/>
            </a:spcAft>
            <a:buNone/>
          </a:pPr>
          <a:r>
            <a:rPr lang="en-GB" sz="1200" kern="100">
              <a:effectLst/>
              <a:latin typeface="Calibri" panose="020F050202020403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PDC @ 9000 FT</a:t>
          </a:r>
          <a:endParaRPr lang="en-GB" sz="12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>
            <a:lnSpc>
              <a:spcPct val="115000"/>
            </a:lnSpc>
            <a:spcAft>
              <a:spcPts val="800"/>
            </a:spcAft>
          </a:pPr>
          <a:r>
            <a:rPr lang="en-GB" sz="12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11</xdr:col>
      <xdr:colOff>38100</xdr:colOff>
      <xdr:row>348</xdr:row>
      <xdr:rowOff>57150</xdr:rowOff>
    </xdr:from>
    <xdr:to>
      <xdr:col>11</xdr:col>
      <xdr:colOff>1247775</xdr:colOff>
      <xdr:row>348</xdr:row>
      <xdr:rowOff>914400</xdr:rowOff>
    </xdr:to>
    <xdr:sp macro="" textlink="">
      <xdr:nvSpPr>
        <xdr:cNvPr id="510" name="TextBox 14">
          <a:extLst>
            <a:ext uri="{FF2B5EF4-FFF2-40B4-BE49-F238E27FC236}">
              <a16:creationId xmlns:a16="http://schemas.microsoft.com/office/drawing/2014/main" id="{286144B4-F30F-8612-2DA0-ECA0759E1053}"/>
            </a:ext>
          </a:extLst>
        </xdr:cNvPr>
        <xdr:cNvSpPr txBox="1"/>
      </xdr:nvSpPr>
      <xdr:spPr>
        <a:xfrm>
          <a:off x="7629525" y="72809100"/>
          <a:ext cx="1209675" cy="85725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400" b="0" i="0" u="none" strike="noStrike">
              <a:solidFill>
                <a:schemeClr val="dk1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intermediate hole 4100 FT </a:t>
          </a:r>
          <a:endParaRPr lang="en-GB" sz="1400" b="0">
            <a:latin typeface="Arial Narrow" panose="020B0606020202030204" pitchFamily="34" charset="0"/>
          </a:endParaRPr>
        </a:p>
      </xdr:txBody>
    </xdr:sp>
    <xdr:clientData/>
  </xdr:twoCellAnchor>
  <xdr:twoCellAnchor editAs="oneCell">
    <xdr:from>
      <xdr:col>13</xdr:col>
      <xdr:colOff>0</xdr:colOff>
      <xdr:row>254</xdr:row>
      <xdr:rowOff>0</xdr:rowOff>
    </xdr:from>
    <xdr:to>
      <xdr:col>16</xdr:col>
      <xdr:colOff>10105</xdr:colOff>
      <xdr:row>274</xdr:row>
      <xdr:rowOff>10061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B2F998-7763-1758-63F2-81347E4D5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72725" y="53263800"/>
          <a:ext cx="4153480" cy="3839111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253</xdr:row>
      <xdr:rowOff>0</xdr:rowOff>
    </xdr:from>
    <xdr:to>
      <xdr:col>17</xdr:col>
      <xdr:colOff>3172405</xdr:colOff>
      <xdr:row>273</xdr:row>
      <xdr:rowOff>536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3ED662A-02D6-46A2-B05C-F043023F4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316450" y="52654200"/>
          <a:ext cx="4153480" cy="383911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345</xdr:row>
      <xdr:rowOff>9779</xdr:rowOff>
    </xdr:from>
    <xdr:to>
      <xdr:col>14</xdr:col>
      <xdr:colOff>9525</xdr:colOff>
      <xdr:row>351</xdr:row>
      <xdr:rowOff>2</xdr:rowOff>
    </xdr:to>
    <xdr:grpSp>
      <xdr:nvGrpSpPr>
        <xdr:cNvPr id="530" name="Group 33">
          <a:extLst>
            <a:ext uri="{FF2B5EF4-FFF2-40B4-BE49-F238E27FC236}">
              <a16:creationId xmlns:a16="http://schemas.microsoft.com/office/drawing/2014/main" id="{4724D2CD-E3C3-F0F8-E885-A2BF35825C4E}"/>
            </a:ext>
          </a:extLst>
        </xdr:cNvPr>
        <xdr:cNvGrpSpPr/>
      </xdr:nvGrpSpPr>
      <xdr:grpSpPr>
        <a:xfrm>
          <a:off x="7762875" y="70561454"/>
          <a:ext cx="5581650" cy="2933448"/>
          <a:chOff x="6792076" y="70855361"/>
          <a:chExt cx="9548649" cy="3657041"/>
        </a:xfrm>
      </xdr:grpSpPr>
      <xdr:sp macro="" textlink="">
        <xdr:nvSpPr>
          <xdr:cNvPr id="531" name="TextBox 21">
            <a:extLst>
              <a:ext uri="{FF2B5EF4-FFF2-40B4-BE49-F238E27FC236}">
                <a16:creationId xmlns:a16="http://schemas.microsoft.com/office/drawing/2014/main" id="{F721A060-B021-BA81-6A95-9EC154E0C6DE}"/>
              </a:ext>
            </a:extLst>
          </xdr:cNvPr>
          <xdr:cNvSpPr txBox="1"/>
        </xdr:nvSpPr>
        <xdr:spPr>
          <a:xfrm>
            <a:off x="6792078" y="73825500"/>
            <a:ext cx="2159630" cy="677607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GB" sz="1400" b="0" i="0" u="none" strike="noStrike">
                <a:solidFill>
                  <a:schemeClr val="dk1"/>
                </a:solidFill>
                <a:effectLst/>
                <a:latin typeface="Arial Narrow" panose="020B0606020202030204" pitchFamily="34" charset="0"/>
                <a:ea typeface="+mn-ea"/>
                <a:cs typeface="+mn-cs"/>
              </a:rPr>
              <a:t>Production liner  @ 9000 FT</a:t>
            </a:r>
          </a:p>
        </xdr:txBody>
      </xdr:sp>
      <xdr:sp macro="" textlink="">
        <xdr:nvSpPr>
          <xdr:cNvPr id="532" name="TextBox 24">
            <a:extLst>
              <a:ext uri="{FF2B5EF4-FFF2-40B4-BE49-F238E27FC236}">
                <a16:creationId xmlns:a16="http://schemas.microsoft.com/office/drawing/2014/main" id="{D50C9A04-791E-80C5-A687-C0F573F58C77}"/>
              </a:ext>
            </a:extLst>
          </xdr:cNvPr>
          <xdr:cNvSpPr txBox="1"/>
        </xdr:nvSpPr>
        <xdr:spPr>
          <a:xfrm>
            <a:off x="10691226" y="70855361"/>
            <a:ext cx="5635268" cy="1197189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400" b="0" i="0" u="none" strike="noStrike">
                <a:solidFill>
                  <a:schemeClr val="dk1"/>
                </a:solidFill>
                <a:effectLst/>
                <a:latin typeface="Arial Narrow" panose="020B0606020202030204" pitchFamily="34" charset="0"/>
                <a:ea typeface="+mn-ea"/>
                <a:cs typeface="Times New Roman" panose="02020603050405020304" pitchFamily="18" charset="0"/>
              </a:rPr>
              <a:t>Formations in this section are dominated with claystone.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400" b="0" i="0" u="none" strike="noStrike">
                <a:solidFill>
                  <a:schemeClr val="dk1"/>
                </a:solidFill>
                <a:effectLst/>
                <a:latin typeface="Arial Narrow" panose="020B0606020202030204" pitchFamily="34" charset="0"/>
                <a:ea typeface="+mn-ea"/>
                <a:cs typeface="Times New Roman" panose="02020603050405020304" pitchFamily="18" charset="0"/>
              </a:rPr>
              <a:t> 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400" b="0" i="0" u="none" strike="noStrike">
                <a:solidFill>
                  <a:schemeClr val="dk1"/>
                </a:solidFill>
                <a:effectLst/>
                <a:latin typeface="Arial Narrow" panose="020B0606020202030204" pitchFamily="34" charset="0"/>
                <a:ea typeface="+mn-ea"/>
                <a:cs typeface="Times New Roman" panose="02020603050405020304" pitchFamily="18" charset="0"/>
              </a:rPr>
              <a:t>Bit has</a:t>
            </a:r>
            <a:r>
              <a:rPr lang="en-GB" sz="1400" b="0" i="0" u="none" strike="noStrike" baseline="0">
                <a:solidFill>
                  <a:schemeClr val="dk1"/>
                </a:solidFill>
                <a:effectLst/>
                <a:latin typeface="Arial Narrow" panose="020B0606020202030204" pitchFamily="34" charset="0"/>
                <a:ea typeface="+mn-ea"/>
                <a:cs typeface="Times New Roman" panose="02020603050405020304" pitchFamily="18" charset="0"/>
              </a:rPr>
              <a:t> long teeth </a:t>
            </a:r>
            <a:r>
              <a:rPr lang="en-GB" sz="1400" b="0" i="0" u="none" strike="noStrike">
                <a:solidFill>
                  <a:schemeClr val="dk1"/>
                </a:solidFill>
                <a:effectLst/>
                <a:latin typeface="Arial Narrow" panose="020B0606020202030204" pitchFamily="34" charset="0"/>
                <a:ea typeface="+mn-ea"/>
                <a:cs typeface="Times New Roman" panose="02020603050405020304" pitchFamily="18" charset="0"/>
              </a:rPr>
              <a:t>to prevent bit balling and </a:t>
            </a:r>
            <a:r>
              <a:rPr lang="en-GB" sz="1400">
                <a:latin typeface="Arial Narrow" panose="020B0606020202030204" pitchFamily="34" charset="0"/>
                <a:cs typeface="Times New Roman" panose="02020603050405020304" pitchFamily="18" charset="0"/>
              </a:rPr>
              <a:t> </a:t>
            </a:r>
            <a:r>
              <a:rPr lang="en-GB" sz="1400" b="0" i="0" u="none" strike="noStrike">
                <a:solidFill>
                  <a:schemeClr val="dk1"/>
                </a:solidFill>
                <a:effectLst/>
                <a:latin typeface="Arial Narrow" panose="020B0606020202030204" pitchFamily="34" charset="0"/>
                <a:ea typeface="+mn-ea"/>
                <a:cs typeface="Times New Roman" panose="02020603050405020304" pitchFamily="18" charset="0"/>
              </a:rPr>
              <a:t>widely spaced teeth to easily remove cuttings from bit face</a:t>
            </a:r>
            <a:r>
              <a:rPr lang="en-GB" sz="1400" b="0" i="0" u="none" strike="noStrike" baseline="0">
                <a:solidFill>
                  <a:schemeClr val="dk1"/>
                </a:solidFill>
                <a:effectLst/>
                <a:latin typeface="Arial Narrow" panose="020B0606020202030204" pitchFamily="34" charset="0"/>
                <a:ea typeface="+mn-ea"/>
                <a:cs typeface="Times New Roman" panose="02020603050405020304" pitchFamily="18" charset="0"/>
              </a:rPr>
              <a:t>. </a:t>
            </a:r>
            <a:endParaRPr lang="en-GB" sz="1400" b="0" i="0" u="none" strike="noStrike">
              <a:solidFill>
                <a:schemeClr val="dk1"/>
              </a:solidFill>
              <a:effectLst/>
              <a:latin typeface="Arial Narrow" panose="020B0606020202030204" pitchFamily="34" charset="0"/>
              <a:ea typeface="+mn-ea"/>
              <a:cs typeface="Times New Roman" panose="02020603050405020304" pitchFamily="18" charset="0"/>
            </a:endParaRPr>
          </a:p>
        </xdr:txBody>
      </xdr:sp>
      <xdr:sp macro="" textlink="">
        <xdr:nvSpPr>
          <xdr:cNvPr id="533" name="TextBox 25">
            <a:extLst>
              <a:ext uri="{FF2B5EF4-FFF2-40B4-BE49-F238E27FC236}">
                <a16:creationId xmlns:a16="http://schemas.microsoft.com/office/drawing/2014/main" id="{E13036B9-435F-A62E-1CFB-26D42F3D6A65}"/>
              </a:ext>
            </a:extLst>
          </xdr:cNvPr>
          <xdr:cNvSpPr txBox="1"/>
        </xdr:nvSpPr>
        <xdr:spPr>
          <a:xfrm>
            <a:off x="10705457" y="72061833"/>
            <a:ext cx="5621038" cy="1100498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400" b="0" i="0" u="none" strike="noStrike">
                <a:solidFill>
                  <a:schemeClr val="dk1"/>
                </a:solidFill>
                <a:effectLst/>
                <a:latin typeface="Arial Narrow" panose="020B0606020202030204" pitchFamily="34" charset="0"/>
                <a:ea typeface="+mn-ea"/>
                <a:cs typeface="+mn-cs"/>
              </a:rPr>
              <a:t>Moderately consolidated formations. </a:t>
            </a:r>
          </a:p>
          <a:p>
            <a:endParaRPr lang="en-GB" sz="1400" b="0" i="0" u="none" strike="noStrike">
              <a:solidFill>
                <a:schemeClr val="dk1"/>
              </a:solidFill>
              <a:effectLst/>
              <a:latin typeface="Arial Narrow" panose="020B0606020202030204" pitchFamily="34" charset="0"/>
              <a:ea typeface="+mn-ea"/>
              <a:cs typeface="+mn-cs"/>
            </a:endParaRPr>
          </a:p>
          <a:p>
            <a:r>
              <a:rPr lang="en-GB" sz="1400" b="0" i="0" u="none" strike="noStrike">
                <a:solidFill>
                  <a:schemeClr val="dk1"/>
                </a:solidFill>
                <a:effectLst/>
                <a:latin typeface="Arial Narrow" panose="020B0606020202030204" pitchFamily="34" charset="0"/>
                <a:ea typeface="+mn-ea"/>
                <a:cs typeface="+mn-cs"/>
              </a:rPr>
              <a:t>Bit</a:t>
            </a:r>
            <a:r>
              <a:rPr lang="en-GB" sz="1400" b="0" i="0" u="none" strike="noStrike" baseline="0">
                <a:solidFill>
                  <a:schemeClr val="dk1"/>
                </a:solidFill>
                <a:effectLst/>
                <a:latin typeface="Arial Narrow" panose="020B0606020202030204" pitchFamily="34" charset="0"/>
                <a:ea typeface="+mn-ea"/>
                <a:cs typeface="+mn-cs"/>
              </a:rPr>
              <a:t> </a:t>
            </a:r>
            <a:r>
              <a:rPr lang="en-GB" sz="1400" b="0" i="0" u="none" strike="noStrike">
                <a:solidFill>
                  <a:schemeClr val="dk1"/>
                </a:solidFill>
                <a:effectLst/>
                <a:latin typeface="Arial Narrow" panose="020B0606020202030204" pitchFamily="34" charset="0"/>
                <a:ea typeface="+mn-ea"/>
                <a:cs typeface="+mn-cs"/>
              </a:rPr>
              <a:t>comprises of</a:t>
            </a:r>
            <a:r>
              <a:rPr lang="en-GB" sz="1400" b="0" i="0" u="none" strike="noStrike" baseline="0">
                <a:solidFill>
                  <a:schemeClr val="dk1"/>
                </a:solidFill>
                <a:effectLst/>
                <a:latin typeface="Arial Narrow" panose="020B0606020202030204" pitchFamily="34" charset="0"/>
                <a:ea typeface="+mn-ea"/>
                <a:cs typeface="+mn-cs"/>
              </a:rPr>
              <a:t> </a:t>
            </a:r>
            <a:r>
              <a:rPr lang="en-GB" sz="1400" b="0" i="0" u="none" strike="noStrike">
                <a:solidFill>
                  <a:schemeClr val="dk1"/>
                </a:solidFill>
                <a:effectLst/>
                <a:latin typeface="Arial Narrow" panose="020B0606020202030204" pitchFamily="34" charset="0"/>
                <a:ea typeface="+mn-ea"/>
                <a:cs typeface="+mn-cs"/>
              </a:rPr>
              <a:t>short teeth </a:t>
            </a:r>
            <a:r>
              <a:rPr lang="en-GB" sz="1400" b="0" i="0" u="none" strike="noStrike" baseline="0">
                <a:solidFill>
                  <a:schemeClr val="dk1"/>
                </a:solidFill>
                <a:effectLst/>
                <a:latin typeface="Arial Narrow" panose="020B0606020202030204" pitchFamily="34" charset="0"/>
                <a:ea typeface="+mn-ea"/>
                <a:cs typeface="+mn-cs"/>
              </a:rPr>
              <a:t>to </a:t>
            </a:r>
            <a:r>
              <a:rPr lang="en-GB" sz="1400" b="0" i="0" u="none" strike="noStrike">
                <a:solidFill>
                  <a:schemeClr val="dk1"/>
                </a:solidFill>
                <a:effectLst/>
                <a:latin typeface="Arial Narrow" panose="020B0606020202030204" pitchFamily="34" charset="0"/>
                <a:ea typeface="+mn-ea"/>
                <a:cs typeface="+mn-cs"/>
              </a:rPr>
              <a:t>give resistance to bit tooth.</a:t>
            </a:r>
            <a:r>
              <a:rPr lang="en-GB" sz="1400" b="0" i="0" u="none" strike="noStrike" baseline="0">
                <a:solidFill>
                  <a:schemeClr val="dk1"/>
                </a:solidFill>
                <a:effectLst/>
                <a:latin typeface="Arial Narrow" panose="020B0606020202030204" pitchFamily="34" charset="0"/>
                <a:ea typeface="+mn-ea"/>
                <a:cs typeface="+mn-cs"/>
              </a:rPr>
              <a:t> </a:t>
            </a:r>
            <a:endParaRPr lang="en-GB" sz="1400" b="0" i="0" u="none" strike="noStrike">
              <a:solidFill>
                <a:schemeClr val="dk1"/>
              </a:solidFill>
              <a:effectLst/>
              <a:latin typeface="Arial Narrow" panose="020B0606020202030204" pitchFamily="34" charset="0"/>
              <a:ea typeface="+mn-ea"/>
              <a:cs typeface="+mn-cs"/>
            </a:endParaRPr>
          </a:p>
        </xdr:txBody>
      </xdr:sp>
      <xdr:sp macro="" textlink="">
        <xdr:nvSpPr>
          <xdr:cNvPr id="534" name="TextBox 26">
            <a:extLst>
              <a:ext uri="{FF2B5EF4-FFF2-40B4-BE49-F238E27FC236}">
                <a16:creationId xmlns:a16="http://schemas.microsoft.com/office/drawing/2014/main" id="{6C6A95EF-31A6-4F21-4B78-0E54692C0781}"/>
              </a:ext>
            </a:extLst>
          </xdr:cNvPr>
          <xdr:cNvSpPr txBox="1"/>
        </xdr:nvSpPr>
        <xdr:spPr>
          <a:xfrm>
            <a:off x="10672626" y="73036489"/>
            <a:ext cx="5668099" cy="1475913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400" b="0" i="0" u="none" strike="noStrike">
                <a:solidFill>
                  <a:schemeClr val="dk1"/>
                </a:solidFill>
                <a:effectLst/>
                <a:latin typeface="Arial Narrow" panose="020B0606020202030204" pitchFamily="34" charset="0"/>
                <a:ea typeface="+mn-ea"/>
                <a:cs typeface="+mn-cs"/>
              </a:rPr>
              <a:t>Hard</a:t>
            </a:r>
            <a:r>
              <a:rPr lang="en-GB" sz="1400" b="0" i="0" u="none" strike="noStrike" baseline="0">
                <a:solidFill>
                  <a:schemeClr val="dk1"/>
                </a:solidFill>
                <a:effectLst/>
                <a:latin typeface="Arial Narrow" panose="020B0606020202030204" pitchFamily="34" charset="0"/>
                <a:ea typeface="+mn-ea"/>
                <a:cs typeface="+mn-cs"/>
              </a:rPr>
              <a:t> fomations in the production casing and liner hole sections. </a:t>
            </a:r>
          </a:p>
          <a:p>
            <a:endParaRPr lang="en-GB" sz="1400" b="0" i="0" u="none" strike="noStrike" baseline="0">
              <a:solidFill>
                <a:schemeClr val="dk1"/>
              </a:solidFill>
              <a:effectLst/>
              <a:latin typeface="Arial Narrow" panose="020B0606020202030204" pitchFamily="34" charset="0"/>
              <a:ea typeface="+mn-ea"/>
              <a:cs typeface="+mn-cs"/>
            </a:endParaRPr>
          </a:p>
          <a:p>
            <a:r>
              <a:rPr lang="en-GB" sz="1400" b="0" i="0" u="none" strike="noStrike" baseline="0">
                <a:solidFill>
                  <a:schemeClr val="dk1"/>
                </a:solidFill>
                <a:effectLst/>
                <a:latin typeface="Arial Narrow" panose="020B0606020202030204" pitchFamily="34" charset="0"/>
                <a:ea typeface="+mn-ea"/>
                <a:cs typeface="+mn-cs"/>
              </a:rPr>
              <a:t>Bit </a:t>
            </a:r>
            <a:r>
              <a:rPr lang="en-GB" sz="1400" b="0" i="0" u="none" strike="noStrike">
                <a:solidFill>
                  <a:schemeClr val="dk1"/>
                </a:solidFill>
                <a:effectLst/>
                <a:latin typeface="Arial Narrow" panose="020B0606020202030204" pitchFamily="34" charset="0"/>
                <a:ea typeface="+mn-ea"/>
                <a:cs typeface="+mn-cs"/>
              </a:rPr>
              <a:t>is resistant to increasing </a:t>
            </a:r>
            <a:r>
              <a:rPr lang="en-GB" sz="1400">
                <a:latin typeface="Arial Narrow" panose="020B0606020202030204" pitchFamily="34" charset="0"/>
              </a:rPr>
              <a:t> </a:t>
            </a:r>
            <a:r>
              <a:rPr lang="en-GB" sz="1400" b="0" i="0" u="none" strike="noStrike">
                <a:solidFill>
                  <a:schemeClr val="dk1"/>
                </a:solidFill>
                <a:effectLst/>
                <a:latin typeface="Arial Narrow" panose="020B0606020202030204" pitchFamily="34" charset="0"/>
                <a:ea typeface="+mn-ea"/>
                <a:cs typeface="+mn-cs"/>
              </a:rPr>
              <a:t>temperature and pressure at  deeper.</a:t>
            </a:r>
            <a:endParaRPr lang="en-GB" sz="1400" b="0" i="0" u="none" strike="noStrike" baseline="0">
              <a:solidFill>
                <a:schemeClr val="dk1"/>
              </a:solidFill>
              <a:effectLst/>
              <a:latin typeface="Arial Narrow" panose="020B0606020202030204" pitchFamily="34" charset="0"/>
              <a:ea typeface="+mn-ea"/>
              <a:cs typeface="+mn-cs"/>
            </a:endParaRPr>
          </a:p>
          <a:p>
            <a:endPara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</xdr:txBody>
      </xdr:sp>
      <xdr:pic>
        <xdr:nvPicPr>
          <xdr:cNvPr id="535" name="Picture 16" descr="A red object on the ground&#10;&#10;AI-generated content may be incorrect.">
            <a:extLst>
              <a:ext uri="{FF2B5EF4-FFF2-40B4-BE49-F238E27FC236}">
                <a16:creationId xmlns:a16="http://schemas.microsoft.com/office/drawing/2014/main" id="{80523593-46FE-CBF0-32CB-50E51B19E67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951708" y="70864346"/>
            <a:ext cx="1725289" cy="9144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</xdr:pic>
      <xdr:pic>
        <xdr:nvPicPr>
          <xdr:cNvPr id="536" name="Picture 18" descr="A blue circular object with a few holes&#10;&#10;AI-generated content may be incorrect.">
            <a:extLst>
              <a:ext uri="{FF2B5EF4-FFF2-40B4-BE49-F238E27FC236}">
                <a16:creationId xmlns:a16="http://schemas.microsoft.com/office/drawing/2014/main" id="{F8482103-AB07-B44D-25E3-5BF1D3EB40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954787" y="72071116"/>
            <a:ext cx="1739520" cy="816853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pic>
        <xdr:nvPicPr>
          <xdr:cNvPr id="537" name="Picture 18">
            <a:extLst>
              <a:ext uri="{FF2B5EF4-FFF2-40B4-BE49-F238E27FC236}">
                <a16:creationId xmlns:a16="http://schemas.microsoft.com/office/drawing/2014/main" id="{D7041E52-D604-FD9E-F95F-ADA599A52E4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8962176" y="73037731"/>
            <a:ext cx="1757511" cy="1201738"/>
          </a:xfrm>
          <a:prstGeom prst="rect">
            <a:avLst/>
          </a:prstGeom>
        </xdr:spPr>
      </xdr:pic>
      <xdr:sp macro="" textlink="">
        <xdr:nvSpPr>
          <xdr:cNvPr id="538" name="TextBox 21">
            <a:extLst>
              <a:ext uri="{FF2B5EF4-FFF2-40B4-BE49-F238E27FC236}">
                <a16:creationId xmlns:a16="http://schemas.microsoft.com/office/drawing/2014/main" id="{44AAB6CE-9461-EC37-C4E1-80C188E432BA}"/>
              </a:ext>
            </a:extLst>
          </xdr:cNvPr>
          <xdr:cNvSpPr txBox="1"/>
        </xdr:nvSpPr>
        <xdr:spPr>
          <a:xfrm>
            <a:off x="6792076" y="73037709"/>
            <a:ext cx="2162074" cy="774945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400" b="0" i="0" u="none" strike="noStrike">
                <a:solidFill>
                  <a:schemeClr val="dk1"/>
                </a:solidFill>
                <a:effectLst/>
                <a:latin typeface="Arial Narrow" panose="020B0606020202030204" pitchFamily="34" charset="0"/>
                <a:ea typeface="+mn-ea"/>
                <a:cs typeface="+mn-cs"/>
              </a:rPr>
              <a:t>Production casing  hole@ 7700 FT</a:t>
            </a:r>
            <a:r>
              <a:rPr lang="en-GB" sz="1400">
                <a:latin typeface="Arial Narrow" panose="020B0606020202030204" pitchFamily="34" charset="0"/>
              </a:rPr>
              <a:t> </a:t>
            </a:r>
            <a:endParaRPr lang="en-GB" sz="1400" b="0" i="0" u="none" strike="noStrike">
              <a:solidFill>
                <a:schemeClr val="dk1"/>
              </a:solidFill>
              <a:effectLst/>
              <a:latin typeface="Arial Narrow" panose="020B0606020202030204" pitchFamily="34" charset="0"/>
              <a:ea typeface="+mn-ea"/>
              <a:cs typeface="+mn-cs"/>
            </a:endParaRPr>
          </a:p>
        </xdr:txBody>
      </xdr:sp>
    </xdr:grpSp>
    <xdr:clientData/>
  </xdr:twoCellAnchor>
  <xdr:twoCellAnchor editAs="oneCell">
    <xdr:from>
      <xdr:col>13</xdr:col>
      <xdr:colOff>0</xdr:colOff>
      <xdr:row>446</xdr:row>
      <xdr:rowOff>0</xdr:rowOff>
    </xdr:from>
    <xdr:to>
      <xdr:col>17</xdr:col>
      <xdr:colOff>607060</xdr:colOff>
      <xdr:row>452</xdr:row>
      <xdr:rowOff>160655</xdr:rowOff>
    </xdr:to>
    <xdr:pic>
      <xdr:nvPicPr>
        <xdr:cNvPr id="37" name="Picture 36" descr="A white sheet with black text&#10;&#10;AI-generated content may be incorrect.">
          <a:extLst>
            <a:ext uri="{FF2B5EF4-FFF2-40B4-BE49-F238E27FC236}">
              <a16:creationId xmlns:a16="http://schemas.microsoft.com/office/drawing/2014/main" id="{2719581E-45B0-18B9-37D1-4409355B6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677400" y="93021150"/>
          <a:ext cx="5731510" cy="1303655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 editAs="oneCell">
    <xdr:from>
      <xdr:col>10</xdr:col>
      <xdr:colOff>0</xdr:colOff>
      <xdr:row>508</xdr:row>
      <xdr:rowOff>0</xdr:rowOff>
    </xdr:from>
    <xdr:to>
      <xdr:col>13</xdr:col>
      <xdr:colOff>581660</xdr:colOff>
      <xdr:row>515</xdr:row>
      <xdr:rowOff>73025</xdr:rowOff>
    </xdr:to>
    <xdr:pic>
      <xdr:nvPicPr>
        <xdr:cNvPr id="7" name="Picture 6" descr="A white sheet with black text&#10;&#10;AI-generated content may be incorrect.">
          <a:extLst>
            <a:ext uri="{FF2B5EF4-FFF2-40B4-BE49-F238E27FC236}">
              <a16:creationId xmlns:a16="http://schemas.microsoft.com/office/drawing/2014/main" id="{46002CFE-7662-7E56-D615-9D43743B6D85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0" y="111604425"/>
          <a:ext cx="4820285" cy="1406525"/>
        </a:xfrm>
        <a:prstGeom prst="rect">
          <a:avLst/>
        </a:prstGeom>
      </xdr:spPr>
    </xdr:pic>
    <xdr:clientData/>
  </xdr:twoCellAnchor>
  <xdr:twoCellAnchor>
    <xdr:from>
      <xdr:col>17</xdr:col>
      <xdr:colOff>2047875</xdr:colOff>
      <xdr:row>147</xdr:row>
      <xdr:rowOff>66675</xdr:rowOff>
    </xdr:from>
    <xdr:to>
      <xdr:col>19</xdr:col>
      <xdr:colOff>364640</xdr:colOff>
      <xdr:row>149</xdr:row>
      <xdr:rowOff>117407</xdr:rowOff>
    </xdr:to>
    <xdr:sp macro="" textlink="">
      <xdr:nvSpPr>
        <xdr:cNvPr id="13" name="Rectangle 7">
          <a:extLst>
            <a:ext uri="{FF2B5EF4-FFF2-40B4-BE49-F238E27FC236}">
              <a16:creationId xmlns:a16="http://schemas.microsoft.com/office/drawing/2014/main" id="{A10DC258-F82C-9EFC-D7F5-F5E18B7187AF}"/>
            </a:ext>
          </a:extLst>
        </xdr:cNvPr>
        <xdr:cNvSpPr/>
      </xdr:nvSpPr>
      <xdr:spPr>
        <a:xfrm>
          <a:off x="17649825" y="33613725"/>
          <a:ext cx="5384315" cy="431732"/>
        </a:xfrm>
        <a:prstGeom prst="rect">
          <a:avLst/>
        </a:prstGeom>
        <a:solidFill>
          <a:srgbClr val="27595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/>
            <a:t>Bottom-up vs edge water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17</xdr:row>
      <xdr:rowOff>0</xdr:rowOff>
    </xdr:from>
    <xdr:to>
      <xdr:col>4</xdr:col>
      <xdr:colOff>619125</xdr:colOff>
      <xdr:row>28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8182C96-12F9-4148-BFF1-DBA2FC92271E}"/>
            </a:ext>
          </a:extLst>
        </xdr:cNvPr>
        <xdr:cNvCxnSpPr/>
      </xdr:nvCxnSpPr>
      <xdr:spPr>
        <a:xfrm>
          <a:off x="3048000" y="3238500"/>
          <a:ext cx="0" cy="209550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2</xdr:row>
      <xdr:rowOff>0</xdr:rowOff>
    </xdr:from>
    <xdr:to>
      <xdr:col>4</xdr:col>
      <xdr:colOff>495300</xdr:colOff>
      <xdr:row>3</xdr:row>
      <xdr:rowOff>9525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442B248-6906-4EC9-A746-25EE8CC1DD6C}"/>
            </a:ext>
          </a:extLst>
        </xdr:cNvPr>
        <xdr:cNvSpPr/>
      </xdr:nvSpPr>
      <xdr:spPr>
        <a:xfrm>
          <a:off x="2743200" y="381000"/>
          <a:ext cx="190500" cy="200025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1457325</xdr:colOff>
      <xdr:row>3</xdr:row>
      <xdr:rowOff>0</xdr:rowOff>
    </xdr:from>
    <xdr:to>
      <xdr:col>5</xdr:col>
      <xdr:colOff>247650</xdr:colOff>
      <xdr:row>28</xdr:row>
      <xdr:rowOff>9525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7FAE3D1D-3834-484F-ABB2-B5694664F9F4}"/>
            </a:ext>
          </a:extLst>
        </xdr:cNvPr>
        <xdr:cNvGrpSpPr/>
      </xdr:nvGrpSpPr>
      <xdr:grpSpPr>
        <a:xfrm>
          <a:off x="2838450" y="571500"/>
          <a:ext cx="4867275" cy="4772025"/>
          <a:chOff x="2838450" y="571500"/>
          <a:chExt cx="4867275" cy="4772025"/>
        </a:xfrm>
      </xdr:grpSpPr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id="{9FE1D078-CFE4-239C-3146-E89C211E8643}"/>
              </a:ext>
            </a:extLst>
          </xdr:cNvPr>
          <xdr:cNvCxnSpPr/>
        </xdr:nvCxnSpPr>
        <xdr:spPr>
          <a:xfrm>
            <a:off x="3362325" y="581025"/>
            <a:ext cx="0" cy="1895475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036C465E-F3D0-ED67-C244-395C72A159EB}"/>
              </a:ext>
            </a:extLst>
          </xdr:cNvPr>
          <xdr:cNvCxnSpPr/>
        </xdr:nvCxnSpPr>
        <xdr:spPr>
          <a:xfrm>
            <a:off x="5181600" y="581025"/>
            <a:ext cx="0" cy="1895475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2E50F1AA-E999-40C9-4CF6-DB334DD07D06}"/>
              </a:ext>
            </a:extLst>
          </xdr:cNvPr>
          <xdr:cNvCxnSpPr/>
        </xdr:nvCxnSpPr>
        <xdr:spPr>
          <a:xfrm>
            <a:off x="3619500" y="571500"/>
            <a:ext cx="0" cy="2667000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DB965F7C-EA0F-44B9-B780-141CD9DAA96D}"/>
              </a:ext>
            </a:extLst>
          </xdr:cNvPr>
          <xdr:cNvCxnSpPr/>
        </xdr:nvCxnSpPr>
        <xdr:spPr>
          <a:xfrm flipH="1">
            <a:off x="4914900" y="581025"/>
            <a:ext cx="19050" cy="2628900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BDDB895B-F9D4-99CD-8E0E-44952FF1B0E2}"/>
              </a:ext>
            </a:extLst>
          </xdr:cNvPr>
          <xdr:cNvCxnSpPr/>
        </xdr:nvCxnSpPr>
        <xdr:spPr>
          <a:xfrm>
            <a:off x="3857625" y="581025"/>
            <a:ext cx="0" cy="3276600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28108484-BF1A-507F-6C78-336D1E5510A1}"/>
              </a:ext>
            </a:extLst>
          </xdr:cNvPr>
          <xdr:cNvCxnSpPr/>
        </xdr:nvCxnSpPr>
        <xdr:spPr>
          <a:xfrm flipH="1">
            <a:off x="4648200" y="581025"/>
            <a:ext cx="0" cy="3228975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B23393E7-35BE-5A88-A1EE-8FC5BCF5DAD3}"/>
              </a:ext>
            </a:extLst>
          </xdr:cNvPr>
          <xdr:cNvSpPr/>
        </xdr:nvSpPr>
        <xdr:spPr>
          <a:xfrm>
            <a:off x="4181475" y="571501"/>
            <a:ext cx="123825" cy="360045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2" name="Right Triangle 11">
            <a:extLst>
              <a:ext uri="{FF2B5EF4-FFF2-40B4-BE49-F238E27FC236}">
                <a16:creationId xmlns:a16="http://schemas.microsoft.com/office/drawing/2014/main" id="{EAEB5826-4C24-BB3A-4AE5-96FC833FB6C1}"/>
              </a:ext>
            </a:extLst>
          </xdr:cNvPr>
          <xdr:cNvSpPr/>
        </xdr:nvSpPr>
        <xdr:spPr>
          <a:xfrm>
            <a:off x="5191125" y="2381250"/>
            <a:ext cx="238125" cy="95250"/>
          </a:xfrm>
          <a:prstGeom prst="rtTriangl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3" name="Right Triangle 12">
            <a:extLst>
              <a:ext uri="{FF2B5EF4-FFF2-40B4-BE49-F238E27FC236}">
                <a16:creationId xmlns:a16="http://schemas.microsoft.com/office/drawing/2014/main" id="{E88F1CB5-9064-2518-80B6-8E6455B33713}"/>
              </a:ext>
            </a:extLst>
          </xdr:cNvPr>
          <xdr:cNvSpPr/>
        </xdr:nvSpPr>
        <xdr:spPr>
          <a:xfrm flipH="1">
            <a:off x="3133725" y="2371725"/>
            <a:ext cx="216000" cy="95250"/>
          </a:xfrm>
          <a:prstGeom prst="rtTriangl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4" name="Right Triangle 13">
            <a:extLst>
              <a:ext uri="{FF2B5EF4-FFF2-40B4-BE49-F238E27FC236}">
                <a16:creationId xmlns:a16="http://schemas.microsoft.com/office/drawing/2014/main" id="{8B1BA2CC-1091-137F-9530-EF280E10BB0B}"/>
              </a:ext>
            </a:extLst>
          </xdr:cNvPr>
          <xdr:cNvSpPr/>
        </xdr:nvSpPr>
        <xdr:spPr>
          <a:xfrm flipH="1">
            <a:off x="3371850" y="3143250"/>
            <a:ext cx="238125" cy="95250"/>
          </a:xfrm>
          <a:prstGeom prst="rtTriangl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5" name="Right Triangle 14">
            <a:extLst>
              <a:ext uri="{FF2B5EF4-FFF2-40B4-BE49-F238E27FC236}">
                <a16:creationId xmlns:a16="http://schemas.microsoft.com/office/drawing/2014/main" id="{C9509833-66B0-078B-B696-874900FE6900}"/>
              </a:ext>
            </a:extLst>
          </xdr:cNvPr>
          <xdr:cNvSpPr/>
        </xdr:nvSpPr>
        <xdr:spPr>
          <a:xfrm flipH="1">
            <a:off x="3724275" y="3762375"/>
            <a:ext cx="133350" cy="95250"/>
          </a:xfrm>
          <a:prstGeom prst="rtTriangl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6" name="Right Triangle 15">
            <a:extLst>
              <a:ext uri="{FF2B5EF4-FFF2-40B4-BE49-F238E27FC236}">
                <a16:creationId xmlns:a16="http://schemas.microsoft.com/office/drawing/2014/main" id="{668085D3-7EA5-DE6B-0AF3-37631268C91D}"/>
              </a:ext>
            </a:extLst>
          </xdr:cNvPr>
          <xdr:cNvSpPr/>
        </xdr:nvSpPr>
        <xdr:spPr>
          <a:xfrm>
            <a:off x="4638676" y="3705225"/>
            <a:ext cx="171450" cy="114300"/>
          </a:xfrm>
          <a:prstGeom prst="rtTriangl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7" name="Right Triangle 16">
            <a:extLst>
              <a:ext uri="{FF2B5EF4-FFF2-40B4-BE49-F238E27FC236}">
                <a16:creationId xmlns:a16="http://schemas.microsoft.com/office/drawing/2014/main" id="{5AFD17EA-B4B4-499E-E4BF-26A3BB3567A6}"/>
              </a:ext>
            </a:extLst>
          </xdr:cNvPr>
          <xdr:cNvSpPr/>
        </xdr:nvSpPr>
        <xdr:spPr>
          <a:xfrm>
            <a:off x="4924425" y="3114675"/>
            <a:ext cx="238125" cy="95250"/>
          </a:xfrm>
          <a:prstGeom prst="rtTriangle">
            <a:avLst/>
          </a:prstGeom>
          <a:solidFill>
            <a:schemeClr val="tx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51B61EAE-1ADD-25F8-284C-35D4F59B83C2}"/>
              </a:ext>
            </a:extLst>
          </xdr:cNvPr>
          <xdr:cNvSpPr txBox="1"/>
        </xdr:nvSpPr>
        <xdr:spPr>
          <a:xfrm>
            <a:off x="5457825" y="2247901"/>
            <a:ext cx="1990725" cy="2476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050" b="1"/>
              <a:t>SURFACE</a:t>
            </a:r>
            <a:r>
              <a:rPr lang="en-GB" sz="1050" b="1" baseline="0"/>
              <a:t> CASING 20" @3300FT</a:t>
            </a:r>
            <a:endParaRPr lang="en-GB" sz="1050" b="1"/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2B44F127-AD7F-C1D9-A2DD-31C2DD49F870}"/>
              </a:ext>
            </a:extLst>
          </xdr:cNvPr>
          <xdr:cNvSpPr txBox="1"/>
        </xdr:nvSpPr>
        <xdr:spPr>
          <a:xfrm>
            <a:off x="5162550" y="3019425"/>
            <a:ext cx="2543175" cy="2095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 b="1"/>
              <a:t>INTERMEDIATE CASING 13 3/8 @4100FT</a:t>
            </a:r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A859F853-F3ED-8E12-E822-5FA4A2C356CB}"/>
              </a:ext>
            </a:extLst>
          </xdr:cNvPr>
          <xdr:cNvSpPr txBox="1"/>
        </xdr:nvSpPr>
        <xdr:spPr>
          <a:xfrm>
            <a:off x="4848225" y="3629025"/>
            <a:ext cx="2533650" cy="2095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 b="1"/>
              <a:t>PRODCUTION CAING 9</a:t>
            </a:r>
            <a:r>
              <a:rPr lang="en-GB" sz="1100" b="1" baseline="0"/>
              <a:t> 5/8" @7700 FT</a:t>
            </a:r>
            <a:endParaRPr lang="en-GB" sz="1100" b="1"/>
          </a:p>
        </xdr:txBody>
      </xdr: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B9CC3221-F454-E76B-CE15-745017EF9AFE}"/>
              </a:ext>
            </a:extLst>
          </xdr:cNvPr>
          <xdr:cNvCxnSpPr/>
        </xdr:nvCxnSpPr>
        <xdr:spPr>
          <a:xfrm>
            <a:off x="4000500" y="3248025"/>
            <a:ext cx="9525" cy="2085975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A6C076FA-5122-AFD5-57EC-1334AED5EA76}"/>
              </a:ext>
            </a:extLst>
          </xdr:cNvPr>
          <xdr:cNvSpPr/>
        </xdr:nvSpPr>
        <xdr:spPr>
          <a:xfrm>
            <a:off x="3867150" y="3248025"/>
            <a:ext cx="133350" cy="180975"/>
          </a:xfrm>
          <a:prstGeom prst="rect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EF3297A2-8502-4D4A-7284-C0D761759EE6}"/>
              </a:ext>
            </a:extLst>
          </xdr:cNvPr>
          <xdr:cNvSpPr/>
        </xdr:nvSpPr>
        <xdr:spPr>
          <a:xfrm>
            <a:off x="4505324" y="3238501"/>
            <a:ext cx="142875" cy="171450"/>
          </a:xfrm>
          <a:prstGeom prst="rect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935A32D3-FD89-7A6C-13EF-11073CCB3E80}"/>
              </a:ext>
            </a:extLst>
          </xdr:cNvPr>
          <xdr:cNvGrpSpPr/>
        </xdr:nvGrpSpPr>
        <xdr:grpSpPr>
          <a:xfrm>
            <a:off x="3857625" y="581025"/>
            <a:ext cx="333375" cy="219075"/>
            <a:chOff x="3857625" y="1533525"/>
            <a:chExt cx="333375" cy="219075"/>
          </a:xfrm>
        </xdr:grpSpPr>
        <xdr:sp macro="" textlink="">
          <xdr:nvSpPr>
            <xdr:cNvPr id="38" name="Rectangle 37">
              <a:extLst>
                <a:ext uri="{FF2B5EF4-FFF2-40B4-BE49-F238E27FC236}">
                  <a16:creationId xmlns:a16="http://schemas.microsoft.com/office/drawing/2014/main" id="{8383D23A-31FE-6302-E571-FF9357A6E857}"/>
                </a:ext>
              </a:extLst>
            </xdr:cNvPr>
            <xdr:cNvSpPr/>
          </xdr:nvSpPr>
          <xdr:spPr>
            <a:xfrm>
              <a:off x="3876675" y="1533525"/>
              <a:ext cx="295275" cy="200025"/>
            </a:xfrm>
            <a:prstGeom prst="rect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grpSp>
          <xdr:nvGrpSpPr>
            <xdr:cNvPr id="39" name="Group 38">
              <a:extLst>
                <a:ext uri="{FF2B5EF4-FFF2-40B4-BE49-F238E27FC236}">
                  <a16:creationId xmlns:a16="http://schemas.microsoft.com/office/drawing/2014/main" id="{6F128F3D-BA7F-A4AE-3AFE-62F525376453}"/>
                </a:ext>
              </a:extLst>
            </xdr:cNvPr>
            <xdr:cNvGrpSpPr/>
          </xdr:nvGrpSpPr>
          <xdr:grpSpPr>
            <a:xfrm>
              <a:off x="3857625" y="1552575"/>
              <a:ext cx="333375" cy="200025"/>
              <a:chOff x="3857625" y="1552575"/>
              <a:chExt cx="333375" cy="200025"/>
            </a:xfrm>
          </xdr:grpSpPr>
          <xdr:cxnSp macro="">
            <xdr:nvCxnSpPr>
              <xdr:cNvPr id="40" name="Straight Connector 39">
                <a:extLst>
                  <a:ext uri="{FF2B5EF4-FFF2-40B4-BE49-F238E27FC236}">
                    <a16:creationId xmlns:a16="http://schemas.microsoft.com/office/drawing/2014/main" id="{0CABE16D-32F8-6C31-DC8E-37A89DB603CB}"/>
                  </a:ext>
                </a:extLst>
              </xdr:cNvPr>
              <xdr:cNvCxnSpPr/>
            </xdr:nvCxnSpPr>
            <xdr:spPr>
              <a:xfrm flipH="1">
                <a:off x="3857625" y="1552575"/>
                <a:ext cx="304800" cy="200025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41" name="Straight Connector 40">
                <a:extLst>
                  <a:ext uri="{FF2B5EF4-FFF2-40B4-BE49-F238E27FC236}">
                    <a16:creationId xmlns:a16="http://schemas.microsoft.com/office/drawing/2014/main" id="{FEC6AF7F-87CB-F272-5012-5B9027F5D826}"/>
                  </a:ext>
                </a:extLst>
              </xdr:cNvPr>
              <xdr:cNvCxnSpPr/>
            </xdr:nvCxnSpPr>
            <xdr:spPr>
              <a:xfrm>
                <a:off x="3867150" y="1552575"/>
                <a:ext cx="323850" cy="200025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A9920B7B-CAFA-9795-01E6-FAE52E1FCFDF}"/>
              </a:ext>
            </a:extLst>
          </xdr:cNvPr>
          <xdr:cNvGrpSpPr/>
        </xdr:nvGrpSpPr>
        <xdr:grpSpPr>
          <a:xfrm>
            <a:off x="4286251" y="581025"/>
            <a:ext cx="361950" cy="219075"/>
            <a:chOff x="3857625" y="1533525"/>
            <a:chExt cx="333375" cy="219075"/>
          </a:xfrm>
        </xdr:grpSpPr>
        <xdr:sp macro="" textlink="">
          <xdr:nvSpPr>
            <xdr:cNvPr id="34" name="Rectangle 33">
              <a:extLst>
                <a:ext uri="{FF2B5EF4-FFF2-40B4-BE49-F238E27FC236}">
                  <a16:creationId xmlns:a16="http://schemas.microsoft.com/office/drawing/2014/main" id="{E8D0E4A9-9844-DC0A-B299-22BB63400856}"/>
                </a:ext>
              </a:extLst>
            </xdr:cNvPr>
            <xdr:cNvSpPr/>
          </xdr:nvSpPr>
          <xdr:spPr>
            <a:xfrm>
              <a:off x="3876675" y="1533525"/>
              <a:ext cx="295275" cy="200025"/>
            </a:xfrm>
            <a:prstGeom prst="rect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grpSp>
          <xdr:nvGrpSpPr>
            <xdr:cNvPr id="35" name="Group 34">
              <a:extLst>
                <a:ext uri="{FF2B5EF4-FFF2-40B4-BE49-F238E27FC236}">
                  <a16:creationId xmlns:a16="http://schemas.microsoft.com/office/drawing/2014/main" id="{B0E5039E-CE8F-5573-5EAE-FC44F168D05A}"/>
                </a:ext>
              </a:extLst>
            </xdr:cNvPr>
            <xdr:cNvGrpSpPr/>
          </xdr:nvGrpSpPr>
          <xdr:grpSpPr>
            <a:xfrm>
              <a:off x="3857625" y="1552575"/>
              <a:ext cx="333375" cy="200025"/>
              <a:chOff x="3857625" y="1552575"/>
              <a:chExt cx="333375" cy="200025"/>
            </a:xfrm>
          </xdr:grpSpPr>
          <xdr:cxnSp macro="">
            <xdr:nvCxnSpPr>
              <xdr:cNvPr id="36" name="Straight Connector 35">
                <a:extLst>
                  <a:ext uri="{FF2B5EF4-FFF2-40B4-BE49-F238E27FC236}">
                    <a16:creationId xmlns:a16="http://schemas.microsoft.com/office/drawing/2014/main" id="{4F91C494-C024-2AC4-F9E1-08D53B94E497}"/>
                  </a:ext>
                </a:extLst>
              </xdr:cNvPr>
              <xdr:cNvCxnSpPr/>
            </xdr:nvCxnSpPr>
            <xdr:spPr>
              <a:xfrm flipH="1">
                <a:off x="3857625" y="1552575"/>
                <a:ext cx="304800" cy="200025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37" name="Straight Connector 36">
                <a:extLst>
                  <a:ext uri="{FF2B5EF4-FFF2-40B4-BE49-F238E27FC236}">
                    <a16:creationId xmlns:a16="http://schemas.microsoft.com/office/drawing/2014/main" id="{5AAE3D82-6C85-39D7-FD73-71504310B994}"/>
                  </a:ext>
                </a:extLst>
              </xdr:cNvPr>
              <xdr:cNvCxnSpPr/>
            </xdr:nvCxnSpPr>
            <xdr:spPr>
              <a:xfrm>
                <a:off x="3867150" y="1552575"/>
                <a:ext cx="323850" cy="200025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sp macro="" textlink="">
        <xdr:nvSpPr>
          <xdr:cNvPr id="26" name="Right Triangle 25">
            <a:extLst>
              <a:ext uri="{FF2B5EF4-FFF2-40B4-BE49-F238E27FC236}">
                <a16:creationId xmlns:a16="http://schemas.microsoft.com/office/drawing/2014/main" id="{F8319300-9DC2-F6B7-8B43-55728FE45AD0}"/>
              </a:ext>
            </a:extLst>
          </xdr:cNvPr>
          <xdr:cNvSpPr/>
        </xdr:nvSpPr>
        <xdr:spPr>
          <a:xfrm>
            <a:off x="4486275" y="5229225"/>
            <a:ext cx="161925" cy="104775"/>
          </a:xfrm>
          <a:prstGeom prst="rtTriangl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27" name="Right Triangle 26">
            <a:extLst>
              <a:ext uri="{FF2B5EF4-FFF2-40B4-BE49-F238E27FC236}">
                <a16:creationId xmlns:a16="http://schemas.microsoft.com/office/drawing/2014/main" id="{216BC650-A748-3041-4368-AEBF617A5748}"/>
              </a:ext>
            </a:extLst>
          </xdr:cNvPr>
          <xdr:cNvSpPr/>
        </xdr:nvSpPr>
        <xdr:spPr>
          <a:xfrm flipH="1">
            <a:off x="3905249" y="5238750"/>
            <a:ext cx="108000" cy="104775"/>
          </a:xfrm>
          <a:prstGeom prst="rtTriangl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176FAC30-F101-58A4-8CA4-2AC5EA39F879}"/>
              </a:ext>
            </a:extLst>
          </xdr:cNvPr>
          <xdr:cNvCxnSpPr/>
        </xdr:nvCxnSpPr>
        <xdr:spPr>
          <a:xfrm>
            <a:off x="5495925" y="571500"/>
            <a:ext cx="0" cy="800100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300ED794-86F9-2FDD-FAF8-0F7A980E9A27}"/>
              </a:ext>
            </a:extLst>
          </xdr:cNvPr>
          <xdr:cNvCxnSpPr/>
        </xdr:nvCxnSpPr>
        <xdr:spPr>
          <a:xfrm>
            <a:off x="3019425" y="571500"/>
            <a:ext cx="9525" cy="80010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0" name="Right Triangle 29">
            <a:extLst>
              <a:ext uri="{FF2B5EF4-FFF2-40B4-BE49-F238E27FC236}">
                <a16:creationId xmlns:a16="http://schemas.microsoft.com/office/drawing/2014/main" id="{C8AEC0BA-55F6-9DCA-AD4A-CDC49B320F23}"/>
              </a:ext>
            </a:extLst>
          </xdr:cNvPr>
          <xdr:cNvSpPr/>
        </xdr:nvSpPr>
        <xdr:spPr>
          <a:xfrm>
            <a:off x="5486399" y="1209675"/>
            <a:ext cx="123825" cy="171450"/>
          </a:xfrm>
          <a:prstGeom prst="rtTriangl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31" name="Right Triangle 30">
            <a:extLst>
              <a:ext uri="{FF2B5EF4-FFF2-40B4-BE49-F238E27FC236}">
                <a16:creationId xmlns:a16="http://schemas.microsoft.com/office/drawing/2014/main" id="{61EC1676-CC87-1E84-4C80-AA97DCA5A580}"/>
              </a:ext>
            </a:extLst>
          </xdr:cNvPr>
          <xdr:cNvSpPr/>
        </xdr:nvSpPr>
        <xdr:spPr>
          <a:xfrm flipH="1">
            <a:off x="2838450" y="1238249"/>
            <a:ext cx="171450" cy="123825"/>
          </a:xfrm>
          <a:prstGeom prst="rtTriangl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334A5A85-58D8-D3ED-AC00-9AB8E8917BD4}"/>
              </a:ext>
            </a:extLst>
          </xdr:cNvPr>
          <xdr:cNvSpPr txBox="1"/>
        </xdr:nvSpPr>
        <xdr:spPr>
          <a:xfrm>
            <a:off x="5629275" y="1171575"/>
            <a:ext cx="1990725" cy="2095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050" b="1" baseline="0"/>
              <a:t>CONDUCTOR 30" @500FT</a:t>
            </a:r>
            <a:endParaRPr lang="en-GB" sz="1050" b="1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5DF6675A-2429-D755-082A-22D7297AFDBB}"/>
              </a:ext>
            </a:extLst>
          </xdr:cNvPr>
          <xdr:cNvSpPr txBox="1"/>
        </xdr:nvSpPr>
        <xdr:spPr>
          <a:xfrm>
            <a:off x="4695825" y="5095875"/>
            <a:ext cx="2257425" cy="2476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050" b="1"/>
              <a:t>PRODUCTION</a:t>
            </a:r>
            <a:r>
              <a:rPr lang="en-GB" sz="1050" b="1" baseline="0"/>
              <a:t> LINER 7" @ 9000FT</a:t>
            </a:r>
            <a:endParaRPr lang="en-GB" sz="1050" b="1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247650</xdr:colOff>
      <xdr:row>23</xdr:row>
      <xdr:rowOff>53069</xdr:rowOff>
    </xdr:from>
    <xdr:to>
      <xdr:col>10</xdr:col>
      <xdr:colOff>285750</xdr:colOff>
      <xdr:row>25</xdr:row>
      <xdr:rowOff>68036</xdr:rowOff>
    </xdr:to>
    <xdr:sp macro="" textlink="">
      <xdr:nvSpPr>
        <xdr:cNvPr id="93" name="TextBox 2">
          <a:extLst>
            <a:ext uri="{FF2B5EF4-FFF2-40B4-BE49-F238E27FC236}">
              <a16:creationId xmlns:a16="http://schemas.microsoft.com/office/drawing/2014/main" id="{0B14484E-E08B-46CB-8726-F48AA4FA9706}"/>
            </a:ext>
            <a:ext uri="{147F2762-F138-4A5C-976F-8EAC2B608ADB}">
              <a16:predDERef xmlns:a16="http://schemas.microsoft.com/office/drawing/2014/main" pred="{D8BE5012-98DB-4342-BEBE-7BBDC4E2DF0E}"/>
            </a:ext>
          </a:extLst>
        </xdr:cNvPr>
        <xdr:cNvSpPr txBox="1"/>
      </xdr:nvSpPr>
      <xdr:spPr>
        <a:xfrm>
          <a:off x="5949043" y="4434569"/>
          <a:ext cx="2691493" cy="3959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 b="1">
              <a:solidFill>
                <a:schemeClr val="dk1"/>
              </a:solidFill>
              <a:latin typeface="+mn-lt"/>
              <a:ea typeface="+mn-lt"/>
              <a:cs typeface="+mn-lt"/>
            </a:rPr>
            <a:t>INTERMEDIATE CASING </a:t>
          </a:r>
          <a:r>
            <a:rPr lang="en-US" sz="1100" b="1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SHOE </a:t>
          </a:r>
          <a:r>
            <a:rPr lang="en-US" sz="1100" b="1">
              <a:solidFill>
                <a:schemeClr val="dk1"/>
              </a:solidFill>
              <a:latin typeface="+mn-lt"/>
              <a:ea typeface="+mn-lt"/>
              <a:cs typeface="+mn-lt"/>
            </a:rPr>
            <a:t>13 3/8 @4100FT</a:t>
          </a:r>
        </a:p>
      </xdr:txBody>
    </xdr:sp>
    <xdr:clientData/>
  </xdr:twoCellAnchor>
  <xdr:twoCellAnchor>
    <xdr:from>
      <xdr:col>5</xdr:col>
      <xdr:colOff>821534</xdr:colOff>
      <xdr:row>8</xdr:row>
      <xdr:rowOff>15875</xdr:rowOff>
    </xdr:from>
    <xdr:to>
      <xdr:col>10</xdr:col>
      <xdr:colOff>935335</xdr:colOff>
      <xdr:row>38</xdr:row>
      <xdr:rowOff>25401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18A820E8-70A7-4B56-A95B-0BAC19EE8C95}"/>
            </a:ext>
          </a:extLst>
        </xdr:cNvPr>
        <xdr:cNvGrpSpPr/>
      </xdr:nvGrpSpPr>
      <xdr:grpSpPr>
        <a:xfrm>
          <a:off x="3857628" y="2516188"/>
          <a:ext cx="5371601" cy="5724526"/>
          <a:chOff x="1428753" y="1524000"/>
          <a:chExt cx="5410977" cy="5724526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D3AAB57-D684-DE57-91F2-420D6C8B42F7}"/>
              </a:ext>
            </a:extLst>
          </xdr:cNvPr>
          <xdr:cNvGrpSpPr/>
        </xdr:nvGrpSpPr>
        <xdr:grpSpPr>
          <a:xfrm>
            <a:off x="1428753" y="1524000"/>
            <a:ext cx="5410977" cy="5724526"/>
            <a:chOff x="1276353" y="1533525"/>
            <a:chExt cx="5401568" cy="5724526"/>
          </a:xfrm>
        </xdr:grpSpPr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2C709FC5-05E9-C29F-7D31-58ED6EE1A78E}"/>
                </a:ext>
              </a:extLst>
            </xdr:cNvPr>
            <xdr:cNvCxnSpPr/>
          </xdr:nvCxnSpPr>
          <xdr:spPr>
            <a:xfrm>
              <a:off x="1495425" y="1543049"/>
              <a:ext cx="0" cy="720000"/>
            </a:xfrm>
            <a:prstGeom prst="line">
              <a:avLst/>
            </a:prstGeom>
            <a:ln w="762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97E747A-690B-7B0D-9D56-444A1A16CA5A}"/>
                </a:ext>
              </a:extLst>
            </xdr:cNvPr>
            <xdr:cNvCxnSpPr/>
          </xdr:nvCxnSpPr>
          <xdr:spPr>
            <a:xfrm>
              <a:off x="3709208" y="1554955"/>
              <a:ext cx="0" cy="720000"/>
            </a:xfrm>
            <a:prstGeom prst="line">
              <a:avLst/>
            </a:prstGeom>
            <a:ln w="762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10" name="Group 9">
              <a:extLst>
                <a:ext uri="{FF2B5EF4-FFF2-40B4-BE49-F238E27FC236}">
                  <a16:creationId xmlns:a16="http://schemas.microsoft.com/office/drawing/2014/main" id="{5E61D80B-5C7D-7A27-04AC-D72C078B2F5E}"/>
                </a:ext>
              </a:extLst>
            </xdr:cNvPr>
            <xdr:cNvGrpSpPr/>
          </xdr:nvGrpSpPr>
          <xdr:grpSpPr>
            <a:xfrm>
              <a:off x="1447799" y="1533525"/>
              <a:ext cx="5230122" cy="5724526"/>
              <a:chOff x="1447799" y="1533525"/>
              <a:chExt cx="5230122" cy="5724526"/>
            </a:xfrm>
          </xdr:grpSpPr>
          <xdr:grpSp>
            <xdr:nvGrpSpPr>
              <xdr:cNvPr id="13" name="Group 12">
                <a:extLst>
                  <a:ext uri="{FF2B5EF4-FFF2-40B4-BE49-F238E27FC236}">
                    <a16:creationId xmlns:a16="http://schemas.microsoft.com/office/drawing/2014/main" id="{ADB7CAC1-53E2-F222-B2FE-8081910FF37C}"/>
                  </a:ext>
                </a:extLst>
              </xdr:cNvPr>
              <xdr:cNvGrpSpPr/>
            </xdr:nvGrpSpPr>
            <xdr:grpSpPr>
              <a:xfrm>
                <a:off x="1447799" y="1533525"/>
                <a:ext cx="1947149" cy="5724526"/>
                <a:chOff x="2657474" y="1504950"/>
                <a:chExt cx="1947149" cy="5724526"/>
              </a:xfrm>
            </xdr:grpSpPr>
            <xdr:cxnSp macro="">
              <xdr:nvCxnSpPr>
                <xdr:cNvPr id="18" name="Straight Connector 17">
                  <a:extLst>
                    <a:ext uri="{FF2B5EF4-FFF2-40B4-BE49-F238E27FC236}">
                      <a16:creationId xmlns:a16="http://schemas.microsoft.com/office/drawing/2014/main" id="{C26207DA-CFD3-A7D7-769E-6B249B597741}"/>
                    </a:ext>
                  </a:extLst>
                </xdr:cNvPr>
                <xdr:cNvCxnSpPr/>
              </xdr:nvCxnSpPr>
              <xdr:spPr>
                <a:xfrm>
                  <a:off x="2943225" y="1504950"/>
                  <a:ext cx="0" cy="1895475"/>
                </a:xfrm>
                <a:prstGeom prst="line">
                  <a:avLst/>
                </a:prstGeom>
                <a:ln w="76200">
                  <a:solidFill>
                    <a:schemeClr val="tx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9" name="Straight Connector 18">
                  <a:extLst>
                    <a:ext uri="{FF2B5EF4-FFF2-40B4-BE49-F238E27FC236}">
                      <a16:creationId xmlns:a16="http://schemas.microsoft.com/office/drawing/2014/main" id="{89DE958D-F4A7-9699-AD50-8DEF4975A442}"/>
                    </a:ext>
                  </a:extLst>
                </xdr:cNvPr>
                <xdr:cNvCxnSpPr/>
              </xdr:nvCxnSpPr>
              <xdr:spPr>
                <a:xfrm flipH="1">
                  <a:off x="4598908" y="1528761"/>
                  <a:ext cx="5715" cy="1874662"/>
                </a:xfrm>
                <a:prstGeom prst="line">
                  <a:avLst/>
                </a:prstGeom>
                <a:ln w="76200">
                  <a:solidFill>
                    <a:schemeClr val="tx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0" name="Straight Connector 19">
                  <a:extLst>
                    <a:ext uri="{FF2B5EF4-FFF2-40B4-BE49-F238E27FC236}">
                      <a16:creationId xmlns:a16="http://schemas.microsoft.com/office/drawing/2014/main" id="{3CE2F76F-5FA7-4794-78A0-70E78F6F92E2}"/>
                    </a:ext>
                  </a:extLst>
                </xdr:cNvPr>
                <xdr:cNvCxnSpPr/>
              </xdr:nvCxnSpPr>
              <xdr:spPr>
                <a:xfrm>
                  <a:off x="3127844" y="1528762"/>
                  <a:ext cx="15406" cy="3224213"/>
                </a:xfrm>
                <a:prstGeom prst="line">
                  <a:avLst/>
                </a:prstGeom>
                <a:ln w="76200">
                  <a:solidFill>
                    <a:schemeClr val="tx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1" name="Straight Connector 20">
                  <a:extLst>
                    <a:ext uri="{FF2B5EF4-FFF2-40B4-BE49-F238E27FC236}">
                      <a16:creationId xmlns:a16="http://schemas.microsoft.com/office/drawing/2014/main" id="{597ECDE9-70E4-0157-F4B5-3429A5AD87CB}"/>
                    </a:ext>
                  </a:extLst>
                </xdr:cNvPr>
                <xdr:cNvCxnSpPr/>
              </xdr:nvCxnSpPr>
              <xdr:spPr>
                <a:xfrm flipH="1">
                  <a:off x="4392824" y="1504950"/>
                  <a:ext cx="0" cy="3248025"/>
                </a:xfrm>
                <a:prstGeom prst="line">
                  <a:avLst/>
                </a:prstGeom>
                <a:ln w="76200">
                  <a:solidFill>
                    <a:schemeClr val="tx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2" name="Straight Connector 21">
                  <a:extLst>
                    <a:ext uri="{FF2B5EF4-FFF2-40B4-BE49-F238E27FC236}">
                      <a16:creationId xmlns:a16="http://schemas.microsoft.com/office/drawing/2014/main" id="{8562622C-5A84-7772-5FC2-FE74CD41E360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3424983" y="1516856"/>
                  <a:ext cx="13538" cy="5712620"/>
                </a:xfrm>
                <a:prstGeom prst="line">
                  <a:avLst/>
                </a:prstGeom>
                <a:ln w="76200">
                  <a:solidFill>
                    <a:schemeClr val="tx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3" name="Straight Connector 22">
                  <a:extLst>
                    <a:ext uri="{FF2B5EF4-FFF2-40B4-BE49-F238E27FC236}">
                      <a16:creationId xmlns:a16="http://schemas.microsoft.com/office/drawing/2014/main" id="{3B9F88DC-9A24-F97C-9352-E096A83B60B6}"/>
                    </a:ext>
                  </a:extLst>
                </xdr:cNvPr>
                <xdr:cNvCxnSpPr/>
              </xdr:nvCxnSpPr>
              <xdr:spPr>
                <a:xfrm flipH="1">
                  <a:off x="4143375" y="1516856"/>
                  <a:ext cx="6626" cy="5712619"/>
                </a:xfrm>
                <a:prstGeom prst="line">
                  <a:avLst/>
                </a:prstGeom>
                <a:ln w="76200">
                  <a:solidFill>
                    <a:schemeClr val="tx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24" name="Rectangle 23">
                  <a:extLst>
                    <a:ext uri="{FF2B5EF4-FFF2-40B4-BE49-F238E27FC236}">
                      <a16:creationId xmlns:a16="http://schemas.microsoft.com/office/drawing/2014/main" id="{C8622C90-C459-A16B-092D-A78AAF7EA844}"/>
                    </a:ext>
                  </a:extLst>
                </xdr:cNvPr>
                <xdr:cNvSpPr/>
              </xdr:nvSpPr>
              <xdr:spPr>
                <a:xfrm>
                  <a:off x="3752851" y="1514475"/>
                  <a:ext cx="85724" cy="4810125"/>
                </a:xfrm>
                <a:prstGeom prst="rect">
                  <a:avLst/>
                </a:prstGeom>
                <a:solidFill>
                  <a:schemeClr val="bg1"/>
                </a:solidFill>
                <a:ln w="1905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GB" sz="1100"/>
                </a:p>
              </xdr:txBody>
            </xdr:sp>
            <xdr:sp macro="" textlink="">
              <xdr:nvSpPr>
                <xdr:cNvPr id="25" name="Right Triangle 24">
                  <a:extLst>
                    <a:ext uri="{FF2B5EF4-FFF2-40B4-BE49-F238E27FC236}">
                      <a16:creationId xmlns:a16="http://schemas.microsoft.com/office/drawing/2014/main" id="{B725A70F-BA43-807C-6758-B42BCC6B569F}"/>
                    </a:ext>
                  </a:extLst>
                </xdr:cNvPr>
                <xdr:cNvSpPr/>
              </xdr:nvSpPr>
              <xdr:spPr>
                <a:xfrm flipH="1">
                  <a:off x="2657474" y="3286125"/>
                  <a:ext cx="238125" cy="114300"/>
                </a:xfrm>
                <a:prstGeom prst="rtTriangle">
                  <a:avLst/>
                </a:prstGeom>
                <a:solidFill>
                  <a:schemeClr val="tx1"/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GB" sz="1100"/>
                </a:p>
              </xdr:txBody>
            </xdr:sp>
            <xdr:sp macro="" textlink="">
              <xdr:nvSpPr>
                <xdr:cNvPr id="26" name="Right Triangle 25">
                  <a:extLst>
                    <a:ext uri="{FF2B5EF4-FFF2-40B4-BE49-F238E27FC236}">
                      <a16:creationId xmlns:a16="http://schemas.microsoft.com/office/drawing/2014/main" id="{D2618D66-095D-0935-16A0-0F3900F91F68}"/>
                    </a:ext>
                  </a:extLst>
                </xdr:cNvPr>
                <xdr:cNvSpPr/>
              </xdr:nvSpPr>
              <xdr:spPr>
                <a:xfrm>
                  <a:off x="4162425" y="7096125"/>
                  <a:ext cx="238125" cy="123825"/>
                </a:xfrm>
                <a:prstGeom prst="rtTriangle">
                  <a:avLst/>
                </a:prstGeom>
                <a:solidFill>
                  <a:schemeClr val="tx1"/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GB" sz="1100"/>
                </a:p>
              </xdr:txBody>
            </xdr:sp>
          </xdr:grpSp>
          <xdr:sp macro="" textlink="">
            <xdr:nvSpPr>
              <xdr:cNvPr id="14" name="Rectangle 13">
                <a:extLst>
                  <a:ext uri="{FF2B5EF4-FFF2-40B4-BE49-F238E27FC236}">
                    <a16:creationId xmlns:a16="http://schemas.microsoft.com/office/drawing/2014/main" id="{AE088F05-C6BE-4DAD-AF50-A52F4ED57AAB}"/>
                  </a:ext>
                </a:extLst>
              </xdr:cNvPr>
              <xdr:cNvSpPr/>
            </xdr:nvSpPr>
            <xdr:spPr>
              <a:xfrm>
                <a:off x="2200274" y="5676898"/>
                <a:ext cx="360000" cy="57151"/>
              </a:xfrm>
              <a:prstGeom prst="rect">
                <a:avLst/>
              </a:prstGeom>
              <a:solidFill>
                <a:schemeClr val="tx1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15" name="Rectangle 14">
                <a:extLst>
                  <a:ext uri="{FF2B5EF4-FFF2-40B4-BE49-F238E27FC236}">
                    <a16:creationId xmlns:a16="http://schemas.microsoft.com/office/drawing/2014/main" id="{856F887D-68AC-BA65-810A-3BB76216E862}"/>
                  </a:ext>
                </a:extLst>
              </xdr:cNvPr>
              <xdr:cNvSpPr/>
            </xdr:nvSpPr>
            <xdr:spPr>
              <a:xfrm>
                <a:off x="2562222" y="5676900"/>
                <a:ext cx="343779" cy="64770"/>
              </a:xfrm>
              <a:prstGeom prst="rect">
                <a:avLst/>
              </a:prstGeom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cxnSp macro="">
            <xdr:nvCxnSpPr>
              <xdr:cNvPr id="16" name="Straight Connector 15">
                <a:extLst>
                  <a:ext uri="{FF2B5EF4-FFF2-40B4-BE49-F238E27FC236}">
                    <a16:creationId xmlns:a16="http://schemas.microsoft.com/office/drawing/2014/main" id="{27923373-3B51-5A87-26C3-EA0873A60607}"/>
                  </a:ext>
                </a:extLst>
              </xdr:cNvPr>
              <xdr:cNvCxnSpPr/>
            </xdr:nvCxnSpPr>
            <xdr:spPr>
              <a:xfrm flipV="1">
                <a:off x="5597921" y="6662122"/>
                <a:ext cx="1080000" cy="0"/>
              </a:xfrm>
              <a:prstGeom prst="line">
                <a:avLst/>
              </a:prstGeom>
              <a:ln w="19050">
                <a:solidFill>
                  <a:schemeClr val="bg1"/>
                </a:solidFill>
                <a:prstDash val="solid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7" name="Straight Connector 16">
                <a:extLst>
                  <a:ext uri="{FF2B5EF4-FFF2-40B4-BE49-F238E27FC236}">
                    <a16:creationId xmlns:a16="http://schemas.microsoft.com/office/drawing/2014/main" id="{D82EA9B8-E59D-29AE-E798-A05E59D544B4}"/>
                  </a:ext>
                </a:extLst>
              </xdr:cNvPr>
              <xdr:cNvCxnSpPr/>
            </xdr:nvCxnSpPr>
            <xdr:spPr>
              <a:xfrm flipV="1">
                <a:off x="5586464" y="6315508"/>
                <a:ext cx="1080000" cy="0"/>
              </a:xfrm>
              <a:prstGeom prst="line">
                <a:avLst/>
              </a:prstGeom>
              <a:ln w="19050">
                <a:solidFill>
                  <a:schemeClr val="bg1"/>
                </a:solidFill>
                <a:prstDash val="solid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11" name="Right Triangle 10">
              <a:extLst>
                <a:ext uri="{FF2B5EF4-FFF2-40B4-BE49-F238E27FC236}">
                  <a16:creationId xmlns:a16="http://schemas.microsoft.com/office/drawing/2014/main" id="{5296C334-DE5E-AF38-9EF9-689B53EDD302}"/>
                </a:ext>
              </a:extLst>
            </xdr:cNvPr>
            <xdr:cNvSpPr/>
          </xdr:nvSpPr>
          <xdr:spPr>
            <a:xfrm>
              <a:off x="3747308" y="2124075"/>
              <a:ext cx="161925" cy="133350"/>
            </a:xfrm>
            <a:prstGeom prst="rtTriangle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12" name="Right Triangle 11">
              <a:extLst>
                <a:ext uri="{FF2B5EF4-FFF2-40B4-BE49-F238E27FC236}">
                  <a16:creationId xmlns:a16="http://schemas.microsoft.com/office/drawing/2014/main" id="{DF4B9C80-E613-5F4F-7382-DCE652FDCC9B}"/>
                </a:ext>
              </a:extLst>
            </xdr:cNvPr>
            <xdr:cNvSpPr/>
          </xdr:nvSpPr>
          <xdr:spPr>
            <a:xfrm rot="16200000">
              <a:off x="1276352" y="2090738"/>
              <a:ext cx="166687" cy="166685"/>
            </a:xfrm>
            <a:prstGeom prst="rtTriangle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</xdr:grpSp>
      <xdr:sp macro="" textlink="">
        <xdr:nvSpPr>
          <xdr:cNvPr id="7" name="Right Triangle 6">
            <a:extLst>
              <a:ext uri="{FF2B5EF4-FFF2-40B4-BE49-F238E27FC236}">
                <a16:creationId xmlns:a16="http://schemas.microsoft.com/office/drawing/2014/main" id="{0EF0BD95-1AA7-ACE3-9C8B-818BC304B503}"/>
              </a:ext>
            </a:extLst>
          </xdr:cNvPr>
          <xdr:cNvSpPr/>
        </xdr:nvSpPr>
        <xdr:spPr>
          <a:xfrm rot="16200000">
            <a:off x="2160984" y="7054452"/>
            <a:ext cx="119062" cy="226219"/>
          </a:xfrm>
          <a:prstGeom prst="rtTriangl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8</xdr:col>
      <xdr:colOff>90715</xdr:colOff>
      <xdr:row>14</xdr:row>
      <xdr:rowOff>97518</xdr:rowOff>
    </xdr:from>
    <xdr:to>
      <xdr:col>8</xdr:col>
      <xdr:colOff>235857</xdr:colOff>
      <xdr:row>25</xdr:row>
      <xdr:rowOff>41955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97CCED73-665A-4FE3-8768-0EAA98F56745}"/>
            </a:ext>
          </a:extLst>
        </xdr:cNvPr>
        <xdr:cNvSpPr/>
      </xdr:nvSpPr>
      <xdr:spPr>
        <a:xfrm>
          <a:off x="2529115" y="2764518"/>
          <a:ext cx="145142" cy="2039937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54428</xdr:colOff>
      <xdr:row>33</xdr:row>
      <xdr:rowOff>54428</xdr:rowOff>
    </xdr:from>
    <xdr:to>
      <xdr:col>7</xdr:col>
      <xdr:colOff>136071</xdr:colOff>
      <xdr:row>33</xdr:row>
      <xdr:rowOff>100147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0EDD055-26BE-4F91-B3E9-5B06F283AF4D}"/>
            </a:ext>
          </a:extLst>
        </xdr:cNvPr>
        <xdr:cNvSpPr/>
      </xdr:nvSpPr>
      <xdr:spPr>
        <a:xfrm>
          <a:off x="1883228" y="6340928"/>
          <a:ext cx="81643" cy="45719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1061356</xdr:colOff>
      <xdr:row>8</xdr:row>
      <xdr:rowOff>7937</xdr:rowOff>
    </xdr:from>
    <xdr:to>
      <xdr:col>8</xdr:col>
      <xdr:colOff>557893</xdr:colOff>
      <xdr:row>38</xdr:row>
      <xdr:rowOff>7938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45F4B4D2-1362-B0B4-0267-7663F202BA24}"/>
            </a:ext>
          </a:extLst>
        </xdr:cNvPr>
        <xdr:cNvGrpSpPr/>
      </xdr:nvGrpSpPr>
      <xdr:grpSpPr>
        <a:xfrm>
          <a:off x="4097450" y="2508250"/>
          <a:ext cx="2139724" cy="5715001"/>
          <a:chOff x="1672597" y="1459366"/>
          <a:chExt cx="2256860" cy="5442858"/>
        </a:xfrm>
      </xdr:grpSpPr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FDE8C0CF-8EB5-190A-5AA1-73DE10AC8310}"/>
              </a:ext>
            </a:extLst>
          </xdr:cNvPr>
          <xdr:cNvSpPr/>
        </xdr:nvSpPr>
        <xdr:spPr>
          <a:xfrm>
            <a:off x="1672597" y="1459366"/>
            <a:ext cx="172500" cy="1340196"/>
          </a:xfrm>
          <a:prstGeom prst="rect">
            <a:avLst/>
          </a:prstGeom>
          <a:solidFill>
            <a:schemeClr val="bg2">
              <a:lumMod val="50000"/>
            </a:schemeClr>
          </a:solidFill>
          <a:ln>
            <a:solidFill>
              <a:schemeClr val="bg2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285A55CD-51E4-18B8-B324-05E22D2D6901}"/>
              </a:ext>
            </a:extLst>
          </xdr:cNvPr>
          <xdr:cNvSpPr/>
        </xdr:nvSpPr>
        <xdr:spPr>
          <a:xfrm>
            <a:off x="3700007" y="1483179"/>
            <a:ext cx="229450" cy="1329342"/>
          </a:xfrm>
          <a:prstGeom prst="rect">
            <a:avLst/>
          </a:prstGeom>
          <a:solidFill>
            <a:schemeClr val="bg2">
              <a:lumMod val="50000"/>
            </a:schemeClr>
          </a:solidFill>
          <a:ln>
            <a:solidFill>
              <a:schemeClr val="bg2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38BC6BB-2B41-670A-9AE8-22EC210A8CC6}"/>
              </a:ext>
            </a:extLst>
          </xdr:cNvPr>
          <xdr:cNvSpPr/>
        </xdr:nvSpPr>
        <xdr:spPr>
          <a:xfrm>
            <a:off x="1672598" y="2816679"/>
            <a:ext cx="197251" cy="449035"/>
          </a:xfrm>
          <a:prstGeom prst="rect">
            <a:avLst/>
          </a:prstGeom>
          <a:solidFill>
            <a:schemeClr val="bg2">
              <a:lumMod val="50000"/>
            </a:schemeClr>
          </a:solidFill>
          <a:ln>
            <a:solidFill>
              <a:schemeClr val="bg2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1BFB0C1-BA70-C66E-8634-B523132AA4B0}"/>
              </a:ext>
            </a:extLst>
          </xdr:cNvPr>
          <xdr:cNvSpPr/>
        </xdr:nvSpPr>
        <xdr:spPr>
          <a:xfrm>
            <a:off x="3685083" y="2824616"/>
            <a:ext cx="230641" cy="449036"/>
          </a:xfrm>
          <a:prstGeom prst="rect">
            <a:avLst/>
          </a:prstGeom>
          <a:solidFill>
            <a:schemeClr val="bg2">
              <a:lumMod val="50000"/>
            </a:schemeClr>
          </a:solidFill>
          <a:ln>
            <a:solidFill>
              <a:schemeClr val="bg2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9FACD82B-B0EA-A5CA-E3E6-54B204FDF6BC}"/>
              </a:ext>
            </a:extLst>
          </xdr:cNvPr>
          <xdr:cNvSpPr/>
        </xdr:nvSpPr>
        <xdr:spPr>
          <a:xfrm>
            <a:off x="1949223" y="2667000"/>
            <a:ext cx="116795" cy="1876651"/>
          </a:xfrm>
          <a:prstGeom prst="rect">
            <a:avLst/>
          </a:prstGeom>
          <a:solidFill>
            <a:schemeClr val="bg2">
              <a:lumMod val="50000"/>
            </a:schemeClr>
          </a:solidFill>
          <a:ln>
            <a:solidFill>
              <a:schemeClr val="bg2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0046342F-6E95-527E-2FBB-078B1A6CD2B9}"/>
              </a:ext>
            </a:extLst>
          </xdr:cNvPr>
          <xdr:cNvSpPr/>
        </xdr:nvSpPr>
        <xdr:spPr>
          <a:xfrm>
            <a:off x="2145393" y="3676196"/>
            <a:ext cx="222249" cy="3226028"/>
          </a:xfrm>
          <a:prstGeom prst="rect">
            <a:avLst/>
          </a:prstGeom>
          <a:solidFill>
            <a:schemeClr val="bg2">
              <a:lumMod val="50000"/>
            </a:schemeClr>
          </a:solidFill>
          <a:ln>
            <a:solidFill>
              <a:schemeClr val="bg2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1" name="Rectangle 40">
            <a:extLst>
              <a:ext uri="{FF2B5EF4-FFF2-40B4-BE49-F238E27FC236}">
                <a16:creationId xmlns:a16="http://schemas.microsoft.com/office/drawing/2014/main" id="{442EA8F2-25B3-03F8-6018-C4328B9FB0C4}"/>
              </a:ext>
            </a:extLst>
          </xdr:cNvPr>
          <xdr:cNvSpPr/>
        </xdr:nvSpPr>
        <xdr:spPr>
          <a:xfrm>
            <a:off x="3211285" y="3684132"/>
            <a:ext cx="187098" cy="3218091"/>
          </a:xfrm>
          <a:prstGeom prst="rect">
            <a:avLst/>
          </a:prstGeom>
          <a:solidFill>
            <a:schemeClr val="bg2">
              <a:lumMod val="50000"/>
            </a:schemeClr>
          </a:solidFill>
          <a:ln>
            <a:solidFill>
              <a:schemeClr val="bg2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6</xdr:col>
      <xdr:colOff>595313</xdr:colOff>
      <xdr:row>35</xdr:row>
      <xdr:rowOff>23811</xdr:rowOff>
    </xdr:from>
    <xdr:to>
      <xdr:col>6</xdr:col>
      <xdr:colOff>595313</xdr:colOff>
      <xdr:row>47</xdr:row>
      <xdr:rowOff>186936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2DB1A52B-8611-8DED-D71C-118DDB4F684A}"/>
            </a:ext>
          </a:extLst>
        </xdr:cNvPr>
        <xdr:cNvCxnSpPr/>
      </xdr:nvCxnSpPr>
      <xdr:spPr>
        <a:xfrm flipH="1">
          <a:off x="4941094" y="7667624"/>
          <a:ext cx="0" cy="2592000"/>
        </a:xfrm>
        <a:prstGeom prst="line">
          <a:avLst/>
        </a:prstGeom>
        <a:ln w="571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357187</xdr:colOff>
      <xdr:row>35</xdr:row>
      <xdr:rowOff>11906</xdr:rowOff>
    </xdr:from>
    <xdr:to>
      <xdr:col>7</xdr:col>
      <xdr:colOff>357187</xdr:colOff>
      <xdr:row>47</xdr:row>
      <xdr:rowOff>175031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9283E34F-E15F-F0F4-C375-0CA0134532D0}"/>
            </a:ext>
          </a:extLst>
        </xdr:cNvPr>
        <xdr:cNvCxnSpPr/>
      </xdr:nvCxnSpPr>
      <xdr:spPr>
        <a:xfrm flipH="1">
          <a:off x="5393531" y="7655719"/>
          <a:ext cx="0" cy="2592000"/>
        </a:xfrm>
        <a:prstGeom prst="line">
          <a:avLst/>
        </a:prstGeom>
        <a:ln w="571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488156</xdr:colOff>
      <xdr:row>35</xdr:row>
      <xdr:rowOff>23812</xdr:rowOff>
    </xdr:from>
    <xdr:to>
      <xdr:col>6</xdr:col>
      <xdr:colOff>583406</xdr:colOff>
      <xdr:row>35</xdr:row>
      <xdr:rowOff>107156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5DA9768A-D88C-13A4-62A3-BECFDD3C2220}"/>
            </a:ext>
          </a:extLst>
        </xdr:cNvPr>
        <xdr:cNvSpPr/>
      </xdr:nvSpPr>
      <xdr:spPr>
        <a:xfrm>
          <a:off x="4833937" y="7667625"/>
          <a:ext cx="95250" cy="83344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357187</xdr:colOff>
      <xdr:row>35</xdr:row>
      <xdr:rowOff>11905</xdr:rowOff>
    </xdr:from>
    <xdr:to>
      <xdr:col>7</xdr:col>
      <xdr:colOff>452437</xdr:colOff>
      <xdr:row>35</xdr:row>
      <xdr:rowOff>95249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58F1853-3110-5559-C746-B7CB0F781488}"/>
            </a:ext>
          </a:extLst>
        </xdr:cNvPr>
        <xdr:cNvSpPr/>
      </xdr:nvSpPr>
      <xdr:spPr>
        <a:xfrm>
          <a:off x="5393531" y="7655718"/>
          <a:ext cx="95250" cy="83344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0</xdr:colOff>
      <xdr:row>45</xdr:row>
      <xdr:rowOff>95250</xdr:rowOff>
    </xdr:from>
    <xdr:to>
      <xdr:col>8</xdr:col>
      <xdr:colOff>345281</xdr:colOff>
      <xdr:row>45</xdr:row>
      <xdr:rowOff>107156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EE6CE1FD-4B10-8CAD-3352-4A5CE7078B57}"/>
            </a:ext>
          </a:extLst>
        </xdr:cNvPr>
        <xdr:cNvCxnSpPr/>
      </xdr:nvCxnSpPr>
      <xdr:spPr>
        <a:xfrm>
          <a:off x="4345781" y="9786938"/>
          <a:ext cx="1678781" cy="11906"/>
        </a:xfrm>
        <a:prstGeom prst="line">
          <a:avLst/>
        </a:prstGeom>
        <a:ln w="3810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583407</xdr:colOff>
      <xdr:row>45</xdr:row>
      <xdr:rowOff>47625</xdr:rowOff>
    </xdr:from>
    <xdr:to>
      <xdr:col>9</xdr:col>
      <xdr:colOff>1178719</xdr:colOff>
      <xdr:row>45</xdr:row>
      <xdr:rowOff>59531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C941079A-4BB3-CB5F-22FB-FD6020CE677B}"/>
            </a:ext>
          </a:extLst>
        </xdr:cNvPr>
        <xdr:cNvCxnSpPr/>
      </xdr:nvCxnSpPr>
      <xdr:spPr>
        <a:xfrm>
          <a:off x="6262688" y="9739313"/>
          <a:ext cx="1678781" cy="11906"/>
        </a:xfrm>
        <a:prstGeom prst="line">
          <a:avLst/>
        </a:prstGeom>
        <a:ln w="3810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488156</xdr:colOff>
      <xdr:row>35</xdr:row>
      <xdr:rowOff>107156</xdr:rowOff>
    </xdr:from>
    <xdr:to>
      <xdr:col>6</xdr:col>
      <xdr:colOff>583406</xdr:colOff>
      <xdr:row>48</xdr:row>
      <xdr:rowOff>-1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1F73325E-5D2D-E825-C188-2E5F4CC369EE}"/>
            </a:ext>
          </a:extLst>
        </xdr:cNvPr>
        <xdr:cNvSpPr/>
      </xdr:nvSpPr>
      <xdr:spPr>
        <a:xfrm>
          <a:off x="4833937" y="7750969"/>
          <a:ext cx="95250" cy="2512218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381000</xdr:colOff>
      <xdr:row>35</xdr:row>
      <xdr:rowOff>95249</xdr:rowOff>
    </xdr:from>
    <xdr:to>
      <xdr:col>7</xdr:col>
      <xdr:colOff>426719</xdr:colOff>
      <xdr:row>47</xdr:row>
      <xdr:rowOff>178592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D38371DB-9058-C8C2-0168-EF4E9770E5FB}"/>
            </a:ext>
          </a:extLst>
        </xdr:cNvPr>
        <xdr:cNvSpPr/>
      </xdr:nvSpPr>
      <xdr:spPr>
        <a:xfrm>
          <a:off x="5417344" y="7739062"/>
          <a:ext cx="45719" cy="2512218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542925</xdr:colOff>
      <xdr:row>13</xdr:row>
      <xdr:rowOff>180975</xdr:rowOff>
    </xdr:from>
    <xdr:to>
      <xdr:col>5</xdr:col>
      <xdr:colOff>1038225</xdr:colOff>
      <xdr:row>15</xdr:row>
      <xdr:rowOff>180975</xdr:rowOff>
    </xdr:to>
    <xdr:sp macro="" textlink="">
      <xdr:nvSpPr>
        <xdr:cNvPr id="113" name="TextBox 29">
          <a:extLst>
            <a:ext uri="{FF2B5EF4-FFF2-40B4-BE49-F238E27FC236}">
              <a16:creationId xmlns:a16="http://schemas.microsoft.com/office/drawing/2014/main" id="{94AACD68-1DCE-4F44-8833-D8424EDD8D3E}"/>
            </a:ext>
            <a:ext uri="{147F2762-F138-4A5C-976F-8EAC2B608ADB}">
              <a16:predDERef xmlns:a16="http://schemas.microsoft.com/office/drawing/2014/main" pred="{851F4C78-633B-323D-68A6-3A063E7B6343}"/>
            </a:ext>
          </a:extLst>
        </xdr:cNvPr>
        <xdr:cNvSpPr txBox="1"/>
      </xdr:nvSpPr>
      <xdr:spPr>
        <a:xfrm>
          <a:off x="2371725" y="3638550"/>
          <a:ext cx="171450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INTERMEDIATE CASING</a:t>
          </a:r>
        </a:p>
        <a:p>
          <a:pPr marL="0" indent="0" algn="l"/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TOC @ 3050 FT</a:t>
          </a:r>
        </a:p>
      </xdr:txBody>
    </xdr:sp>
    <xdr:clientData/>
  </xdr:twoCellAnchor>
  <xdr:twoCellAnchor>
    <xdr:from>
      <xdr:col>8</xdr:col>
      <xdr:colOff>876300</xdr:colOff>
      <xdr:row>9</xdr:row>
      <xdr:rowOff>171450</xdr:rowOff>
    </xdr:from>
    <xdr:to>
      <xdr:col>9</xdr:col>
      <xdr:colOff>1285875</xdr:colOff>
      <xdr:row>11</xdr:row>
      <xdr:rowOff>171450</xdr:rowOff>
    </xdr:to>
    <xdr:sp macro="" textlink="">
      <xdr:nvSpPr>
        <xdr:cNvPr id="122" name="TextBox 32">
          <a:extLst>
            <a:ext uri="{FF2B5EF4-FFF2-40B4-BE49-F238E27FC236}">
              <a16:creationId xmlns:a16="http://schemas.microsoft.com/office/drawing/2014/main" id="{40B15717-4DA1-4450-AE47-A573C00C43CF}"/>
            </a:ext>
            <a:ext uri="{147F2762-F138-4A5C-976F-8EAC2B608ADB}">
              <a16:predDERef xmlns:a16="http://schemas.microsoft.com/office/drawing/2014/main" pred="{94AACD68-1DCE-4F44-8833-D8424EDD8D3E}"/>
            </a:ext>
          </a:extLst>
        </xdr:cNvPr>
        <xdr:cNvSpPr txBox="1"/>
      </xdr:nvSpPr>
      <xdr:spPr>
        <a:xfrm>
          <a:off x="6562725" y="2867025"/>
          <a:ext cx="1495425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CONDUCTOR @ 500FT</a:t>
          </a:r>
        </a:p>
      </xdr:txBody>
    </xdr:sp>
    <xdr:clientData/>
  </xdr:twoCellAnchor>
  <xdr:twoCellAnchor>
    <xdr:from>
      <xdr:col>4</xdr:col>
      <xdr:colOff>361950</xdr:colOff>
      <xdr:row>20</xdr:row>
      <xdr:rowOff>0</xdr:rowOff>
    </xdr:from>
    <xdr:to>
      <xdr:col>5</xdr:col>
      <xdr:colOff>1266825</xdr:colOff>
      <xdr:row>22</xdr:row>
      <xdr:rowOff>0</xdr:rowOff>
    </xdr:to>
    <xdr:sp macro="" textlink="">
      <xdr:nvSpPr>
        <xdr:cNvPr id="133" name="TextBox 41">
          <a:extLst>
            <a:ext uri="{FF2B5EF4-FFF2-40B4-BE49-F238E27FC236}">
              <a16:creationId xmlns:a16="http://schemas.microsoft.com/office/drawing/2014/main" id="{A4C88BE3-D66D-42F1-8E63-E2CE400315E6}"/>
            </a:ext>
            <a:ext uri="{147F2762-F138-4A5C-976F-8EAC2B608ADB}">
              <a16:predDERef xmlns:a16="http://schemas.microsoft.com/office/drawing/2014/main" pred="{40B15717-4DA1-4450-AE47-A573C00C43CF}"/>
            </a:ext>
          </a:extLst>
        </xdr:cNvPr>
        <xdr:cNvSpPr txBox="1"/>
      </xdr:nvSpPr>
      <xdr:spPr>
        <a:xfrm>
          <a:off x="2800350" y="4791075"/>
          <a:ext cx="1514475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PRODUCTION CASING</a:t>
          </a:r>
        </a:p>
        <a:p>
          <a:pPr marL="0" indent="0" algn="l"/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TOC @ 3600 FT</a:t>
          </a:r>
        </a:p>
      </xdr:txBody>
    </xdr:sp>
    <xdr:clientData/>
  </xdr:twoCellAnchor>
  <xdr:twoCellAnchor>
    <xdr:from>
      <xdr:col>8</xdr:col>
      <xdr:colOff>95250</xdr:colOff>
      <xdr:row>36</xdr:row>
      <xdr:rowOff>161925</xdr:rowOff>
    </xdr:from>
    <xdr:to>
      <xdr:col>10</xdr:col>
      <xdr:colOff>133350</xdr:colOff>
      <xdr:row>38</xdr:row>
      <xdr:rowOff>38100</xdr:rowOff>
    </xdr:to>
    <xdr:sp macro="" textlink="">
      <xdr:nvSpPr>
        <xdr:cNvPr id="99" name="TextBox 46">
          <a:extLst>
            <a:ext uri="{FF2B5EF4-FFF2-40B4-BE49-F238E27FC236}">
              <a16:creationId xmlns:a16="http://schemas.microsoft.com/office/drawing/2014/main" id="{3FE49A07-5B3C-41E4-BDA1-BA6E8B544E61}"/>
            </a:ext>
            <a:ext uri="{147F2762-F138-4A5C-976F-8EAC2B608ADB}">
              <a16:predDERef xmlns:a16="http://schemas.microsoft.com/office/drawing/2014/main" pred="{A4C88BE3-D66D-42F1-8E63-E2CE400315E6}"/>
            </a:ext>
          </a:extLst>
        </xdr:cNvPr>
        <xdr:cNvSpPr txBox="1"/>
      </xdr:nvSpPr>
      <xdr:spPr>
        <a:xfrm>
          <a:off x="5781675" y="8001000"/>
          <a:ext cx="268605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100" b="1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PRODUCTION</a:t>
          </a:r>
          <a:r>
            <a:rPr lang="en-US" sz="1100" b="1">
              <a:solidFill>
                <a:schemeClr val="dk1"/>
              </a:solidFill>
              <a:latin typeface="+mn-lt"/>
              <a:ea typeface="+mn-lt"/>
              <a:cs typeface="+mn-lt"/>
            </a:rPr>
            <a:t> CASING </a:t>
          </a:r>
          <a:r>
            <a:rPr lang="en-US" sz="1100" b="1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SHOE 9 5</a:t>
          </a:r>
          <a:r>
            <a:rPr lang="en-US" sz="1100" b="1">
              <a:solidFill>
                <a:schemeClr val="dk1"/>
              </a:solidFill>
              <a:latin typeface="+mn-lt"/>
              <a:ea typeface="+mn-lt"/>
              <a:cs typeface="+mn-lt"/>
            </a:rPr>
            <a:t>/8 @</a:t>
          </a:r>
          <a:r>
            <a:rPr lang="en-US" sz="1100" b="1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77</a:t>
          </a:r>
          <a:r>
            <a:rPr lang="en-US" sz="1100" b="1">
              <a:solidFill>
                <a:schemeClr val="dk1"/>
              </a:solidFill>
              <a:latin typeface="+mn-lt"/>
              <a:ea typeface="+mn-lt"/>
              <a:cs typeface="+mn-lt"/>
            </a:rPr>
            <a:t>00FT</a:t>
          </a:r>
        </a:p>
      </xdr:txBody>
    </xdr:sp>
    <xdr:clientData/>
  </xdr:twoCellAnchor>
  <xdr:twoCellAnchor>
    <xdr:from>
      <xdr:col>4</xdr:col>
      <xdr:colOff>547687</xdr:colOff>
      <xdr:row>35</xdr:row>
      <xdr:rowOff>76199</xdr:rowOff>
    </xdr:from>
    <xdr:to>
      <xdr:col>6</xdr:col>
      <xdr:colOff>171450</xdr:colOff>
      <xdr:row>36</xdr:row>
      <xdr:rowOff>130968</xdr:rowOff>
    </xdr:to>
    <xdr:sp macro="" textlink="">
      <xdr:nvSpPr>
        <xdr:cNvPr id="136" name="TextBox 51">
          <a:extLst>
            <a:ext uri="{FF2B5EF4-FFF2-40B4-BE49-F238E27FC236}">
              <a16:creationId xmlns:a16="http://schemas.microsoft.com/office/drawing/2014/main" id="{019408B6-A97E-459A-892A-6D9D6783C245}"/>
            </a:ext>
            <a:ext uri="{147F2762-F138-4A5C-976F-8EAC2B608ADB}">
              <a16:predDERef xmlns:a16="http://schemas.microsoft.com/office/drawing/2014/main" pred="{3FE49A07-5B3C-41E4-BDA1-BA6E8B544E61}"/>
            </a:ext>
          </a:extLst>
        </xdr:cNvPr>
        <xdr:cNvSpPr txBox="1"/>
      </xdr:nvSpPr>
      <xdr:spPr>
        <a:xfrm>
          <a:off x="2976562" y="7720012"/>
          <a:ext cx="1540669" cy="2452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100" b="1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LINER TOC @ 7500 FT</a:t>
          </a:r>
        </a:p>
      </xdr:txBody>
    </xdr:sp>
    <xdr:clientData/>
  </xdr:twoCellAnchor>
  <xdr:twoCellAnchor>
    <xdr:from>
      <xdr:col>3</xdr:col>
      <xdr:colOff>323850</xdr:colOff>
      <xdr:row>8</xdr:row>
      <xdr:rowOff>38100</xdr:rowOff>
    </xdr:from>
    <xdr:to>
      <xdr:col>5</xdr:col>
      <xdr:colOff>981075</xdr:colOff>
      <xdr:row>10</xdr:row>
      <xdr:rowOff>38100</xdr:rowOff>
    </xdr:to>
    <xdr:sp macro="" textlink="">
      <xdr:nvSpPr>
        <xdr:cNvPr id="121" name="TextBox 52">
          <a:extLst>
            <a:ext uri="{FF2B5EF4-FFF2-40B4-BE49-F238E27FC236}">
              <a16:creationId xmlns:a16="http://schemas.microsoft.com/office/drawing/2014/main" id="{01CD5AA1-4600-4EEB-8EB7-6A52BA5FE91B}"/>
            </a:ext>
            <a:ext uri="{147F2762-F138-4A5C-976F-8EAC2B608ADB}">
              <a16:predDERef xmlns:a16="http://schemas.microsoft.com/office/drawing/2014/main" pred="{019408B6-A97E-459A-892A-6D9D6783C245}"/>
            </a:ext>
          </a:extLst>
        </xdr:cNvPr>
        <xdr:cNvSpPr txBox="1"/>
      </xdr:nvSpPr>
      <xdr:spPr>
        <a:xfrm>
          <a:off x="2152650" y="2543175"/>
          <a:ext cx="1876425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SURFACE CASING CEMENTED TO SURFACE. </a:t>
          </a:r>
        </a:p>
      </xdr:txBody>
    </xdr:sp>
    <xdr:clientData/>
  </xdr:twoCellAnchor>
  <xdr:twoCellAnchor>
    <xdr:from>
      <xdr:col>8</xdr:col>
      <xdr:colOff>561975</xdr:colOff>
      <xdr:row>16</xdr:row>
      <xdr:rowOff>9525</xdr:rowOff>
    </xdr:from>
    <xdr:to>
      <xdr:col>10</xdr:col>
      <xdr:colOff>600075</xdr:colOff>
      <xdr:row>18</xdr:row>
      <xdr:rowOff>24492</xdr:rowOff>
    </xdr:to>
    <xdr:sp macro="" textlink="">
      <xdr:nvSpPr>
        <xdr:cNvPr id="126" name="TextBox 54">
          <a:extLst>
            <a:ext uri="{FF2B5EF4-FFF2-40B4-BE49-F238E27FC236}">
              <a16:creationId xmlns:a16="http://schemas.microsoft.com/office/drawing/2014/main" id="{990E2430-3823-4CA3-9929-69C3BB6ED7AA}"/>
            </a:ext>
            <a:ext uri="{147F2762-F138-4A5C-976F-8EAC2B608ADB}">
              <a16:predDERef xmlns:a16="http://schemas.microsoft.com/office/drawing/2014/main" pred="{01CD5AA1-4600-4EEB-8EB7-6A52BA5FE91B}"/>
            </a:ext>
          </a:extLst>
        </xdr:cNvPr>
        <xdr:cNvSpPr txBox="1"/>
      </xdr:nvSpPr>
      <xdr:spPr>
        <a:xfrm>
          <a:off x="6248400" y="4038600"/>
          <a:ext cx="2686050" cy="3959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100" b="1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SURFACE C</a:t>
          </a:r>
          <a:r>
            <a:rPr lang="en-US" sz="1100" b="1">
              <a:solidFill>
                <a:schemeClr val="dk1"/>
              </a:solidFill>
              <a:latin typeface="+mn-lt"/>
              <a:ea typeface="+mn-lt"/>
              <a:cs typeface="+mn-lt"/>
            </a:rPr>
            <a:t>ASING </a:t>
          </a:r>
          <a:r>
            <a:rPr lang="en-US" sz="1100" b="1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SHOE  20"</a:t>
          </a:r>
          <a:r>
            <a:rPr lang="en-US" sz="1100" b="1">
              <a:solidFill>
                <a:schemeClr val="dk1"/>
              </a:solidFill>
              <a:latin typeface="+mn-lt"/>
              <a:ea typeface="+mn-lt"/>
              <a:cs typeface="+mn-lt"/>
            </a:rPr>
            <a:t> @</a:t>
          </a:r>
          <a:r>
            <a:rPr lang="en-US" sz="1100" b="1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3300FT</a:t>
          </a:r>
        </a:p>
      </xdr:txBody>
    </xdr:sp>
    <xdr:clientData/>
  </xdr:twoCellAnchor>
  <xdr:twoCellAnchor>
    <xdr:from>
      <xdr:col>7</xdr:col>
      <xdr:colOff>438150</xdr:colOff>
      <xdr:row>46</xdr:row>
      <xdr:rowOff>114300</xdr:rowOff>
    </xdr:from>
    <xdr:to>
      <xdr:col>9</xdr:col>
      <xdr:colOff>1400175</xdr:colOff>
      <xdr:row>47</xdr:row>
      <xdr:rowOff>180975</xdr:rowOff>
    </xdr:to>
    <xdr:sp macro="" textlink="">
      <xdr:nvSpPr>
        <xdr:cNvPr id="132" name="TextBox 55">
          <a:extLst>
            <a:ext uri="{FF2B5EF4-FFF2-40B4-BE49-F238E27FC236}">
              <a16:creationId xmlns:a16="http://schemas.microsoft.com/office/drawing/2014/main" id="{F60E8C59-ACDE-4B06-B90C-6FA36D921950}"/>
            </a:ext>
            <a:ext uri="{147F2762-F138-4A5C-976F-8EAC2B608ADB}">
              <a16:predDERef xmlns:a16="http://schemas.microsoft.com/office/drawing/2014/main" pred="{990E2430-3823-4CA3-9929-69C3BB6ED7AA}"/>
            </a:ext>
          </a:extLst>
        </xdr:cNvPr>
        <xdr:cNvSpPr txBox="1"/>
      </xdr:nvSpPr>
      <xdr:spPr>
        <a:xfrm>
          <a:off x="5486400" y="10001250"/>
          <a:ext cx="268605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100" b="1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PRODUCTION LINER 7 "</a:t>
          </a:r>
          <a:r>
            <a:rPr lang="en-US" sz="1100" b="1">
              <a:solidFill>
                <a:schemeClr val="dk1"/>
              </a:solidFill>
              <a:latin typeface="+mn-lt"/>
              <a:ea typeface="+mn-lt"/>
              <a:cs typeface="+mn-lt"/>
            </a:rPr>
            <a:t> @</a:t>
          </a:r>
          <a:r>
            <a:rPr lang="en-US" sz="1100" b="1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90</a:t>
          </a:r>
          <a:r>
            <a:rPr lang="en-US" sz="1100" b="1">
              <a:solidFill>
                <a:schemeClr val="dk1"/>
              </a:solidFill>
              <a:latin typeface="+mn-lt"/>
              <a:ea typeface="+mn-lt"/>
              <a:cs typeface="+mn-lt"/>
            </a:rPr>
            <a:t>00FT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508000</xdr:colOff>
      <xdr:row>19</xdr:row>
      <xdr:rowOff>21167</xdr:rowOff>
    </xdr:from>
    <xdr:to>
      <xdr:col>26</xdr:col>
      <xdr:colOff>526344</xdr:colOff>
      <xdr:row>28</xdr:row>
      <xdr:rowOff>47626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EA9A45D5-CC4F-424F-9854-693C90B469FC}"/>
            </a:ext>
          </a:extLst>
        </xdr:cNvPr>
        <xdr:cNvCxnSpPr/>
      </xdr:nvCxnSpPr>
      <xdr:spPr>
        <a:xfrm>
          <a:off x="4775200" y="2307167"/>
          <a:ext cx="18344" cy="1740959"/>
        </a:xfrm>
        <a:prstGeom prst="line">
          <a:avLst/>
        </a:prstGeom>
        <a:ln w="190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464261</xdr:colOff>
      <xdr:row>27</xdr:row>
      <xdr:rowOff>64794</xdr:rowOff>
    </xdr:from>
    <xdr:to>
      <xdr:col>26</xdr:col>
      <xdr:colOff>128896</xdr:colOff>
      <xdr:row>31</xdr:row>
      <xdr:rowOff>184954</xdr:rowOff>
    </xdr:to>
    <xdr:sp macro="" textlink="">
      <xdr:nvSpPr>
        <xdr:cNvPr id="3" name="Arc 2">
          <a:extLst>
            <a:ext uri="{FF2B5EF4-FFF2-40B4-BE49-F238E27FC236}">
              <a16:creationId xmlns:a16="http://schemas.microsoft.com/office/drawing/2014/main" id="{AD5CB05F-E7C4-4CDC-8D66-6CE222342528}"/>
            </a:ext>
          </a:extLst>
        </xdr:cNvPr>
        <xdr:cNvSpPr/>
      </xdr:nvSpPr>
      <xdr:spPr>
        <a:xfrm rot="11498313">
          <a:off x="4731461" y="3874794"/>
          <a:ext cx="883835" cy="882160"/>
        </a:xfrm>
        <a:custGeom>
          <a:avLst/>
          <a:gdLst>
            <a:gd name="connsiteX0" fmla="*/ 516711 w 914400"/>
            <a:gd name="connsiteY0" fmla="*/ 3890 h 914400"/>
            <a:gd name="connsiteX1" fmla="*/ 821053 w 914400"/>
            <a:gd name="connsiteY1" fmla="*/ 180356 h 914400"/>
            <a:gd name="connsiteX2" fmla="*/ 457200 w 914400"/>
            <a:gd name="connsiteY2" fmla="*/ 457200 h 914400"/>
            <a:gd name="connsiteX3" fmla="*/ 516711 w 914400"/>
            <a:gd name="connsiteY3" fmla="*/ 3890 h 914400"/>
            <a:gd name="connsiteX0" fmla="*/ 516711 w 914400"/>
            <a:gd name="connsiteY0" fmla="*/ 3890 h 914400"/>
            <a:gd name="connsiteX1" fmla="*/ 821053 w 914400"/>
            <a:gd name="connsiteY1" fmla="*/ 180356 h 914400"/>
            <a:gd name="connsiteX0" fmla="*/ 240943 w 545285"/>
            <a:gd name="connsiteY0" fmla="*/ 319920 h 773230"/>
            <a:gd name="connsiteX1" fmla="*/ 545285 w 545285"/>
            <a:gd name="connsiteY1" fmla="*/ 496386 h 773230"/>
            <a:gd name="connsiteX2" fmla="*/ 181432 w 545285"/>
            <a:gd name="connsiteY2" fmla="*/ 773230 h 773230"/>
            <a:gd name="connsiteX3" fmla="*/ 240943 w 545285"/>
            <a:gd name="connsiteY3" fmla="*/ 319920 h 773230"/>
            <a:gd name="connsiteX0" fmla="*/ 0 w 545285"/>
            <a:gd name="connsiteY0" fmla="*/ 0 h 773230"/>
            <a:gd name="connsiteX1" fmla="*/ 545285 w 545285"/>
            <a:gd name="connsiteY1" fmla="*/ 496386 h 773230"/>
            <a:gd name="connsiteX0" fmla="*/ 0 w 680016"/>
            <a:gd name="connsiteY0" fmla="*/ 0 h 813555"/>
            <a:gd name="connsiteX1" fmla="*/ 680016 w 680016"/>
            <a:gd name="connsiteY1" fmla="*/ 536711 h 813555"/>
            <a:gd name="connsiteX2" fmla="*/ 316163 w 680016"/>
            <a:gd name="connsiteY2" fmla="*/ 813555 h 813555"/>
            <a:gd name="connsiteX3" fmla="*/ 0 w 680016"/>
            <a:gd name="connsiteY3" fmla="*/ 0 h 813555"/>
            <a:gd name="connsiteX0" fmla="*/ 134731 w 680016"/>
            <a:gd name="connsiteY0" fmla="*/ 40325 h 813555"/>
            <a:gd name="connsiteX1" fmla="*/ 680016 w 680016"/>
            <a:gd name="connsiteY1" fmla="*/ 536711 h 813555"/>
            <a:gd name="connsiteX0" fmla="*/ 0 w 636934"/>
            <a:gd name="connsiteY0" fmla="*/ 0 h 793254"/>
            <a:gd name="connsiteX1" fmla="*/ 636934 w 636934"/>
            <a:gd name="connsiteY1" fmla="*/ 516410 h 793254"/>
            <a:gd name="connsiteX2" fmla="*/ 273081 w 636934"/>
            <a:gd name="connsiteY2" fmla="*/ 793254 h 793254"/>
            <a:gd name="connsiteX3" fmla="*/ 0 w 636934"/>
            <a:gd name="connsiteY3" fmla="*/ 0 h 793254"/>
            <a:gd name="connsiteX0" fmla="*/ 91649 w 636934"/>
            <a:gd name="connsiteY0" fmla="*/ 20024 h 793254"/>
            <a:gd name="connsiteX1" fmla="*/ 636934 w 636934"/>
            <a:gd name="connsiteY1" fmla="*/ 516410 h 793254"/>
            <a:gd name="connsiteX0" fmla="*/ 1008050 w 1644984"/>
            <a:gd name="connsiteY0" fmla="*/ 0 h 852907"/>
            <a:gd name="connsiteX1" fmla="*/ 1644984 w 1644984"/>
            <a:gd name="connsiteY1" fmla="*/ 516410 h 852907"/>
            <a:gd name="connsiteX2" fmla="*/ 0 w 1644984"/>
            <a:gd name="connsiteY2" fmla="*/ 852907 h 852907"/>
            <a:gd name="connsiteX3" fmla="*/ 1008050 w 1644984"/>
            <a:gd name="connsiteY3" fmla="*/ 0 h 852907"/>
            <a:gd name="connsiteX0" fmla="*/ 1099699 w 1644984"/>
            <a:gd name="connsiteY0" fmla="*/ 20024 h 852907"/>
            <a:gd name="connsiteX1" fmla="*/ 1644984 w 1644984"/>
            <a:gd name="connsiteY1" fmla="*/ 516410 h 85290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644984" h="852907" stroke="0" extrusionOk="0">
              <a:moveTo>
                <a:pt x="1008050" y="0"/>
              </a:moveTo>
              <a:cubicBezTo>
                <a:pt x="1128974" y="15875"/>
                <a:pt x="1571134" y="419350"/>
                <a:pt x="1644984" y="516410"/>
              </a:cubicBezTo>
              <a:lnTo>
                <a:pt x="0" y="852907"/>
              </a:lnTo>
              <a:lnTo>
                <a:pt x="1008050" y="0"/>
              </a:lnTo>
              <a:close/>
            </a:path>
            <a:path w="1644984" h="852907" fill="none">
              <a:moveTo>
                <a:pt x="1099699" y="20024"/>
              </a:moveTo>
              <a:cubicBezTo>
                <a:pt x="1220623" y="35899"/>
                <a:pt x="1571134" y="419350"/>
                <a:pt x="1644984" y="516410"/>
              </a:cubicBezTo>
            </a:path>
          </a:pathLst>
        </a:custGeom>
        <a:ln w="190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en-GB" sz="1100"/>
        </a:p>
      </xdr:txBody>
    </xdr:sp>
    <xdr:clientData/>
  </xdr:twoCellAnchor>
  <xdr:twoCellAnchor>
    <xdr:from>
      <xdr:col>27</xdr:col>
      <xdr:colOff>354126</xdr:colOff>
      <xdr:row>31</xdr:row>
      <xdr:rowOff>73926</xdr:rowOff>
    </xdr:from>
    <xdr:to>
      <xdr:col>32</xdr:col>
      <xdr:colOff>120650</xdr:colOff>
      <xdr:row>37</xdr:row>
      <xdr:rowOff>31750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0621E9E-AA93-47BE-947E-E0B7FB45E6AF}"/>
            </a:ext>
          </a:extLst>
        </xdr:cNvPr>
        <xdr:cNvCxnSpPr/>
      </xdr:nvCxnSpPr>
      <xdr:spPr>
        <a:xfrm>
          <a:off x="5230926" y="4645926"/>
          <a:ext cx="2814524" cy="11008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546100</xdr:colOff>
      <xdr:row>22</xdr:row>
      <xdr:rowOff>19050</xdr:rowOff>
    </xdr:from>
    <xdr:to>
      <xdr:col>30</xdr:col>
      <xdr:colOff>164500</xdr:colOff>
      <xdr:row>22</xdr:row>
      <xdr:rowOff>19050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1C7EF467-1EAE-4882-BED4-21A0C1F35805}"/>
            </a:ext>
          </a:extLst>
        </xdr:cNvPr>
        <xdr:cNvCxnSpPr/>
      </xdr:nvCxnSpPr>
      <xdr:spPr>
        <a:xfrm flipV="1">
          <a:off x="4813300" y="2876550"/>
          <a:ext cx="3276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530751</xdr:colOff>
      <xdr:row>28</xdr:row>
      <xdr:rowOff>16773</xdr:rowOff>
    </xdr:from>
    <xdr:to>
      <xdr:col>30</xdr:col>
      <xdr:colOff>142875</xdr:colOff>
      <xdr:row>28</xdr:row>
      <xdr:rowOff>16773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BE67E05D-3826-42CB-AD4D-24DF5AD6B620}"/>
            </a:ext>
          </a:extLst>
        </xdr:cNvPr>
        <xdr:cNvCxnSpPr/>
      </xdr:nvCxnSpPr>
      <xdr:spPr>
        <a:xfrm>
          <a:off x="4797951" y="4017273"/>
          <a:ext cx="3269724" cy="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133350</xdr:colOff>
      <xdr:row>28</xdr:row>
      <xdr:rowOff>28575</xdr:rowOff>
    </xdr:from>
    <xdr:to>
      <xdr:col>32</xdr:col>
      <xdr:colOff>133350</xdr:colOff>
      <xdr:row>37</xdr:row>
      <xdr:rowOff>63225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E011D29D-814E-470F-95E7-54AA643C7795}"/>
            </a:ext>
          </a:extLst>
        </xdr:cNvPr>
        <xdr:cNvCxnSpPr/>
      </xdr:nvCxnSpPr>
      <xdr:spPr>
        <a:xfrm>
          <a:off x="8058150" y="4029075"/>
          <a:ext cx="0" cy="174915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342900</xdr:colOff>
      <xdr:row>28</xdr:row>
      <xdr:rowOff>66675</xdr:rowOff>
    </xdr:from>
    <xdr:to>
      <xdr:col>28</xdr:col>
      <xdr:colOff>390525</xdr:colOff>
      <xdr:row>31</xdr:row>
      <xdr:rowOff>85725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5E860A88-03BB-42C3-BDAC-55B1DB430714}"/>
            </a:ext>
          </a:extLst>
        </xdr:cNvPr>
        <xdr:cNvCxnSpPr/>
      </xdr:nvCxnSpPr>
      <xdr:spPr>
        <a:xfrm flipV="1">
          <a:off x="5219700" y="4067175"/>
          <a:ext cx="1876425" cy="590550"/>
        </a:xfrm>
        <a:prstGeom prst="line">
          <a:avLst/>
        </a:prstGeom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390525</xdr:colOff>
      <xdr:row>28</xdr:row>
      <xdr:rowOff>66675</xdr:rowOff>
    </xdr:from>
    <xdr:to>
      <xdr:col>32</xdr:col>
      <xdr:colOff>142875</xdr:colOff>
      <xdr:row>37</xdr:row>
      <xdr:rowOff>47625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8DBD54D8-498B-466E-8B51-E5416676233B}"/>
            </a:ext>
          </a:extLst>
        </xdr:cNvPr>
        <xdr:cNvCxnSpPr/>
      </xdr:nvCxnSpPr>
      <xdr:spPr>
        <a:xfrm>
          <a:off x="7096125" y="4067175"/>
          <a:ext cx="971550" cy="1695450"/>
        </a:xfrm>
        <a:prstGeom prst="line">
          <a:avLst/>
        </a:prstGeom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656164</xdr:colOff>
      <xdr:row>35</xdr:row>
      <xdr:rowOff>0</xdr:rowOff>
    </xdr:from>
    <xdr:to>
      <xdr:col>31</xdr:col>
      <xdr:colOff>1820332</xdr:colOff>
      <xdr:row>37</xdr:row>
      <xdr:rowOff>43815</xdr:rowOff>
    </xdr:to>
    <xdr:sp macro="" textlink="">
      <xdr:nvSpPr>
        <xdr:cNvPr id="10" name="Arc 10">
          <a:extLst>
            <a:ext uri="{FF2B5EF4-FFF2-40B4-BE49-F238E27FC236}">
              <a16:creationId xmlns:a16="http://schemas.microsoft.com/office/drawing/2014/main" id="{333E3A10-C6FC-48CA-9297-908E7240717B}"/>
            </a:ext>
          </a:extLst>
        </xdr:cNvPr>
        <xdr:cNvSpPr/>
      </xdr:nvSpPr>
      <xdr:spPr>
        <a:xfrm flipH="1">
          <a:off x="7923739" y="5334000"/>
          <a:ext cx="2118" cy="424815"/>
        </a:xfrm>
        <a:custGeom>
          <a:avLst/>
          <a:gdLst>
            <a:gd name="connsiteX0" fmla="*/ 174284 w 361950"/>
            <a:gd name="connsiteY0" fmla="*/ 185 h 541019"/>
            <a:gd name="connsiteX1" fmla="*/ 334290 w 361950"/>
            <a:gd name="connsiteY1" fmla="*/ 126778 h 541019"/>
            <a:gd name="connsiteX2" fmla="*/ 180975 w 361950"/>
            <a:gd name="connsiteY2" fmla="*/ 270510 h 541019"/>
            <a:gd name="connsiteX3" fmla="*/ 174284 w 361950"/>
            <a:gd name="connsiteY3" fmla="*/ 185 h 541019"/>
            <a:gd name="connsiteX0" fmla="*/ 174284 w 361950"/>
            <a:gd name="connsiteY0" fmla="*/ 185 h 541019"/>
            <a:gd name="connsiteX1" fmla="*/ 334290 w 361950"/>
            <a:gd name="connsiteY1" fmla="*/ 126778 h 541019"/>
            <a:gd name="connsiteX0" fmla="*/ 364794 w 524800"/>
            <a:gd name="connsiteY0" fmla="*/ 185 h 346710"/>
            <a:gd name="connsiteX1" fmla="*/ 524800 w 524800"/>
            <a:gd name="connsiteY1" fmla="*/ 126778 h 346710"/>
            <a:gd name="connsiteX2" fmla="*/ 10 w 524800"/>
            <a:gd name="connsiteY2" fmla="*/ 346710 h 346710"/>
            <a:gd name="connsiteX3" fmla="*/ 364794 w 524800"/>
            <a:gd name="connsiteY3" fmla="*/ 185 h 346710"/>
            <a:gd name="connsiteX0" fmla="*/ 364794 w 524800"/>
            <a:gd name="connsiteY0" fmla="*/ 185 h 346710"/>
            <a:gd name="connsiteX1" fmla="*/ 524800 w 524800"/>
            <a:gd name="connsiteY1" fmla="*/ 126778 h 346710"/>
            <a:gd name="connsiteX0" fmla="*/ 364794 w 524800"/>
            <a:gd name="connsiteY0" fmla="*/ 104836 h 451361"/>
            <a:gd name="connsiteX1" fmla="*/ 524800 w 524800"/>
            <a:gd name="connsiteY1" fmla="*/ 231429 h 451361"/>
            <a:gd name="connsiteX2" fmla="*/ 10 w 524800"/>
            <a:gd name="connsiteY2" fmla="*/ 451361 h 451361"/>
            <a:gd name="connsiteX3" fmla="*/ 364794 w 524800"/>
            <a:gd name="connsiteY3" fmla="*/ 104836 h 451361"/>
            <a:gd name="connsiteX0" fmla="*/ 155244 w 524800"/>
            <a:gd name="connsiteY0" fmla="*/ 61 h 451361"/>
            <a:gd name="connsiteX1" fmla="*/ 524800 w 524800"/>
            <a:gd name="connsiteY1" fmla="*/ 231429 h 451361"/>
            <a:gd name="connsiteX0" fmla="*/ 364794 w 524800"/>
            <a:gd name="connsiteY0" fmla="*/ 85796 h 432321"/>
            <a:gd name="connsiteX1" fmla="*/ 524800 w 524800"/>
            <a:gd name="connsiteY1" fmla="*/ 212389 h 432321"/>
            <a:gd name="connsiteX2" fmla="*/ 10 w 524800"/>
            <a:gd name="connsiteY2" fmla="*/ 432321 h 432321"/>
            <a:gd name="connsiteX3" fmla="*/ 364794 w 524800"/>
            <a:gd name="connsiteY3" fmla="*/ 85796 h 432321"/>
            <a:gd name="connsiteX0" fmla="*/ 193344 w 524800"/>
            <a:gd name="connsiteY0" fmla="*/ 71 h 432321"/>
            <a:gd name="connsiteX1" fmla="*/ 524800 w 524800"/>
            <a:gd name="connsiteY1" fmla="*/ 212389 h 43232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524800" h="432321" stroke="0" extrusionOk="0">
              <a:moveTo>
                <a:pt x="364794" y="85796"/>
              </a:moveTo>
              <a:cubicBezTo>
                <a:pt x="429432" y="82221"/>
                <a:pt x="490432" y="130483"/>
                <a:pt x="524800" y="212389"/>
              </a:cubicBezTo>
              <a:lnTo>
                <a:pt x="10" y="432321"/>
              </a:lnTo>
              <a:cubicBezTo>
                <a:pt x="-2220" y="342213"/>
                <a:pt x="367024" y="175904"/>
                <a:pt x="364794" y="85796"/>
              </a:cubicBezTo>
              <a:close/>
            </a:path>
            <a:path w="524800" h="432321" fill="none">
              <a:moveTo>
                <a:pt x="193344" y="71"/>
              </a:moveTo>
              <a:cubicBezTo>
                <a:pt x="257982" y="-3504"/>
                <a:pt x="490432" y="130483"/>
                <a:pt x="524800" y="212389"/>
              </a:cubicBezTo>
            </a:path>
          </a:pathLst>
        </a:cu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en-GB" sz="1100"/>
        </a:p>
      </xdr:txBody>
    </xdr:sp>
    <xdr:clientData/>
  </xdr:twoCellAnchor>
  <xdr:twoCellAnchor>
    <xdr:from>
      <xdr:col>31</xdr:col>
      <xdr:colOff>180975</xdr:colOff>
      <xdr:row>34</xdr:row>
      <xdr:rowOff>142875</xdr:rowOff>
    </xdr:from>
    <xdr:to>
      <xdr:col>32</xdr:col>
      <xdr:colOff>485775</xdr:colOff>
      <xdr:row>39</xdr:row>
      <xdr:rowOff>104775</xdr:rowOff>
    </xdr:to>
    <xdr:sp macro="" textlink="">
      <xdr:nvSpPr>
        <xdr:cNvPr id="11" name="Arc 10">
          <a:extLst>
            <a:ext uri="{FF2B5EF4-FFF2-40B4-BE49-F238E27FC236}">
              <a16:creationId xmlns:a16="http://schemas.microsoft.com/office/drawing/2014/main" id="{08C6C146-2B65-4563-9086-6DD226F0B925}"/>
            </a:ext>
          </a:extLst>
        </xdr:cNvPr>
        <xdr:cNvSpPr/>
      </xdr:nvSpPr>
      <xdr:spPr>
        <a:xfrm>
          <a:off x="7496175" y="5286375"/>
          <a:ext cx="914400" cy="914400"/>
        </a:xfrm>
        <a:prstGeom prst="arc">
          <a:avLst>
            <a:gd name="adj1" fmla="val 16927134"/>
            <a:gd name="adj2" fmla="val 20057501"/>
          </a:avLst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en-GB" sz="1100"/>
        </a:p>
      </xdr:txBody>
    </xdr:sp>
    <xdr:clientData/>
  </xdr:twoCellAnchor>
  <xdr:twoCellAnchor>
    <xdr:from>
      <xdr:col>24</xdr:col>
      <xdr:colOff>581025</xdr:colOff>
      <xdr:row>27</xdr:row>
      <xdr:rowOff>76200</xdr:rowOff>
    </xdr:from>
    <xdr:to>
      <xdr:col>25</xdr:col>
      <xdr:colOff>314325</xdr:colOff>
      <xdr:row>27</xdr:row>
      <xdr:rowOff>85725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B904503C-6837-4E45-9CC9-C51639E7AA2F}"/>
            </a:ext>
          </a:extLst>
        </xdr:cNvPr>
        <xdr:cNvCxnSpPr/>
      </xdr:nvCxnSpPr>
      <xdr:spPr>
        <a:xfrm>
          <a:off x="4848225" y="3886200"/>
          <a:ext cx="34290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530225</xdr:colOff>
      <xdr:row>27</xdr:row>
      <xdr:rowOff>66675</xdr:rowOff>
    </xdr:from>
    <xdr:to>
      <xdr:col>28</xdr:col>
      <xdr:colOff>155576</xdr:colOff>
      <xdr:row>27</xdr:row>
      <xdr:rowOff>82550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DF835B73-05BF-4E5D-933C-F9F195585A6E}"/>
            </a:ext>
          </a:extLst>
        </xdr:cNvPr>
        <xdr:cNvCxnSpPr>
          <a:cxnSpLocks/>
          <a:stCxn id="22" idx="3"/>
          <a:endCxn id="26" idx="1"/>
        </xdr:cNvCxnSpPr>
      </xdr:nvCxnSpPr>
      <xdr:spPr>
        <a:xfrm>
          <a:off x="5407025" y="3876675"/>
          <a:ext cx="1454151" cy="1587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428625</xdr:colOff>
      <xdr:row>27</xdr:row>
      <xdr:rowOff>57150</xdr:rowOff>
    </xdr:from>
    <xdr:to>
      <xdr:col>29</xdr:col>
      <xdr:colOff>600075</xdr:colOff>
      <xdr:row>27</xdr:row>
      <xdr:rowOff>76200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CF69DB96-2401-463E-B296-544EDCAB3B8A}"/>
            </a:ext>
          </a:extLst>
        </xdr:cNvPr>
        <xdr:cNvCxnSpPr>
          <a:endCxn id="25" idx="1"/>
        </xdr:cNvCxnSpPr>
      </xdr:nvCxnSpPr>
      <xdr:spPr>
        <a:xfrm flipV="1">
          <a:off x="7134225" y="3867150"/>
          <a:ext cx="781050" cy="1905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</xdr:colOff>
      <xdr:row>24</xdr:row>
      <xdr:rowOff>180975</xdr:rowOff>
    </xdr:from>
    <xdr:to>
      <xdr:col>27</xdr:col>
      <xdr:colOff>304800</xdr:colOff>
      <xdr:row>25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591FC83-B3CD-4589-A99A-6DEC224DF9CA}"/>
            </a:ext>
          </a:extLst>
        </xdr:cNvPr>
        <xdr:cNvCxnSpPr/>
      </xdr:nvCxnSpPr>
      <xdr:spPr>
        <a:xfrm>
          <a:off x="4895850" y="3419475"/>
          <a:ext cx="1504950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133350</xdr:colOff>
      <xdr:row>20</xdr:row>
      <xdr:rowOff>95250</xdr:rowOff>
    </xdr:from>
    <xdr:to>
      <xdr:col>28</xdr:col>
      <xdr:colOff>409575</xdr:colOff>
      <xdr:row>21</xdr:row>
      <xdr:rowOff>171450</xdr:rowOff>
    </xdr:to>
    <xdr:sp macro="" textlink="">
      <xdr:nvSpPr>
        <xdr:cNvPr id="16" name="TextBox 16">
          <a:extLst>
            <a:ext uri="{FF2B5EF4-FFF2-40B4-BE49-F238E27FC236}">
              <a16:creationId xmlns:a16="http://schemas.microsoft.com/office/drawing/2014/main" id="{B6F3F6E3-0F56-46EC-BC47-91CEBFE41153}"/>
            </a:ext>
          </a:extLst>
        </xdr:cNvPr>
        <xdr:cNvSpPr txBox="1"/>
      </xdr:nvSpPr>
      <xdr:spPr>
        <a:xfrm>
          <a:off x="5619750" y="2571750"/>
          <a:ext cx="1495425" cy="26670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HD: 3200 FT</a:t>
          </a:r>
        </a:p>
      </xdr:txBody>
    </xdr:sp>
    <xdr:clientData/>
  </xdr:twoCellAnchor>
  <xdr:twoCellAnchor>
    <xdr:from>
      <xdr:col>25</xdr:col>
      <xdr:colOff>133350</xdr:colOff>
      <xdr:row>23</xdr:row>
      <xdr:rowOff>114300</xdr:rowOff>
    </xdr:from>
    <xdr:to>
      <xdr:col>27</xdr:col>
      <xdr:colOff>409575</xdr:colOff>
      <xdr:row>25</xdr:row>
      <xdr:rowOff>0</xdr:rowOff>
    </xdr:to>
    <xdr:sp macro="" textlink="">
      <xdr:nvSpPr>
        <xdr:cNvPr id="17" name="TextBox 17">
          <a:extLst>
            <a:ext uri="{FF2B5EF4-FFF2-40B4-BE49-F238E27FC236}">
              <a16:creationId xmlns:a16="http://schemas.microsoft.com/office/drawing/2014/main" id="{B0E8B12C-EC45-4F7B-BC1A-8E51847F1F81}"/>
            </a:ext>
          </a:extLst>
        </xdr:cNvPr>
        <xdr:cNvSpPr txBox="1"/>
      </xdr:nvSpPr>
      <xdr:spPr>
        <a:xfrm>
          <a:off x="5010150" y="3162300"/>
          <a:ext cx="149542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R: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2866.242</a:t>
          </a:r>
          <a:r>
            <a:rPr lang="en-GB" sz="1100"/>
            <a:t> FT</a:t>
          </a:r>
        </a:p>
      </xdr:txBody>
    </xdr:sp>
    <xdr:clientData/>
  </xdr:twoCellAnchor>
  <xdr:twoCellAnchor>
    <xdr:from>
      <xdr:col>25</xdr:col>
      <xdr:colOff>352425</xdr:colOff>
      <xdr:row>27</xdr:row>
      <xdr:rowOff>152400</xdr:rowOff>
    </xdr:from>
    <xdr:to>
      <xdr:col>25</xdr:col>
      <xdr:colOff>352425</xdr:colOff>
      <xdr:row>31</xdr:row>
      <xdr:rowOff>171450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296C8CD6-F933-4864-A130-FF0715A3A73B}"/>
            </a:ext>
          </a:extLst>
        </xdr:cNvPr>
        <xdr:cNvCxnSpPr/>
      </xdr:nvCxnSpPr>
      <xdr:spPr>
        <a:xfrm flipV="1">
          <a:off x="5229225" y="3962400"/>
          <a:ext cx="0" cy="78105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479425</xdr:colOff>
      <xdr:row>26</xdr:row>
      <xdr:rowOff>22225</xdr:rowOff>
    </xdr:from>
    <xdr:to>
      <xdr:col>25</xdr:col>
      <xdr:colOff>634999</xdr:colOff>
      <xdr:row>27</xdr:row>
      <xdr:rowOff>169334</xdr:rowOff>
    </xdr:to>
    <xdr:sp macro="" textlink="">
      <xdr:nvSpPr>
        <xdr:cNvPr id="19" name="TextBox 21">
          <a:extLst>
            <a:ext uri="{FF2B5EF4-FFF2-40B4-BE49-F238E27FC236}">
              <a16:creationId xmlns:a16="http://schemas.microsoft.com/office/drawing/2014/main" id="{BB6FB563-1A9C-4851-B9EF-AD2BA4DBDA16}"/>
            </a:ext>
          </a:extLst>
        </xdr:cNvPr>
        <xdr:cNvSpPr txBox="1"/>
      </xdr:nvSpPr>
      <xdr:spPr>
        <a:xfrm>
          <a:off x="4746625" y="3641725"/>
          <a:ext cx="736599" cy="33760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800"/>
            <a:t>  </a:t>
          </a:r>
          <a:r>
            <a:rPr lang="en-GB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834.0</a:t>
          </a:r>
          <a:r>
            <a:rPr lang="en-GB" sz="800"/>
            <a:t> FT</a:t>
          </a:r>
        </a:p>
      </xdr:txBody>
    </xdr:sp>
    <xdr:clientData/>
  </xdr:twoCellAnchor>
  <xdr:twoCellAnchor>
    <xdr:from>
      <xdr:col>24</xdr:col>
      <xdr:colOff>142875</xdr:colOff>
      <xdr:row>20</xdr:row>
      <xdr:rowOff>104775</xdr:rowOff>
    </xdr:from>
    <xdr:to>
      <xdr:col>24</xdr:col>
      <xdr:colOff>495300</xdr:colOff>
      <xdr:row>22</xdr:row>
      <xdr:rowOff>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B1090B7-D978-46A4-926D-81F569195718}"/>
            </a:ext>
          </a:extLst>
        </xdr:cNvPr>
        <xdr:cNvSpPr txBox="1"/>
      </xdr:nvSpPr>
      <xdr:spPr>
        <a:xfrm>
          <a:off x="4410075" y="2581275"/>
          <a:ext cx="352425" cy="27622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/>
            <a:t>A</a:t>
          </a:r>
        </a:p>
      </xdr:txBody>
    </xdr:sp>
    <xdr:clientData/>
  </xdr:twoCellAnchor>
  <xdr:twoCellAnchor>
    <xdr:from>
      <xdr:col>24</xdr:col>
      <xdr:colOff>311150</xdr:colOff>
      <xdr:row>26</xdr:row>
      <xdr:rowOff>168275</xdr:rowOff>
    </xdr:from>
    <xdr:to>
      <xdr:col>25</xdr:col>
      <xdr:colOff>73025</xdr:colOff>
      <xdr:row>28</xdr:row>
      <xdr:rowOff>53975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730718C-9B93-4C1E-9B82-28D8259C417F}"/>
            </a:ext>
          </a:extLst>
        </xdr:cNvPr>
        <xdr:cNvSpPr txBox="1"/>
      </xdr:nvSpPr>
      <xdr:spPr>
        <a:xfrm>
          <a:off x="4578350" y="3787775"/>
          <a:ext cx="371475" cy="26670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/>
            <a:t>B</a:t>
          </a:r>
        </a:p>
      </xdr:txBody>
    </xdr:sp>
    <xdr:clientData/>
  </xdr:twoCellAnchor>
  <xdr:twoCellAnchor>
    <xdr:from>
      <xdr:col>25</xdr:col>
      <xdr:colOff>254000</xdr:colOff>
      <xdr:row>26</xdr:row>
      <xdr:rowOff>114300</xdr:rowOff>
    </xdr:from>
    <xdr:to>
      <xdr:col>25</xdr:col>
      <xdr:colOff>530225</xdr:colOff>
      <xdr:row>28</xdr:row>
      <xdr:rowOff>19050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F91F023-3B98-4586-A883-71A587BF5925}"/>
            </a:ext>
          </a:extLst>
        </xdr:cNvPr>
        <xdr:cNvSpPr txBox="1"/>
      </xdr:nvSpPr>
      <xdr:spPr>
        <a:xfrm>
          <a:off x="5130800" y="3733800"/>
          <a:ext cx="276225" cy="28575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/>
            <a:t>E</a:t>
          </a:r>
        </a:p>
      </xdr:txBody>
    </xdr:sp>
    <xdr:clientData/>
  </xdr:twoCellAnchor>
  <xdr:twoCellAnchor>
    <xdr:from>
      <xdr:col>27</xdr:col>
      <xdr:colOff>127000</xdr:colOff>
      <xdr:row>31</xdr:row>
      <xdr:rowOff>25400</xdr:rowOff>
    </xdr:from>
    <xdr:to>
      <xdr:col>27</xdr:col>
      <xdr:colOff>498475</xdr:colOff>
      <xdr:row>32</xdr:row>
      <xdr:rowOff>101600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1B91E84-B5E6-4124-962E-2018BBD37F33}"/>
            </a:ext>
          </a:extLst>
        </xdr:cNvPr>
        <xdr:cNvSpPr txBox="1"/>
      </xdr:nvSpPr>
      <xdr:spPr>
        <a:xfrm>
          <a:off x="5003800" y="4597400"/>
          <a:ext cx="371475" cy="26670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/>
            <a:t>C</a:t>
          </a:r>
        </a:p>
      </xdr:txBody>
    </xdr:sp>
    <xdr:clientData/>
  </xdr:twoCellAnchor>
  <xdr:twoCellAnchor>
    <xdr:from>
      <xdr:col>32</xdr:col>
      <xdr:colOff>94545</xdr:colOff>
      <xdr:row>36</xdr:row>
      <xdr:rowOff>68439</xdr:rowOff>
    </xdr:from>
    <xdr:to>
      <xdr:col>32</xdr:col>
      <xdr:colOff>332670</xdr:colOff>
      <xdr:row>37</xdr:row>
      <xdr:rowOff>144639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EFF42C8-6D12-4D34-B569-D9F4951426B1}"/>
            </a:ext>
          </a:extLst>
        </xdr:cNvPr>
        <xdr:cNvSpPr txBox="1"/>
      </xdr:nvSpPr>
      <xdr:spPr>
        <a:xfrm>
          <a:off x="8019345" y="5592939"/>
          <a:ext cx="238125" cy="26670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/>
            <a:t>T</a:t>
          </a:r>
        </a:p>
      </xdr:txBody>
    </xdr:sp>
    <xdr:clientData/>
  </xdr:twoCellAnchor>
  <xdr:twoCellAnchor>
    <xdr:from>
      <xdr:col>29</xdr:col>
      <xdr:colOff>600075</xdr:colOff>
      <xdr:row>26</xdr:row>
      <xdr:rowOff>114300</xdr:rowOff>
    </xdr:from>
    <xdr:to>
      <xdr:col>30</xdr:col>
      <xdr:colOff>361950</xdr:colOff>
      <xdr:row>28</xdr:row>
      <xdr:rowOff>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4A65305-66AB-4F48-90B3-C3F578368738}"/>
            </a:ext>
          </a:extLst>
        </xdr:cNvPr>
        <xdr:cNvSpPr txBox="1"/>
      </xdr:nvSpPr>
      <xdr:spPr>
        <a:xfrm>
          <a:off x="7915275" y="3733800"/>
          <a:ext cx="371475" cy="26670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/>
            <a:t>P</a:t>
          </a:r>
        </a:p>
      </xdr:txBody>
    </xdr:sp>
    <xdr:clientData/>
  </xdr:twoCellAnchor>
  <xdr:twoCellAnchor>
    <xdr:from>
      <xdr:col>28</xdr:col>
      <xdr:colOff>155576</xdr:colOff>
      <xdr:row>26</xdr:row>
      <xdr:rowOff>139700</xdr:rowOff>
    </xdr:from>
    <xdr:to>
      <xdr:col>28</xdr:col>
      <xdr:colOff>422276</xdr:colOff>
      <xdr:row>28</xdr:row>
      <xdr:rowOff>25400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D3B83F4-947F-4FDF-8023-EAB960EFF7BA}"/>
            </a:ext>
          </a:extLst>
        </xdr:cNvPr>
        <xdr:cNvSpPr txBox="1"/>
      </xdr:nvSpPr>
      <xdr:spPr>
        <a:xfrm>
          <a:off x="6861176" y="3759200"/>
          <a:ext cx="266700" cy="26670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/>
            <a:t>O</a:t>
          </a:r>
        </a:p>
      </xdr:txBody>
    </xdr:sp>
    <xdr:clientData/>
  </xdr:twoCellAnchor>
  <xdr:twoCellAnchor>
    <xdr:from>
      <xdr:col>26</xdr:col>
      <xdr:colOff>336550</xdr:colOff>
      <xdr:row>25</xdr:row>
      <xdr:rowOff>168275</xdr:rowOff>
    </xdr:from>
    <xdr:to>
      <xdr:col>28</xdr:col>
      <xdr:colOff>107950</xdr:colOff>
      <xdr:row>27</xdr:row>
      <xdr:rowOff>60325</xdr:rowOff>
    </xdr:to>
    <xdr:sp macro="" textlink="">
      <xdr:nvSpPr>
        <xdr:cNvPr id="27" name="TextBox 29">
          <a:extLst>
            <a:ext uri="{FF2B5EF4-FFF2-40B4-BE49-F238E27FC236}">
              <a16:creationId xmlns:a16="http://schemas.microsoft.com/office/drawing/2014/main" id="{720C8A9E-4E6B-45C7-8E3B-E93B527F7984}"/>
            </a:ext>
          </a:extLst>
        </xdr:cNvPr>
        <xdr:cNvSpPr txBox="1"/>
      </xdr:nvSpPr>
      <xdr:spPr>
        <a:xfrm>
          <a:off x="5822950" y="3597275"/>
          <a:ext cx="990600" cy="27305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2032</a:t>
          </a:r>
          <a:r>
            <a:rPr lang="en-GB"/>
            <a:t>FT</a:t>
          </a:r>
          <a:endParaRPr lang="en-GB" sz="1600"/>
        </a:p>
      </xdr:txBody>
    </xdr:sp>
    <xdr:clientData/>
  </xdr:twoCellAnchor>
  <xdr:twoCellAnchor>
    <xdr:from>
      <xdr:col>28</xdr:col>
      <xdr:colOff>527050</xdr:colOff>
      <xdr:row>26</xdr:row>
      <xdr:rowOff>28575</xdr:rowOff>
    </xdr:from>
    <xdr:to>
      <xdr:col>30</xdr:col>
      <xdr:colOff>260350</xdr:colOff>
      <xdr:row>27</xdr:row>
      <xdr:rowOff>104775</xdr:rowOff>
    </xdr:to>
    <xdr:sp macro="" textlink="">
      <xdr:nvSpPr>
        <xdr:cNvPr id="28" name="TextBox 30">
          <a:extLst>
            <a:ext uri="{FF2B5EF4-FFF2-40B4-BE49-F238E27FC236}">
              <a16:creationId xmlns:a16="http://schemas.microsoft.com/office/drawing/2014/main" id="{EEE402A7-2F71-4FF2-A954-C6D2CAFBDE1D}"/>
            </a:ext>
          </a:extLst>
        </xdr:cNvPr>
        <xdr:cNvSpPr txBox="1"/>
      </xdr:nvSpPr>
      <xdr:spPr>
        <a:xfrm>
          <a:off x="7232650" y="3648075"/>
          <a:ext cx="9525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333FT</a:t>
          </a:r>
          <a:endParaRPr lang="en-GB" sz="1200"/>
        </a:p>
      </xdr:txBody>
    </xdr:sp>
    <xdr:clientData/>
  </xdr:twoCellAnchor>
  <xdr:twoCellAnchor>
    <xdr:from>
      <xdr:col>25</xdr:col>
      <xdr:colOff>1199596</xdr:colOff>
      <xdr:row>29</xdr:row>
      <xdr:rowOff>28365</xdr:rowOff>
    </xdr:from>
    <xdr:to>
      <xdr:col>28</xdr:col>
      <xdr:colOff>28150</xdr:colOff>
      <xdr:row>30</xdr:row>
      <xdr:rowOff>75091</xdr:rowOff>
    </xdr:to>
    <xdr:sp macro="" textlink="">
      <xdr:nvSpPr>
        <xdr:cNvPr id="29" name="TextBox 31">
          <a:extLst>
            <a:ext uri="{FF2B5EF4-FFF2-40B4-BE49-F238E27FC236}">
              <a16:creationId xmlns:a16="http://schemas.microsoft.com/office/drawing/2014/main" id="{2047CDE0-A85D-4585-AC89-97269D5DC510}"/>
            </a:ext>
          </a:extLst>
        </xdr:cNvPr>
        <xdr:cNvSpPr txBox="1"/>
      </xdr:nvSpPr>
      <xdr:spPr>
        <a:xfrm rot="20565068">
          <a:off x="5485846" y="4219365"/>
          <a:ext cx="1247904" cy="23722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R: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2866.242038</a:t>
          </a:r>
          <a:r>
            <a:rPr lang="en-GB"/>
            <a:t> </a:t>
          </a:r>
          <a:r>
            <a:rPr lang="en-GB" sz="1100"/>
            <a:t>FT</a:t>
          </a:r>
        </a:p>
      </xdr:txBody>
    </xdr:sp>
    <xdr:clientData/>
  </xdr:twoCellAnchor>
  <xdr:twoCellAnchor>
    <xdr:from>
      <xdr:col>24</xdr:col>
      <xdr:colOff>600075</xdr:colOff>
      <xdr:row>19</xdr:row>
      <xdr:rowOff>104775</xdr:rowOff>
    </xdr:from>
    <xdr:to>
      <xdr:col>25</xdr:col>
      <xdr:colOff>0</xdr:colOff>
      <xdr:row>36</xdr:row>
      <xdr:rowOff>66675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EA5ACDD8-1280-4BD3-A0BF-07EEEE283AE5}"/>
            </a:ext>
          </a:extLst>
        </xdr:cNvPr>
        <xdr:cNvCxnSpPr/>
      </xdr:nvCxnSpPr>
      <xdr:spPr>
        <a:xfrm flipH="1">
          <a:off x="3648075" y="2390775"/>
          <a:ext cx="9525" cy="32004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342900</xdr:colOff>
      <xdr:row>25</xdr:row>
      <xdr:rowOff>44450</xdr:rowOff>
    </xdr:from>
    <xdr:to>
      <xdr:col>23</xdr:col>
      <xdr:colOff>209550</xdr:colOff>
      <xdr:row>26</xdr:row>
      <xdr:rowOff>168276</xdr:rowOff>
    </xdr:to>
    <xdr:sp macro="" textlink="">
      <xdr:nvSpPr>
        <xdr:cNvPr id="31" name="TextBox 33">
          <a:extLst>
            <a:ext uri="{FF2B5EF4-FFF2-40B4-BE49-F238E27FC236}">
              <a16:creationId xmlns:a16="http://schemas.microsoft.com/office/drawing/2014/main" id="{4E522163-3C9B-4188-B1DA-7AC055D5D34F}"/>
            </a:ext>
          </a:extLst>
        </xdr:cNvPr>
        <xdr:cNvSpPr txBox="1"/>
      </xdr:nvSpPr>
      <xdr:spPr>
        <a:xfrm>
          <a:off x="2781300" y="3473450"/>
          <a:ext cx="1085850" cy="31432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TVD:</a:t>
          </a:r>
          <a:r>
            <a:rPr lang="en-GB" sz="1100" b="1" baseline="0"/>
            <a:t> 8600 ft</a:t>
          </a:r>
          <a:endParaRPr lang="en-GB" sz="1100" b="1"/>
        </a:p>
      </xdr:txBody>
    </xdr:sp>
    <xdr:clientData/>
  </xdr:twoCellAnchor>
  <xdr:twoCellAnchor>
    <xdr:from>
      <xdr:col>23</xdr:col>
      <xdr:colOff>285750</xdr:colOff>
      <xdr:row>27</xdr:row>
      <xdr:rowOff>62795</xdr:rowOff>
    </xdr:from>
    <xdr:to>
      <xdr:col>24</xdr:col>
      <xdr:colOff>530578</xdr:colOff>
      <xdr:row>28</xdr:row>
      <xdr:rowOff>81845</xdr:rowOff>
    </xdr:to>
    <xdr:sp macro="" textlink="">
      <xdr:nvSpPr>
        <xdr:cNvPr id="32" name="TextBox 34">
          <a:extLst>
            <a:ext uri="{FF2B5EF4-FFF2-40B4-BE49-F238E27FC236}">
              <a16:creationId xmlns:a16="http://schemas.microsoft.com/office/drawing/2014/main" id="{D5E59263-FEE1-4A11-BC61-F1416843DEC3}"/>
            </a:ext>
          </a:extLst>
        </xdr:cNvPr>
        <xdr:cNvSpPr txBox="1"/>
      </xdr:nvSpPr>
      <xdr:spPr>
        <a:xfrm>
          <a:off x="3943350" y="3872795"/>
          <a:ext cx="854428" cy="20955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00" b="1"/>
            <a:t>KOP:</a:t>
          </a:r>
          <a:r>
            <a:rPr lang="en-GB" sz="1000" b="1" baseline="0"/>
            <a:t> 4200ft</a:t>
          </a:r>
          <a:endParaRPr lang="en-GB" sz="1000" b="1"/>
        </a:p>
      </xdr:txBody>
    </xdr:sp>
    <xdr:clientData/>
  </xdr:twoCellAnchor>
  <xdr:twoCellAnchor>
    <xdr:from>
      <xdr:col>25</xdr:col>
      <xdr:colOff>468488</xdr:colOff>
      <xdr:row>29</xdr:row>
      <xdr:rowOff>70556</xdr:rowOff>
    </xdr:from>
    <xdr:to>
      <xdr:col>27</xdr:col>
      <xdr:colOff>420864</xdr:colOff>
      <xdr:row>32</xdr:row>
      <xdr:rowOff>68087</xdr:rowOff>
    </xdr:to>
    <xdr:sp macro="" textlink="">
      <xdr:nvSpPr>
        <xdr:cNvPr id="33" name="TextBox 37">
          <a:extLst>
            <a:ext uri="{FF2B5EF4-FFF2-40B4-BE49-F238E27FC236}">
              <a16:creationId xmlns:a16="http://schemas.microsoft.com/office/drawing/2014/main" id="{3D4C301B-7F05-426B-B73D-40F59E5CAB03}"/>
            </a:ext>
          </a:extLst>
        </xdr:cNvPr>
        <xdr:cNvSpPr txBox="1"/>
      </xdr:nvSpPr>
      <xdr:spPr>
        <a:xfrm>
          <a:off x="4126088" y="4261556"/>
          <a:ext cx="1171576" cy="56903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BC: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2242FT</a:t>
          </a:r>
          <a:r>
            <a:rPr lang="en-GB"/>
            <a:t> </a:t>
          </a:r>
          <a:endParaRPr lang="en-GB" sz="1100"/>
        </a:p>
      </xdr:txBody>
    </xdr:sp>
    <xdr:clientData/>
  </xdr:twoCellAnchor>
  <xdr:twoCellAnchor>
    <xdr:from>
      <xdr:col>32</xdr:col>
      <xdr:colOff>61915</xdr:colOff>
      <xdr:row>30</xdr:row>
      <xdr:rowOff>25398</xdr:rowOff>
    </xdr:from>
    <xdr:to>
      <xdr:col>33</xdr:col>
      <xdr:colOff>242889</xdr:colOff>
      <xdr:row>33</xdr:row>
      <xdr:rowOff>34923</xdr:rowOff>
    </xdr:to>
    <xdr:sp macro="" textlink="">
      <xdr:nvSpPr>
        <xdr:cNvPr id="34" name="TextBox 38">
          <a:extLst>
            <a:ext uri="{FF2B5EF4-FFF2-40B4-BE49-F238E27FC236}">
              <a16:creationId xmlns:a16="http://schemas.microsoft.com/office/drawing/2014/main" id="{FDD93457-9078-4772-8151-FBE6032EA125}"/>
            </a:ext>
          </a:extLst>
        </xdr:cNvPr>
        <xdr:cNvSpPr txBox="1"/>
      </xdr:nvSpPr>
      <xdr:spPr>
        <a:xfrm>
          <a:off x="7986715" y="4406898"/>
          <a:ext cx="790574" cy="58102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4400</a:t>
          </a:r>
          <a:r>
            <a:rPr lang="en-GB"/>
            <a:t>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ft</a:t>
          </a:r>
          <a:r>
            <a:rPr lang="en-GB" sz="1100"/>
            <a:t> </a:t>
          </a:r>
        </a:p>
      </xdr:txBody>
    </xdr:sp>
    <xdr:clientData/>
  </xdr:twoCellAnchor>
  <xdr:twoCellAnchor>
    <xdr:from>
      <xdr:col>28</xdr:col>
      <xdr:colOff>141704</xdr:colOff>
      <xdr:row>33</xdr:row>
      <xdr:rowOff>175414</xdr:rowOff>
    </xdr:from>
    <xdr:to>
      <xdr:col>29</xdr:col>
      <xdr:colOff>89725</xdr:colOff>
      <xdr:row>35</xdr:row>
      <xdr:rowOff>62042</xdr:rowOff>
    </xdr:to>
    <xdr:sp macro="" textlink="">
      <xdr:nvSpPr>
        <xdr:cNvPr id="35" name="TextBox 39">
          <a:extLst>
            <a:ext uri="{FF2B5EF4-FFF2-40B4-BE49-F238E27FC236}">
              <a16:creationId xmlns:a16="http://schemas.microsoft.com/office/drawing/2014/main" id="{EF47F92A-3770-4C07-95A3-16C04AE49414}"/>
            </a:ext>
          </a:extLst>
        </xdr:cNvPr>
        <xdr:cNvSpPr txBox="1"/>
      </xdr:nvSpPr>
      <xdr:spPr>
        <a:xfrm rot="1700255">
          <a:off x="5628104" y="5128414"/>
          <a:ext cx="557621" cy="267628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3355 ft</a:t>
          </a:r>
          <a:r>
            <a:rPr lang="en-GB"/>
            <a:t> </a:t>
          </a:r>
          <a:endParaRPr lang="en-GB" sz="1100"/>
        </a:p>
      </xdr:txBody>
    </xdr:sp>
    <xdr:clientData/>
  </xdr:twoCellAnchor>
  <xdr:twoCellAnchor>
    <xdr:from>
      <xdr:col>30</xdr:col>
      <xdr:colOff>210119</xdr:colOff>
      <xdr:row>29</xdr:row>
      <xdr:rowOff>10168</xdr:rowOff>
    </xdr:from>
    <xdr:to>
      <xdr:col>31</xdr:col>
      <xdr:colOff>89731</xdr:colOff>
      <xdr:row>34</xdr:row>
      <xdr:rowOff>49121</xdr:rowOff>
    </xdr:to>
    <xdr:sp macro="" textlink="">
      <xdr:nvSpPr>
        <xdr:cNvPr id="36" name="TextBox 40">
          <a:extLst>
            <a:ext uri="{FF2B5EF4-FFF2-40B4-BE49-F238E27FC236}">
              <a16:creationId xmlns:a16="http://schemas.microsoft.com/office/drawing/2014/main" id="{3C630C92-C784-40E3-9D1B-7AECCB038921}"/>
            </a:ext>
          </a:extLst>
        </xdr:cNvPr>
        <xdr:cNvSpPr txBox="1"/>
      </xdr:nvSpPr>
      <xdr:spPr>
        <a:xfrm rot="3505352">
          <a:off x="6664598" y="4452289"/>
          <a:ext cx="991453" cy="489212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4412FT</a:t>
          </a:r>
          <a:endParaRPr lang="en-GB" sz="1100"/>
        </a:p>
      </xdr:txBody>
    </xdr:sp>
    <xdr:clientData/>
  </xdr:twoCellAnchor>
  <xdr:oneCellAnchor>
    <xdr:from>
      <xdr:col>26</xdr:col>
      <xdr:colOff>39511</xdr:colOff>
      <xdr:row>15</xdr:row>
      <xdr:rowOff>3527</xdr:rowOff>
    </xdr:from>
    <xdr:ext cx="931333" cy="894645"/>
    <xdr:pic>
      <xdr:nvPicPr>
        <xdr:cNvPr id="37" name="Picture 36">
          <a:extLst>
            <a:ext uri="{FF2B5EF4-FFF2-40B4-BE49-F238E27FC236}">
              <a16:creationId xmlns:a16="http://schemas.microsoft.com/office/drawing/2014/main" id="{2AA91B0F-A3F1-46E1-B9CB-1EF4ADC4E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6711" y="1527527"/>
          <a:ext cx="931333" cy="894645"/>
        </a:xfrm>
        <a:prstGeom prst="rect">
          <a:avLst/>
        </a:prstGeom>
      </xdr:spPr>
    </xdr:pic>
    <xdr:clientData/>
  </xdr:oneCellAnchor>
  <xdr:twoCellAnchor>
    <xdr:from>
      <xdr:col>26</xdr:col>
      <xdr:colOff>515055</xdr:colOff>
      <xdr:row>18</xdr:row>
      <xdr:rowOff>155222</xdr:rowOff>
    </xdr:from>
    <xdr:to>
      <xdr:col>26</xdr:col>
      <xdr:colOff>515761</xdr:colOff>
      <xdr:row>19</xdr:row>
      <xdr:rowOff>157339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FD1B7208-F69A-4F16-A992-B84391441931}"/>
            </a:ext>
          </a:extLst>
        </xdr:cNvPr>
        <xdr:cNvCxnSpPr/>
      </xdr:nvCxnSpPr>
      <xdr:spPr>
        <a:xfrm flipH="1" flipV="1">
          <a:off x="4782255" y="2250722"/>
          <a:ext cx="706" cy="192617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190500</xdr:colOff>
      <xdr:row>36</xdr:row>
      <xdr:rowOff>158750</xdr:rowOff>
    </xdr:from>
    <xdr:to>
      <xdr:col>32</xdr:col>
      <xdr:colOff>94545</xdr:colOff>
      <xdr:row>37</xdr:row>
      <xdr:rowOff>11289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CF76036B-B196-B75D-8CC1-92744FFA42DB}"/>
            </a:ext>
          </a:extLst>
        </xdr:cNvPr>
        <xdr:cNvCxnSpPr>
          <a:stCxn id="24" idx="1"/>
        </xdr:cNvCxnSpPr>
      </xdr:nvCxnSpPr>
      <xdr:spPr>
        <a:xfrm flipH="1" flipV="1">
          <a:off x="18891250" y="5683250"/>
          <a:ext cx="8084962" cy="4303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1524001</xdr:colOff>
      <xdr:row>7</xdr:row>
      <xdr:rowOff>152400</xdr:rowOff>
    </xdr:from>
    <xdr:to>
      <xdr:col>12</xdr:col>
      <xdr:colOff>931334</xdr:colOff>
      <xdr:row>44</xdr:row>
      <xdr:rowOff>95249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8F6F62E6-DCCB-8189-FB68-4E63BAAF81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508000</xdr:colOff>
      <xdr:row>18</xdr:row>
      <xdr:rowOff>21167</xdr:rowOff>
    </xdr:from>
    <xdr:to>
      <xdr:col>16</xdr:col>
      <xdr:colOff>526344</xdr:colOff>
      <xdr:row>27</xdr:row>
      <xdr:rowOff>47626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004248F1-ECFA-4515-8D81-3FB97A9F3707}"/>
            </a:ext>
          </a:extLst>
        </xdr:cNvPr>
        <xdr:cNvCxnSpPr/>
      </xdr:nvCxnSpPr>
      <xdr:spPr>
        <a:xfrm>
          <a:off x="35380083" y="2455334"/>
          <a:ext cx="18344" cy="1740959"/>
        </a:xfrm>
        <a:prstGeom prst="line">
          <a:avLst/>
        </a:prstGeom>
        <a:ln w="190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464261</xdr:colOff>
      <xdr:row>26</xdr:row>
      <xdr:rowOff>64794</xdr:rowOff>
    </xdr:from>
    <xdr:to>
      <xdr:col>16</xdr:col>
      <xdr:colOff>128896</xdr:colOff>
      <xdr:row>30</xdr:row>
      <xdr:rowOff>184954</xdr:rowOff>
    </xdr:to>
    <xdr:sp macro="" textlink="">
      <xdr:nvSpPr>
        <xdr:cNvPr id="78" name="Arc 2">
          <a:extLst>
            <a:ext uri="{FF2B5EF4-FFF2-40B4-BE49-F238E27FC236}">
              <a16:creationId xmlns:a16="http://schemas.microsoft.com/office/drawing/2014/main" id="{2FD8C1ED-47D1-4BFF-9D76-38EF1ACE950B}"/>
            </a:ext>
          </a:extLst>
        </xdr:cNvPr>
        <xdr:cNvSpPr/>
      </xdr:nvSpPr>
      <xdr:spPr>
        <a:xfrm rot="11498313">
          <a:off x="34108678" y="4022961"/>
          <a:ext cx="892301" cy="882160"/>
        </a:xfrm>
        <a:custGeom>
          <a:avLst/>
          <a:gdLst>
            <a:gd name="connsiteX0" fmla="*/ 516711 w 914400"/>
            <a:gd name="connsiteY0" fmla="*/ 3890 h 914400"/>
            <a:gd name="connsiteX1" fmla="*/ 821053 w 914400"/>
            <a:gd name="connsiteY1" fmla="*/ 180356 h 914400"/>
            <a:gd name="connsiteX2" fmla="*/ 457200 w 914400"/>
            <a:gd name="connsiteY2" fmla="*/ 457200 h 914400"/>
            <a:gd name="connsiteX3" fmla="*/ 516711 w 914400"/>
            <a:gd name="connsiteY3" fmla="*/ 3890 h 914400"/>
            <a:gd name="connsiteX0" fmla="*/ 516711 w 914400"/>
            <a:gd name="connsiteY0" fmla="*/ 3890 h 914400"/>
            <a:gd name="connsiteX1" fmla="*/ 821053 w 914400"/>
            <a:gd name="connsiteY1" fmla="*/ 180356 h 914400"/>
            <a:gd name="connsiteX0" fmla="*/ 240943 w 545285"/>
            <a:gd name="connsiteY0" fmla="*/ 319920 h 773230"/>
            <a:gd name="connsiteX1" fmla="*/ 545285 w 545285"/>
            <a:gd name="connsiteY1" fmla="*/ 496386 h 773230"/>
            <a:gd name="connsiteX2" fmla="*/ 181432 w 545285"/>
            <a:gd name="connsiteY2" fmla="*/ 773230 h 773230"/>
            <a:gd name="connsiteX3" fmla="*/ 240943 w 545285"/>
            <a:gd name="connsiteY3" fmla="*/ 319920 h 773230"/>
            <a:gd name="connsiteX0" fmla="*/ 0 w 545285"/>
            <a:gd name="connsiteY0" fmla="*/ 0 h 773230"/>
            <a:gd name="connsiteX1" fmla="*/ 545285 w 545285"/>
            <a:gd name="connsiteY1" fmla="*/ 496386 h 773230"/>
            <a:gd name="connsiteX0" fmla="*/ 0 w 680016"/>
            <a:gd name="connsiteY0" fmla="*/ 0 h 813555"/>
            <a:gd name="connsiteX1" fmla="*/ 680016 w 680016"/>
            <a:gd name="connsiteY1" fmla="*/ 536711 h 813555"/>
            <a:gd name="connsiteX2" fmla="*/ 316163 w 680016"/>
            <a:gd name="connsiteY2" fmla="*/ 813555 h 813555"/>
            <a:gd name="connsiteX3" fmla="*/ 0 w 680016"/>
            <a:gd name="connsiteY3" fmla="*/ 0 h 813555"/>
            <a:gd name="connsiteX0" fmla="*/ 134731 w 680016"/>
            <a:gd name="connsiteY0" fmla="*/ 40325 h 813555"/>
            <a:gd name="connsiteX1" fmla="*/ 680016 w 680016"/>
            <a:gd name="connsiteY1" fmla="*/ 536711 h 813555"/>
            <a:gd name="connsiteX0" fmla="*/ 0 w 636934"/>
            <a:gd name="connsiteY0" fmla="*/ 0 h 793254"/>
            <a:gd name="connsiteX1" fmla="*/ 636934 w 636934"/>
            <a:gd name="connsiteY1" fmla="*/ 516410 h 793254"/>
            <a:gd name="connsiteX2" fmla="*/ 273081 w 636934"/>
            <a:gd name="connsiteY2" fmla="*/ 793254 h 793254"/>
            <a:gd name="connsiteX3" fmla="*/ 0 w 636934"/>
            <a:gd name="connsiteY3" fmla="*/ 0 h 793254"/>
            <a:gd name="connsiteX0" fmla="*/ 91649 w 636934"/>
            <a:gd name="connsiteY0" fmla="*/ 20024 h 793254"/>
            <a:gd name="connsiteX1" fmla="*/ 636934 w 636934"/>
            <a:gd name="connsiteY1" fmla="*/ 516410 h 793254"/>
            <a:gd name="connsiteX0" fmla="*/ 1008050 w 1644984"/>
            <a:gd name="connsiteY0" fmla="*/ 0 h 852907"/>
            <a:gd name="connsiteX1" fmla="*/ 1644984 w 1644984"/>
            <a:gd name="connsiteY1" fmla="*/ 516410 h 852907"/>
            <a:gd name="connsiteX2" fmla="*/ 0 w 1644984"/>
            <a:gd name="connsiteY2" fmla="*/ 852907 h 852907"/>
            <a:gd name="connsiteX3" fmla="*/ 1008050 w 1644984"/>
            <a:gd name="connsiteY3" fmla="*/ 0 h 852907"/>
            <a:gd name="connsiteX0" fmla="*/ 1099699 w 1644984"/>
            <a:gd name="connsiteY0" fmla="*/ 20024 h 852907"/>
            <a:gd name="connsiteX1" fmla="*/ 1644984 w 1644984"/>
            <a:gd name="connsiteY1" fmla="*/ 516410 h 85290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644984" h="852907" stroke="0" extrusionOk="0">
              <a:moveTo>
                <a:pt x="1008050" y="0"/>
              </a:moveTo>
              <a:cubicBezTo>
                <a:pt x="1128974" y="15875"/>
                <a:pt x="1571134" y="419350"/>
                <a:pt x="1644984" y="516410"/>
              </a:cubicBezTo>
              <a:lnTo>
                <a:pt x="0" y="852907"/>
              </a:lnTo>
              <a:lnTo>
                <a:pt x="1008050" y="0"/>
              </a:lnTo>
              <a:close/>
            </a:path>
            <a:path w="1644984" h="852907" fill="none">
              <a:moveTo>
                <a:pt x="1099699" y="20024"/>
              </a:moveTo>
              <a:cubicBezTo>
                <a:pt x="1220623" y="35899"/>
                <a:pt x="1571134" y="419350"/>
                <a:pt x="1644984" y="516410"/>
              </a:cubicBezTo>
            </a:path>
          </a:pathLst>
        </a:custGeom>
        <a:ln w="190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en-GB" sz="1100"/>
        </a:p>
      </xdr:txBody>
    </xdr:sp>
    <xdr:clientData/>
  </xdr:twoCellAnchor>
  <xdr:twoCellAnchor>
    <xdr:from>
      <xdr:col>17</xdr:col>
      <xdr:colOff>354126</xdr:colOff>
      <xdr:row>30</xdr:row>
      <xdr:rowOff>73926</xdr:rowOff>
    </xdr:from>
    <xdr:to>
      <xdr:col>22</xdr:col>
      <xdr:colOff>120650</xdr:colOff>
      <xdr:row>36</xdr:row>
      <xdr:rowOff>31750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00F08EE0-17B5-43E5-AC19-DF6FC7BB94ED}"/>
            </a:ext>
          </a:extLst>
        </xdr:cNvPr>
        <xdr:cNvCxnSpPr/>
      </xdr:nvCxnSpPr>
      <xdr:spPr>
        <a:xfrm>
          <a:off x="35840043" y="4794093"/>
          <a:ext cx="6105940" cy="11008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546100</xdr:colOff>
      <xdr:row>21</xdr:row>
      <xdr:rowOff>19050</xdr:rowOff>
    </xdr:from>
    <xdr:to>
      <xdr:col>20</xdr:col>
      <xdr:colOff>164500</xdr:colOff>
      <xdr:row>21</xdr:row>
      <xdr:rowOff>19050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5A2DF0FA-892E-4FF1-B4D4-69FB349BF2B3}"/>
            </a:ext>
          </a:extLst>
        </xdr:cNvPr>
        <xdr:cNvCxnSpPr/>
      </xdr:nvCxnSpPr>
      <xdr:spPr>
        <a:xfrm flipV="1">
          <a:off x="34190517" y="3024717"/>
          <a:ext cx="51429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530751</xdr:colOff>
      <xdr:row>27</xdr:row>
      <xdr:rowOff>16773</xdr:rowOff>
    </xdr:from>
    <xdr:to>
      <xdr:col>20</xdr:col>
      <xdr:colOff>142875</xdr:colOff>
      <xdr:row>27</xdr:row>
      <xdr:rowOff>16773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4506CF53-1068-48C7-B419-53199541D336}"/>
            </a:ext>
          </a:extLst>
        </xdr:cNvPr>
        <xdr:cNvCxnSpPr/>
      </xdr:nvCxnSpPr>
      <xdr:spPr>
        <a:xfrm>
          <a:off x="34175168" y="4165440"/>
          <a:ext cx="5136624" cy="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133350</xdr:colOff>
      <xdr:row>27</xdr:row>
      <xdr:rowOff>28575</xdr:rowOff>
    </xdr:from>
    <xdr:to>
      <xdr:col>22</xdr:col>
      <xdr:colOff>133350</xdr:colOff>
      <xdr:row>36</xdr:row>
      <xdr:rowOff>63225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7307DADD-D130-4204-9D40-2A921740C258}"/>
            </a:ext>
          </a:extLst>
        </xdr:cNvPr>
        <xdr:cNvCxnSpPr/>
      </xdr:nvCxnSpPr>
      <xdr:spPr>
        <a:xfrm>
          <a:off x="41958683" y="4177242"/>
          <a:ext cx="0" cy="174915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342900</xdr:colOff>
      <xdr:row>27</xdr:row>
      <xdr:rowOff>66675</xdr:rowOff>
    </xdr:from>
    <xdr:to>
      <xdr:col>18</xdr:col>
      <xdr:colOff>390525</xdr:colOff>
      <xdr:row>30</xdr:row>
      <xdr:rowOff>85725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AD4F9443-BC7B-4A18-8134-033C33B9C4AC}"/>
            </a:ext>
          </a:extLst>
        </xdr:cNvPr>
        <xdr:cNvCxnSpPr/>
      </xdr:nvCxnSpPr>
      <xdr:spPr>
        <a:xfrm flipV="1">
          <a:off x="34601150" y="4215342"/>
          <a:ext cx="2820458" cy="590550"/>
        </a:xfrm>
        <a:prstGeom prst="line">
          <a:avLst/>
        </a:prstGeom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390525</xdr:colOff>
      <xdr:row>27</xdr:row>
      <xdr:rowOff>66675</xdr:rowOff>
    </xdr:from>
    <xdr:to>
      <xdr:col>22</xdr:col>
      <xdr:colOff>142875</xdr:colOff>
      <xdr:row>36</xdr:row>
      <xdr:rowOff>47625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2993EB08-8F84-4BCD-9D6E-E2977C5592E1}"/>
            </a:ext>
          </a:extLst>
        </xdr:cNvPr>
        <xdr:cNvCxnSpPr/>
      </xdr:nvCxnSpPr>
      <xdr:spPr>
        <a:xfrm>
          <a:off x="39559442" y="4215342"/>
          <a:ext cx="2408766" cy="1695450"/>
        </a:xfrm>
        <a:prstGeom prst="line">
          <a:avLst/>
        </a:prstGeom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656164</xdr:colOff>
      <xdr:row>34</xdr:row>
      <xdr:rowOff>0</xdr:rowOff>
    </xdr:from>
    <xdr:to>
      <xdr:col>21</xdr:col>
      <xdr:colOff>1820332</xdr:colOff>
      <xdr:row>36</xdr:row>
      <xdr:rowOff>43815</xdr:rowOff>
    </xdr:to>
    <xdr:sp macro="" textlink="">
      <xdr:nvSpPr>
        <xdr:cNvPr id="85" name="Arc 10">
          <a:extLst>
            <a:ext uri="{FF2B5EF4-FFF2-40B4-BE49-F238E27FC236}">
              <a16:creationId xmlns:a16="http://schemas.microsoft.com/office/drawing/2014/main" id="{9716BF8B-A8E5-4CFD-ABCF-EF75FD5283C0}"/>
            </a:ext>
          </a:extLst>
        </xdr:cNvPr>
        <xdr:cNvSpPr/>
      </xdr:nvSpPr>
      <xdr:spPr>
        <a:xfrm flipH="1">
          <a:off x="40661164" y="5482167"/>
          <a:ext cx="1164168" cy="424815"/>
        </a:xfrm>
        <a:custGeom>
          <a:avLst/>
          <a:gdLst>
            <a:gd name="connsiteX0" fmla="*/ 174284 w 361950"/>
            <a:gd name="connsiteY0" fmla="*/ 185 h 541019"/>
            <a:gd name="connsiteX1" fmla="*/ 334290 w 361950"/>
            <a:gd name="connsiteY1" fmla="*/ 126778 h 541019"/>
            <a:gd name="connsiteX2" fmla="*/ 180975 w 361950"/>
            <a:gd name="connsiteY2" fmla="*/ 270510 h 541019"/>
            <a:gd name="connsiteX3" fmla="*/ 174284 w 361950"/>
            <a:gd name="connsiteY3" fmla="*/ 185 h 541019"/>
            <a:gd name="connsiteX0" fmla="*/ 174284 w 361950"/>
            <a:gd name="connsiteY0" fmla="*/ 185 h 541019"/>
            <a:gd name="connsiteX1" fmla="*/ 334290 w 361950"/>
            <a:gd name="connsiteY1" fmla="*/ 126778 h 541019"/>
            <a:gd name="connsiteX0" fmla="*/ 364794 w 524800"/>
            <a:gd name="connsiteY0" fmla="*/ 185 h 346710"/>
            <a:gd name="connsiteX1" fmla="*/ 524800 w 524800"/>
            <a:gd name="connsiteY1" fmla="*/ 126778 h 346710"/>
            <a:gd name="connsiteX2" fmla="*/ 10 w 524800"/>
            <a:gd name="connsiteY2" fmla="*/ 346710 h 346710"/>
            <a:gd name="connsiteX3" fmla="*/ 364794 w 524800"/>
            <a:gd name="connsiteY3" fmla="*/ 185 h 346710"/>
            <a:gd name="connsiteX0" fmla="*/ 364794 w 524800"/>
            <a:gd name="connsiteY0" fmla="*/ 185 h 346710"/>
            <a:gd name="connsiteX1" fmla="*/ 524800 w 524800"/>
            <a:gd name="connsiteY1" fmla="*/ 126778 h 346710"/>
            <a:gd name="connsiteX0" fmla="*/ 364794 w 524800"/>
            <a:gd name="connsiteY0" fmla="*/ 104836 h 451361"/>
            <a:gd name="connsiteX1" fmla="*/ 524800 w 524800"/>
            <a:gd name="connsiteY1" fmla="*/ 231429 h 451361"/>
            <a:gd name="connsiteX2" fmla="*/ 10 w 524800"/>
            <a:gd name="connsiteY2" fmla="*/ 451361 h 451361"/>
            <a:gd name="connsiteX3" fmla="*/ 364794 w 524800"/>
            <a:gd name="connsiteY3" fmla="*/ 104836 h 451361"/>
            <a:gd name="connsiteX0" fmla="*/ 155244 w 524800"/>
            <a:gd name="connsiteY0" fmla="*/ 61 h 451361"/>
            <a:gd name="connsiteX1" fmla="*/ 524800 w 524800"/>
            <a:gd name="connsiteY1" fmla="*/ 231429 h 451361"/>
            <a:gd name="connsiteX0" fmla="*/ 364794 w 524800"/>
            <a:gd name="connsiteY0" fmla="*/ 85796 h 432321"/>
            <a:gd name="connsiteX1" fmla="*/ 524800 w 524800"/>
            <a:gd name="connsiteY1" fmla="*/ 212389 h 432321"/>
            <a:gd name="connsiteX2" fmla="*/ 10 w 524800"/>
            <a:gd name="connsiteY2" fmla="*/ 432321 h 432321"/>
            <a:gd name="connsiteX3" fmla="*/ 364794 w 524800"/>
            <a:gd name="connsiteY3" fmla="*/ 85796 h 432321"/>
            <a:gd name="connsiteX0" fmla="*/ 193344 w 524800"/>
            <a:gd name="connsiteY0" fmla="*/ 71 h 432321"/>
            <a:gd name="connsiteX1" fmla="*/ 524800 w 524800"/>
            <a:gd name="connsiteY1" fmla="*/ 212389 h 43232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524800" h="432321" stroke="0" extrusionOk="0">
              <a:moveTo>
                <a:pt x="364794" y="85796"/>
              </a:moveTo>
              <a:cubicBezTo>
                <a:pt x="429432" y="82221"/>
                <a:pt x="490432" y="130483"/>
                <a:pt x="524800" y="212389"/>
              </a:cubicBezTo>
              <a:lnTo>
                <a:pt x="10" y="432321"/>
              </a:lnTo>
              <a:cubicBezTo>
                <a:pt x="-2220" y="342213"/>
                <a:pt x="367024" y="175904"/>
                <a:pt x="364794" y="85796"/>
              </a:cubicBezTo>
              <a:close/>
            </a:path>
            <a:path w="524800" h="432321" fill="none">
              <a:moveTo>
                <a:pt x="193344" y="71"/>
              </a:moveTo>
              <a:cubicBezTo>
                <a:pt x="257982" y="-3504"/>
                <a:pt x="490432" y="130483"/>
                <a:pt x="524800" y="212389"/>
              </a:cubicBezTo>
            </a:path>
          </a:pathLst>
        </a:cu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en-GB" sz="1100"/>
        </a:p>
      </xdr:txBody>
    </xdr:sp>
    <xdr:clientData/>
  </xdr:twoCellAnchor>
  <xdr:twoCellAnchor>
    <xdr:from>
      <xdr:col>14</xdr:col>
      <xdr:colOff>581025</xdr:colOff>
      <xdr:row>26</xdr:row>
      <xdr:rowOff>76200</xdr:rowOff>
    </xdr:from>
    <xdr:to>
      <xdr:col>15</xdr:col>
      <xdr:colOff>314325</xdr:colOff>
      <xdr:row>26</xdr:row>
      <xdr:rowOff>85725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87C77117-1248-4A86-842A-69DD4219D659}"/>
            </a:ext>
          </a:extLst>
        </xdr:cNvPr>
        <xdr:cNvCxnSpPr/>
      </xdr:nvCxnSpPr>
      <xdr:spPr>
        <a:xfrm>
          <a:off x="34225442" y="4034367"/>
          <a:ext cx="347133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530225</xdr:colOff>
      <xdr:row>26</xdr:row>
      <xdr:rowOff>66675</xdr:rowOff>
    </xdr:from>
    <xdr:to>
      <xdr:col>18</xdr:col>
      <xdr:colOff>155576</xdr:colOff>
      <xdr:row>26</xdr:row>
      <xdr:rowOff>82550</xdr:rowOff>
    </xdr:to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id="{5468C524-4F7A-4EAB-ADBA-0EC496A9AC3D}"/>
            </a:ext>
          </a:extLst>
        </xdr:cNvPr>
        <xdr:cNvCxnSpPr>
          <a:cxnSpLocks/>
          <a:stCxn id="96" idx="3"/>
          <a:endCxn id="100" idx="1"/>
        </xdr:cNvCxnSpPr>
      </xdr:nvCxnSpPr>
      <xdr:spPr>
        <a:xfrm>
          <a:off x="34788475" y="4024842"/>
          <a:ext cx="2398184" cy="1587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428625</xdr:colOff>
      <xdr:row>26</xdr:row>
      <xdr:rowOff>57150</xdr:rowOff>
    </xdr:from>
    <xdr:to>
      <xdr:col>19</xdr:col>
      <xdr:colOff>600075</xdr:colOff>
      <xdr:row>26</xdr:row>
      <xdr:rowOff>76200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8BC19636-78EE-4CB3-8ADB-4E6A411A8F1B}"/>
            </a:ext>
          </a:extLst>
        </xdr:cNvPr>
        <xdr:cNvCxnSpPr>
          <a:endCxn id="99" idx="1"/>
        </xdr:cNvCxnSpPr>
      </xdr:nvCxnSpPr>
      <xdr:spPr>
        <a:xfrm flipV="1">
          <a:off x="37459708" y="4015317"/>
          <a:ext cx="1367367" cy="1905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23</xdr:row>
      <xdr:rowOff>180975</xdr:rowOff>
    </xdr:from>
    <xdr:to>
      <xdr:col>17</xdr:col>
      <xdr:colOff>304800</xdr:colOff>
      <xdr:row>24</xdr:row>
      <xdr:rowOff>0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54556DDF-27BB-4717-9C50-5F5787B1A170}"/>
            </a:ext>
          </a:extLst>
        </xdr:cNvPr>
        <xdr:cNvCxnSpPr/>
      </xdr:nvCxnSpPr>
      <xdr:spPr>
        <a:xfrm>
          <a:off x="34277300" y="3567642"/>
          <a:ext cx="1513417" cy="952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133350</xdr:colOff>
      <xdr:row>19</xdr:row>
      <xdr:rowOff>95250</xdr:rowOff>
    </xdr:from>
    <xdr:to>
      <xdr:col>18</xdr:col>
      <xdr:colOff>409575</xdr:colOff>
      <xdr:row>20</xdr:row>
      <xdr:rowOff>171450</xdr:rowOff>
    </xdr:to>
    <xdr:sp macro="" textlink="">
      <xdr:nvSpPr>
        <xdr:cNvPr id="90" name="TextBox 16">
          <a:extLst>
            <a:ext uri="{FF2B5EF4-FFF2-40B4-BE49-F238E27FC236}">
              <a16:creationId xmlns:a16="http://schemas.microsoft.com/office/drawing/2014/main" id="{0916A81B-1B9B-4788-AB9C-B3828775FCCD}"/>
            </a:ext>
          </a:extLst>
        </xdr:cNvPr>
        <xdr:cNvSpPr txBox="1"/>
      </xdr:nvSpPr>
      <xdr:spPr>
        <a:xfrm>
          <a:off x="35005433" y="2719917"/>
          <a:ext cx="2435225" cy="26670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HD: 3200 FT</a:t>
          </a:r>
        </a:p>
      </xdr:txBody>
    </xdr:sp>
    <xdr:clientData/>
  </xdr:twoCellAnchor>
  <xdr:twoCellAnchor>
    <xdr:from>
      <xdr:col>15</xdr:col>
      <xdr:colOff>133350</xdr:colOff>
      <xdr:row>22</xdr:row>
      <xdr:rowOff>114300</xdr:rowOff>
    </xdr:from>
    <xdr:to>
      <xdr:col>17</xdr:col>
      <xdr:colOff>409575</xdr:colOff>
      <xdr:row>24</xdr:row>
      <xdr:rowOff>0</xdr:rowOff>
    </xdr:to>
    <xdr:sp macro="" textlink="">
      <xdr:nvSpPr>
        <xdr:cNvPr id="91" name="TextBox 17">
          <a:extLst>
            <a:ext uri="{FF2B5EF4-FFF2-40B4-BE49-F238E27FC236}">
              <a16:creationId xmlns:a16="http://schemas.microsoft.com/office/drawing/2014/main" id="{A90C81E9-C3B6-4CBA-8F1F-7FFCC38F61EA}"/>
            </a:ext>
          </a:extLst>
        </xdr:cNvPr>
        <xdr:cNvSpPr txBox="1"/>
      </xdr:nvSpPr>
      <xdr:spPr>
        <a:xfrm>
          <a:off x="34391600" y="3310467"/>
          <a:ext cx="1503892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R: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2866.242</a:t>
          </a:r>
          <a:r>
            <a:rPr lang="en-GB" sz="1100"/>
            <a:t> FT</a:t>
          </a:r>
        </a:p>
      </xdr:txBody>
    </xdr:sp>
    <xdr:clientData/>
  </xdr:twoCellAnchor>
  <xdr:twoCellAnchor>
    <xdr:from>
      <xdr:col>15</xdr:col>
      <xdr:colOff>352425</xdr:colOff>
      <xdr:row>26</xdr:row>
      <xdr:rowOff>152400</xdr:rowOff>
    </xdr:from>
    <xdr:to>
      <xdr:col>15</xdr:col>
      <xdr:colOff>352425</xdr:colOff>
      <xdr:row>30</xdr:row>
      <xdr:rowOff>171450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8B6D55D6-9F1C-4C5F-85BC-303F4C2B546C}"/>
            </a:ext>
          </a:extLst>
        </xdr:cNvPr>
        <xdr:cNvCxnSpPr/>
      </xdr:nvCxnSpPr>
      <xdr:spPr>
        <a:xfrm flipV="1">
          <a:off x="34610675" y="4110567"/>
          <a:ext cx="0" cy="78105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479425</xdr:colOff>
      <xdr:row>25</xdr:row>
      <xdr:rowOff>22225</xdr:rowOff>
    </xdr:from>
    <xdr:to>
      <xdr:col>15</xdr:col>
      <xdr:colOff>634999</xdr:colOff>
      <xdr:row>26</xdr:row>
      <xdr:rowOff>169334</xdr:rowOff>
    </xdr:to>
    <xdr:sp macro="" textlink="">
      <xdr:nvSpPr>
        <xdr:cNvPr id="93" name="TextBox 21">
          <a:extLst>
            <a:ext uri="{FF2B5EF4-FFF2-40B4-BE49-F238E27FC236}">
              <a16:creationId xmlns:a16="http://schemas.microsoft.com/office/drawing/2014/main" id="{A4BD0E5E-B48C-434A-9FBC-F95F1664FE7E}"/>
            </a:ext>
          </a:extLst>
        </xdr:cNvPr>
        <xdr:cNvSpPr txBox="1"/>
      </xdr:nvSpPr>
      <xdr:spPr>
        <a:xfrm>
          <a:off x="34123842" y="3789892"/>
          <a:ext cx="740832" cy="33760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800"/>
            <a:t>  </a:t>
          </a:r>
          <a:r>
            <a:rPr lang="en-GB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834.0</a:t>
          </a:r>
          <a:r>
            <a:rPr lang="en-GB" sz="800"/>
            <a:t> FT</a:t>
          </a:r>
        </a:p>
      </xdr:txBody>
    </xdr:sp>
    <xdr:clientData/>
  </xdr:twoCellAnchor>
  <xdr:twoCellAnchor>
    <xdr:from>
      <xdr:col>14</xdr:col>
      <xdr:colOff>142875</xdr:colOff>
      <xdr:row>19</xdr:row>
      <xdr:rowOff>104775</xdr:rowOff>
    </xdr:from>
    <xdr:to>
      <xdr:col>14</xdr:col>
      <xdr:colOff>495300</xdr:colOff>
      <xdr:row>21</xdr:row>
      <xdr:rowOff>0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F9054E05-F6A4-433A-B99E-E8D9725D0A80}"/>
            </a:ext>
          </a:extLst>
        </xdr:cNvPr>
        <xdr:cNvSpPr txBox="1"/>
      </xdr:nvSpPr>
      <xdr:spPr>
        <a:xfrm>
          <a:off x="33787292" y="2729442"/>
          <a:ext cx="352425" cy="27622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/>
            <a:t>A</a:t>
          </a:r>
        </a:p>
      </xdr:txBody>
    </xdr:sp>
    <xdr:clientData/>
  </xdr:twoCellAnchor>
  <xdr:twoCellAnchor>
    <xdr:from>
      <xdr:col>14</xdr:col>
      <xdr:colOff>311150</xdr:colOff>
      <xdr:row>25</xdr:row>
      <xdr:rowOff>168275</xdr:rowOff>
    </xdr:from>
    <xdr:to>
      <xdr:col>15</xdr:col>
      <xdr:colOff>73025</xdr:colOff>
      <xdr:row>27</xdr:row>
      <xdr:rowOff>53975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A4C4D399-13DD-49FC-87D1-6216F0977C7A}"/>
            </a:ext>
          </a:extLst>
        </xdr:cNvPr>
        <xdr:cNvSpPr txBox="1"/>
      </xdr:nvSpPr>
      <xdr:spPr>
        <a:xfrm>
          <a:off x="33955567" y="3935942"/>
          <a:ext cx="375708" cy="26670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/>
            <a:t>B</a:t>
          </a:r>
        </a:p>
      </xdr:txBody>
    </xdr:sp>
    <xdr:clientData/>
  </xdr:twoCellAnchor>
  <xdr:twoCellAnchor>
    <xdr:from>
      <xdr:col>15</xdr:col>
      <xdr:colOff>254000</xdr:colOff>
      <xdr:row>25</xdr:row>
      <xdr:rowOff>114300</xdr:rowOff>
    </xdr:from>
    <xdr:to>
      <xdr:col>15</xdr:col>
      <xdr:colOff>530225</xdr:colOff>
      <xdr:row>27</xdr:row>
      <xdr:rowOff>19050</xdr:rowOff>
    </xdr:to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28BE0AF5-1335-4EFA-9FC9-C703E42BBFC8}"/>
            </a:ext>
          </a:extLst>
        </xdr:cNvPr>
        <xdr:cNvSpPr txBox="1"/>
      </xdr:nvSpPr>
      <xdr:spPr>
        <a:xfrm>
          <a:off x="34512250" y="3881967"/>
          <a:ext cx="276225" cy="28575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/>
            <a:t>E</a:t>
          </a:r>
        </a:p>
      </xdr:txBody>
    </xdr:sp>
    <xdr:clientData/>
  </xdr:twoCellAnchor>
  <xdr:twoCellAnchor>
    <xdr:from>
      <xdr:col>17</xdr:col>
      <xdr:colOff>127000</xdr:colOff>
      <xdr:row>30</xdr:row>
      <xdr:rowOff>25400</xdr:rowOff>
    </xdr:from>
    <xdr:to>
      <xdr:col>17</xdr:col>
      <xdr:colOff>498475</xdr:colOff>
      <xdr:row>31</xdr:row>
      <xdr:rowOff>101600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D63C4372-EB2D-4B35-85E3-6A9593AC861C}"/>
            </a:ext>
          </a:extLst>
        </xdr:cNvPr>
        <xdr:cNvSpPr txBox="1"/>
      </xdr:nvSpPr>
      <xdr:spPr>
        <a:xfrm>
          <a:off x="35612917" y="4745567"/>
          <a:ext cx="371475" cy="26670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/>
            <a:t>C</a:t>
          </a:r>
        </a:p>
      </xdr:txBody>
    </xdr:sp>
    <xdr:clientData/>
  </xdr:twoCellAnchor>
  <xdr:twoCellAnchor>
    <xdr:from>
      <xdr:col>22</xdr:col>
      <xdr:colOff>94545</xdr:colOff>
      <xdr:row>35</xdr:row>
      <xdr:rowOff>68439</xdr:rowOff>
    </xdr:from>
    <xdr:to>
      <xdr:col>22</xdr:col>
      <xdr:colOff>332670</xdr:colOff>
      <xdr:row>36</xdr:row>
      <xdr:rowOff>144639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F7520601-7F60-49BB-B44B-C2B655A56393}"/>
            </a:ext>
          </a:extLst>
        </xdr:cNvPr>
        <xdr:cNvSpPr txBox="1"/>
      </xdr:nvSpPr>
      <xdr:spPr>
        <a:xfrm>
          <a:off x="41919878" y="5741106"/>
          <a:ext cx="238125" cy="26670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/>
            <a:t>T</a:t>
          </a:r>
        </a:p>
      </xdr:txBody>
    </xdr:sp>
    <xdr:clientData/>
  </xdr:twoCellAnchor>
  <xdr:twoCellAnchor>
    <xdr:from>
      <xdr:col>19</xdr:col>
      <xdr:colOff>600075</xdr:colOff>
      <xdr:row>25</xdr:row>
      <xdr:rowOff>114300</xdr:rowOff>
    </xdr:from>
    <xdr:to>
      <xdr:col>20</xdr:col>
      <xdr:colOff>361950</xdr:colOff>
      <xdr:row>27</xdr:row>
      <xdr:rowOff>0</xdr:rowOff>
    </xdr:to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221178CB-DA61-4882-953D-D4903A765C06}"/>
            </a:ext>
          </a:extLst>
        </xdr:cNvPr>
        <xdr:cNvSpPr txBox="1"/>
      </xdr:nvSpPr>
      <xdr:spPr>
        <a:xfrm>
          <a:off x="38827075" y="3881967"/>
          <a:ext cx="703792" cy="26670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/>
            <a:t>P</a:t>
          </a:r>
        </a:p>
      </xdr:txBody>
    </xdr:sp>
    <xdr:clientData/>
  </xdr:twoCellAnchor>
  <xdr:twoCellAnchor>
    <xdr:from>
      <xdr:col>18</xdr:col>
      <xdr:colOff>155576</xdr:colOff>
      <xdr:row>25</xdr:row>
      <xdr:rowOff>139700</xdr:rowOff>
    </xdr:from>
    <xdr:to>
      <xdr:col>18</xdr:col>
      <xdr:colOff>422276</xdr:colOff>
      <xdr:row>27</xdr:row>
      <xdr:rowOff>25400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460AFC5A-0103-4DD0-8723-8BB97615804E}"/>
            </a:ext>
          </a:extLst>
        </xdr:cNvPr>
        <xdr:cNvSpPr txBox="1"/>
      </xdr:nvSpPr>
      <xdr:spPr>
        <a:xfrm>
          <a:off x="37186659" y="3907367"/>
          <a:ext cx="266700" cy="26670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/>
            <a:t>O</a:t>
          </a:r>
        </a:p>
      </xdr:txBody>
    </xdr:sp>
    <xdr:clientData/>
  </xdr:twoCellAnchor>
  <xdr:twoCellAnchor>
    <xdr:from>
      <xdr:col>16</xdr:col>
      <xdr:colOff>336550</xdr:colOff>
      <xdr:row>24</xdr:row>
      <xdr:rowOff>168275</xdr:rowOff>
    </xdr:from>
    <xdr:to>
      <xdr:col>18</xdr:col>
      <xdr:colOff>107950</xdr:colOff>
      <xdr:row>26</xdr:row>
      <xdr:rowOff>60325</xdr:rowOff>
    </xdr:to>
    <xdr:sp macro="" textlink="">
      <xdr:nvSpPr>
        <xdr:cNvPr id="101" name="TextBox 29">
          <a:extLst>
            <a:ext uri="{FF2B5EF4-FFF2-40B4-BE49-F238E27FC236}">
              <a16:creationId xmlns:a16="http://schemas.microsoft.com/office/drawing/2014/main" id="{A0009D42-7FE3-48E3-8B31-49C02E9F7C88}"/>
            </a:ext>
          </a:extLst>
        </xdr:cNvPr>
        <xdr:cNvSpPr txBox="1"/>
      </xdr:nvSpPr>
      <xdr:spPr>
        <a:xfrm>
          <a:off x="35208633" y="3745442"/>
          <a:ext cx="1930400" cy="27305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2032</a:t>
          </a:r>
          <a:r>
            <a:rPr lang="en-GB"/>
            <a:t>FT</a:t>
          </a:r>
          <a:endParaRPr lang="en-GB" sz="1600"/>
        </a:p>
      </xdr:txBody>
    </xdr:sp>
    <xdr:clientData/>
  </xdr:twoCellAnchor>
  <xdr:twoCellAnchor>
    <xdr:from>
      <xdr:col>18</xdr:col>
      <xdr:colOff>527050</xdr:colOff>
      <xdr:row>25</xdr:row>
      <xdr:rowOff>28575</xdr:rowOff>
    </xdr:from>
    <xdr:to>
      <xdr:col>20</xdr:col>
      <xdr:colOff>260350</xdr:colOff>
      <xdr:row>26</xdr:row>
      <xdr:rowOff>104775</xdr:rowOff>
    </xdr:to>
    <xdr:sp macro="" textlink="">
      <xdr:nvSpPr>
        <xdr:cNvPr id="102" name="TextBox 30">
          <a:extLst>
            <a:ext uri="{FF2B5EF4-FFF2-40B4-BE49-F238E27FC236}">
              <a16:creationId xmlns:a16="http://schemas.microsoft.com/office/drawing/2014/main" id="{4A59E8EA-BE6E-4269-90DD-32A1048EC2DE}"/>
            </a:ext>
          </a:extLst>
        </xdr:cNvPr>
        <xdr:cNvSpPr txBox="1"/>
      </xdr:nvSpPr>
      <xdr:spPr>
        <a:xfrm>
          <a:off x="37558133" y="3796242"/>
          <a:ext cx="1871134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333FT</a:t>
          </a:r>
          <a:endParaRPr lang="en-GB" sz="1200"/>
        </a:p>
      </xdr:txBody>
    </xdr:sp>
    <xdr:clientData/>
  </xdr:twoCellAnchor>
  <xdr:twoCellAnchor>
    <xdr:from>
      <xdr:col>15</xdr:col>
      <xdr:colOff>1199596</xdr:colOff>
      <xdr:row>28</xdr:row>
      <xdr:rowOff>28365</xdr:rowOff>
    </xdr:from>
    <xdr:to>
      <xdr:col>18</xdr:col>
      <xdr:colOff>28150</xdr:colOff>
      <xdr:row>29</xdr:row>
      <xdr:rowOff>75091</xdr:rowOff>
    </xdr:to>
    <xdr:sp macro="" textlink="">
      <xdr:nvSpPr>
        <xdr:cNvPr id="103" name="TextBox 31">
          <a:extLst>
            <a:ext uri="{FF2B5EF4-FFF2-40B4-BE49-F238E27FC236}">
              <a16:creationId xmlns:a16="http://schemas.microsoft.com/office/drawing/2014/main" id="{67430FAE-97A7-4344-834C-612BC7B079CB}"/>
            </a:ext>
          </a:extLst>
        </xdr:cNvPr>
        <xdr:cNvSpPr txBox="1"/>
      </xdr:nvSpPr>
      <xdr:spPr>
        <a:xfrm rot="20565068">
          <a:off x="34867296" y="4367532"/>
          <a:ext cx="2191937" cy="23722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R: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2866.242038</a:t>
          </a:r>
          <a:r>
            <a:rPr lang="en-GB"/>
            <a:t> </a:t>
          </a:r>
          <a:r>
            <a:rPr lang="en-GB" sz="1100"/>
            <a:t>FT</a:t>
          </a:r>
        </a:p>
      </xdr:txBody>
    </xdr:sp>
    <xdr:clientData/>
  </xdr:twoCellAnchor>
  <xdr:twoCellAnchor>
    <xdr:from>
      <xdr:col>14</xdr:col>
      <xdr:colOff>600075</xdr:colOff>
      <xdr:row>18</xdr:row>
      <xdr:rowOff>104775</xdr:rowOff>
    </xdr:from>
    <xdr:to>
      <xdr:col>15</xdr:col>
      <xdr:colOff>0</xdr:colOff>
      <xdr:row>35</xdr:row>
      <xdr:rowOff>66675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296FD4E0-116D-4AB6-9140-2C5BBA0BB29C}"/>
            </a:ext>
          </a:extLst>
        </xdr:cNvPr>
        <xdr:cNvCxnSpPr/>
      </xdr:nvCxnSpPr>
      <xdr:spPr>
        <a:xfrm flipH="1">
          <a:off x="34244492" y="2538942"/>
          <a:ext cx="13758" cy="32004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1079502</xdr:colOff>
      <xdr:row>24</xdr:row>
      <xdr:rowOff>116416</xdr:rowOff>
    </xdr:from>
    <xdr:to>
      <xdr:col>13</xdr:col>
      <xdr:colOff>793751</xdr:colOff>
      <xdr:row>25</xdr:row>
      <xdr:rowOff>148166</xdr:rowOff>
    </xdr:to>
    <xdr:sp macro="" textlink="">
      <xdr:nvSpPr>
        <xdr:cNvPr id="105" name="TextBox 34">
          <a:extLst>
            <a:ext uri="{FF2B5EF4-FFF2-40B4-BE49-F238E27FC236}">
              <a16:creationId xmlns:a16="http://schemas.microsoft.com/office/drawing/2014/main" id="{C7D57B78-7813-4DCC-B0FA-8F16E152CEAA}"/>
            </a:ext>
          </a:extLst>
        </xdr:cNvPr>
        <xdr:cNvSpPr txBox="1"/>
      </xdr:nvSpPr>
      <xdr:spPr>
        <a:xfrm>
          <a:off x="18870085" y="4836583"/>
          <a:ext cx="1005416" cy="22225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00" b="1"/>
            <a:t>KOP:</a:t>
          </a:r>
          <a:r>
            <a:rPr lang="en-GB" sz="1000" b="1" baseline="0"/>
            <a:t> 4200ft</a:t>
          </a:r>
          <a:endParaRPr lang="en-GB" sz="1000" b="1"/>
        </a:p>
      </xdr:txBody>
    </xdr:sp>
    <xdr:clientData/>
  </xdr:twoCellAnchor>
  <xdr:twoCellAnchor>
    <xdr:from>
      <xdr:col>15</xdr:col>
      <xdr:colOff>468488</xdr:colOff>
      <xdr:row>28</xdr:row>
      <xdr:rowOff>70556</xdr:rowOff>
    </xdr:from>
    <xdr:to>
      <xdr:col>17</xdr:col>
      <xdr:colOff>420864</xdr:colOff>
      <xdr:row>31</xdr:row>
      <xdr:rowOff>68087</xdr:rowOff>
    </xdr:to>
    <xdr:sp macro="" textlink="">
      <xdr:nvSpPr>
        <xdr:cNvPr id="106" name="TextBox 37">
          <a:extLst>
            <a:ext uri="{FF2B5EF4-FFF2-40B4-BE49-F238E27FC236}">
              <a16:creationId xmlns:a16="http://schemas.microsoft.com/office/drawing/2014/main" id="{1C71E8C0-0DFB-4DC9-9BEA-C2069B90B136}"/>
            </a:ext>
          </a:extLst>
        </xdr:cNvPr>
        <xdr:cNvSpPr txBox="1"/>
      </xdr:nvSpPr>
      <xdr:spPr>
        <a:xfrm>
          <a:off x="34726738" y="4409723"/>
          <a:ext cx="1180043" cy="56903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BC: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2242FT</a:t>
          </a:r>
          <a:r>
            <a:rPr lang="en-GB"/>
            <a:t> </a:t>
          </a:r>
          <a:endParaRPr lang="en-GB" sz="1100"/>
        </a:p>
      </xdr:txBody>
    </xdr:sp>
    <xdr:clientData/>
  </xdr:twoCellAnchor>
  <xdr:twoCellAnchor>
    <xdr:from>
      <xdr:col>22</xdr:col>
      <xdr:colOff>61915</xdr:colOff>
      <xdr:row>29</xdr:row>
      <xdr:rowOff>25398</xdr:rowOff>
    </xdr:from>
    <xdr:to>
      <xdr:col>23</xdr:col>
      <xdr:colOff>242889</xdr:colOff>
      <xdr:row>32</xdr:row>
      <xdr:rowOff>34923</xdr:rowOff>
    </xdr:to>
    <xdr:sp macro="" textlink="">
      <xdr:nvSpPr>
        <xdr:cNvPr id="107" name="TextBox 38">
          <a:extLst>
            <a:ext uri="{FF2B5EF4-FFF2-40B4-BE49-F238E27FC236}">
              <a16:creationId xmlns:a16="http://schemas.microsoft.com/office/drawing/2014/main" id="{CF1F99F9-A49F-4778-9F48-E202897279C9}"/>
            </a:ext>
          </a:extLst>
        </xdr:cNvPr>
        <xdr:cNvSpPr txBox="1"/>
      </xdr:nvSpPr>
      <xdr:spPr>
        <a:xfrm>
          <a:off x="41887248" y="4555065"/>
          <a:ext cx="1048808" cy="58102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4400</a:t>
          </a:r>
          <a:r>
            <a:rPr lang="en-GB"/>
            <a:t>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ft</a:t>
          </a:r>
          <a:r>
            <a:rPr lang="en-GB" sz="1100"/>
            <a:t> </a:t>
          </a:r>
        </a:p>
      </xdr:txBody>
    </xdr:sp>
    <xdr:clientData/>
  </xdr:twoCellAnchor>
  <xdr:twoCellAnchor>
    <xdr:from>
      <xdr:col>18</xdr:col>
      <xdr:colOff>141704</xdr:colOff>
      <xdr:row>32</xdr:row>
      <xdr:rowOff>175414</xdr:rowOff>
    </xdr:from>
    <xdr:to>
      <xdr:col>19</xdr:col>
      <xdr:colOff>89725</xdr:colOff>
      <xdr:row>34</xdr:row>
      <xdr:rowOff>62042</xdr:rowOff>
    </xdr:to>
    <xdr:sp macro="" textlink="">
      <xdr:nvSpPr>
        <xdr:cNvPr id="108" name="TextBox 39">
          <a:extLst>
            <a:ext uri="{FF2B5EF4-FFF2-40B4-BE49-F238E27FC236}">
              <a16:creationId xmlns:a16="http://schemas.microsoft.com/office/drawing/2014/main" id="{81153071-6BD6-4EC2-9875-53B284693546}"/>
            </a:ext>
          </a:extLst>
        </xdr:cNvPr>
        <xdr:cNvSpPr txBox="1"/>
      </xdr:nvSpPr>
      <xdr:spPr>
        <a:xfrm rot="1700255">
          <a:off x="37172787" y="5276581"/>
          <a:ext cx="1143938" cy="267628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3355 ft</a:t>
          </a:r>
          <a:r>
            <a:rPr lang="en-GB"/>
            <a:t> </a:t>
          </a:r>
          <a:endParaRPr lang="en-GB" sz="1100"/>
        </a:p>
      </xdr:txBody>
    </xdr:sp>
    <xdr:clientData/>
  </xdr:twoCellAnchor>
  <xdr:twoCellAnchor>
    <xdr:from>
      <xdr:col>20</xdr:col>
      <xdr:colOff>210119</xdr:colOff>
      <xdr:row>28</xdr:row>
      <xdr:rowOff>10168</xdr:rowOff>
    </xdr:from>
    <xdr:to>
      <xdr:col>21</xdr:col>
      <xdr:colOff>89731</xdr:colOff>
      <xdr:row>33</xdr:row>
      <xdr:rowOff>49121</xdr:rowOff>
    </xdr:to>
    <xdr:sp macro="" textlink="">
      <xdr:nvSpPr>
        <xdr:cNvPr id="109" name="TextBox 40">
          <a:extLst>
            <a:ext uri="{FF2B5EF4-FFF2-40B4-BE49-F238E27FC236}">
              <a16:creationId xmlns:a16="http://schemas.microsoft.com/office/drawing/2014/main" id="{8C0D206F-B43C-4FF0-BD41-A87682826F61}"/>
            </a:ext>
          </a:extLst>
        </xdr:cNvPr>
        <xdr:cNvSpPr txBox="1"/>
      </xdr:nvSpPr>
      <xdr:spPr>
        <a:xfrm rot="3505352">
          <a:off x="39241157" y="4487214"/>
          <a:ext cx="991453" cy="71569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4412FT</a:t>
          </a:r>
          <a:endParaRPr lang="en-GB" sz="1100"/>
        </a:p>
      </xdr:txBody>
    </xdr:sp>
    <xdr:clientData/>
  </xdr:twoCellAnchor>
  <xdr:oneCellAnchor>
    <xdr:from>
      <xdr:col>16</xdr:col>
      <xdr:colOff>39511</xdr:colOff>
      <xdr:row>14</xdr:row>
      <xdr:rowOff>3527</xdr:rowOff>
    </xdr:from>
    <xdr:ext cx="931333" cy="894645"/>
    <xdr:pic>
      <xdr:nvPicPr>
        <xdr:cNvPr id="110" name="Picture 109">
          <a:extLst>
            <a:ext uri="{FF2B5EF4-FFF2-40B4-BE49-F238E27FC236}">
              <a16:creationId xmlns:a16="http://schemas.microsoft.com/office/drawing/2014/main" id="{DA4F6308-AD59-4103-8688-6F078485C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11594" y="1675694"/>
          <a:ext cx="931333" cy="894645"/>
        </a:xfrm>
        <a:prstGeom prst="rect">
          <a:avLst/>
        </a:prstGeom>
      </xdr:spPr>
    </xdr:pic>
    <xdr:clientData/>
  </xdr:oneCellAnchor>
  <xdr:twoCellAnchor>
    <xdr:from>
      <xdr:col>16</xdr:col>
      <xdr:colOff>515055</xdr:colOff>
      <xdr:row>17</xdr:row>
      <xdr:rowOff>155222</xdr:rowOff>
    </xdr:from>
    <xdr:to>
      <xdr:col>16</xdr:col>
      <xdr:colOff>515761</xdr:colOff>
      <xdr:row>18</xdr:row>
      <xdr:rowOff>157339</xdr:rowOff>
    </xdr:to>
    <xdr:cxnSp macro="">
      <xdr:nvCxnSpPr>
        <xdr:cNvPr id="111" name="Straight Connector 110">
          <a:extLst>
            <a:ext uri="{FF2B5EF4-FFF2-40B4-BE49-F238E27FC236}">
              <a16:creationId xmlns:a16="http://schemas.microsoft.com/office/drawing/2014/main" id="{DFB6D21B-83E1-4AD2-8993-706270DBE010}"/>
            </a:ext>
          </a:extLst>
        </xdr:cNvPr>
        <xdr:cNvCxnSpPr/>
      </xdr:nvCxnSpPr>
      <xdr:spPr>
        <a:xfrm flipH="1" flipV="1">
          <a:off x="35387138" y="2398889"/>
          <a:ext cx="706" cy="192617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190500</xdr:colOff>
      <xdr:row>35</xdr:row>
      <xdr:rowOff>158750</xdr:rowOff>
    </xdr:from>
    <xdr:to>
      <xdr:col>22</xdr:col>
      <xdr:colOff>94545</xdr:colOff>
      <xdr:row>36</xdr:row>
      <xdr:rowOff>11289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726BDB85-9766-4A41-8C2B-88554D5870B6}"/>
            </a:ext>
          </a:extLst>
        </xdr:cNvPr>
        <xdr:cNvCxnSpPr>
          <a:stCxn id="98" idx="1"/>
        </xdr:cNvCxnSpPr>
      </xdr:nvCxnSpPr>
      <xdr:spPr>
        <a:xfrm flipH="1" flipV="1">
          <a:off x="33834917" y="5831417"/>
          <a:ext cx="8084961" cy="4303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677332</xdr:colOff>
      <xdr:row>8</xdr:row>
      <xdr:rowOff>328083</xdr:rowOff>
    </xdr:from>
    <xdr:to>
      <xdr:col>5</xdr:col>
      <xdr:colOff>1015999</xdr:colOff>
      <xdr:row>10</xdr:row>
      <xdr:rowOff>105833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39376D1A-2AB0-2C58-6062-7B1EC483F4AF}"/>
            </a:ext>
          </a:extLst>
        </xdr:cNvPr>
        <xdr:cNvSpPr txBox="1"/>
      </xdr:nvSpPr>
      <xdr:spPr>
        <a:xfrm>
          <a:off x="8286749" y="1852083"/>
          <a:ext cx="338667" cy="306917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1" baseline="0"/>
            <a:t> A</a:t>
          </a:r>
          <a:endParaRPr lang="en-GB" sz="1200" b="1"/>
        </a:p>
      </xdr:txBody>
    </xdr:sp>
    <xdr:clientData/>
  </xdr:twoCellAnchor>
  <xdr:twoCellAnchor>
    <xdr:from>
      <xdr:col>5</xdr:col>
      <xdr:colOff>931331</xdr:colOff>
      <xdr:row>19</xdr:row>
      <xdr:rowOff>42331</xdr:rowOff>
    </xdr:from>
    <xdr:to>
      <xdr:col>5</xdr:col>
      <xdr:colOff>1111248</xdr:colOff>
      <xdr:row>20</xdr:row>
      <xdr:rowOff>158748</xdr:rowOff>
    </xdr:to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C581A19B-E28A-36E5-D463-0E2A26380CF8}"/>
            </a:ext>
          </a:extLst>
        </xdr:cNvPr>
        <xdr:cNvSpPr txBox="1"/>
      </xdr:nvSpPr>
      <xdr:spPr>
        <a:xfrm>
          <a:off x="8540748" y="3809998"/>
          <a:ext cx="179917" cy="306917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B</a:t>
          </a:r>
        </a:p>
      </xdr:txBody>
    </xdr:sp>
    <xdr:clientData/>
  </xdr:twoCellAnchor>
  <xdr:twoCellAnchor>
    <xdr:from>
      <xdr:col>5</xdr:col>
      <xdr:colOff>1111251</xdr:colOff>
      <xdr:row>24</xdr:row>
      <xdr:rowOff>158749</xdr:rowOff>
    </xdr:from>
    <xdr:to>
      <xdr:col>5</xdr:col>
      <xdr:colOff>1481666</xdr:colOff>
      <xdr:row>26</xdr:row>
      <xdr:rowOff>0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7E70AD22-D573-E82B-2D42-BC844BE4B369}"/>
            </a:ext>
          </a:extLst>
        </xdr:cNvPr>
        <xdr:cNvSpPr txBox="1"/>
      </xdr:nvSpPr>
      <xdr:spPr>
        <a:xfrm>
          <a:off x="8720668" y="4878916"/>
          <a:ext cx="370415" cy="222251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 </a:t>
          </a:r>
          <a:r>
            <a:rPr lang="en-GB" sz="1100" b="1"/>
            <a:t>  </a:t>
          </a:r>
          <a:r>
            <a:rPr lang="en-GB" sz="1050" b="1"/>
            <a:t>C</a:t>
          </a:r>
        </a:p>
      </xdr:txBody>
    </xdr:sp>
    <xdr:clientData/>
  </xdr:twoCellAnchor>
  <xdr:oneCellAnchor>
    <xdr:from>
      <xdr:col>5</xdr:col>
      <xdr:colOff>730251</xdr:colOff>
      <xdr:row>4</xdr:row>
      <xdr:rowOff>158751</xdr:rowOff>
    </xdr:from>
    <xdr:ext cx="931333" cy="894645"/>
    <xdr:pic>
      <xdr:nvPicPr>
        <xdr:cNvPr id="117" name="Picture 116">
          <a:extLst>
            <a:ext uri="{FF2B5EF4-FFF2-40B4-BE49-F238E27FC236}">
              <a16:creationId xmlns:a16="http://schemas.microsoft.com/office/drawing/2014/main" id="{23A2DE9A-C398-4646-838C-81FD4879C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39668" y="920751"/>
          <a:ext cx="931333" cy="894645"/>
        </a:xfrm>
        <a:prstGeom prst="rect">
          <a:avLst/>
        </a:prstGeom>
      </xdr:spPr>
    </xdr:pic>
    <xdr:clientData/>
  </xdr:oneCellAnchor>
  <xdr:twoCellAnchor>
    <xdr:from>
      <xdr:col>5</xdr:col>
      <xdr:colOff>1471083</xdr:colOff>
      <xdr:row>19</xdr:row>
      <xdr:rowOff>42334</xdr:rowOff>
    </xdr:from>
    <xdr:to>
      <xdr:col>5</xdr:col>
      <xdr:colOff>1767417</xdr:colOff>
      <xdr:row>20</xdr:row>
      <xdr:rowOff>42334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6B0DBC6C-FAC8-5BDE-770C-611D2402FCE6}"/>
            </a:ext>
          </a:extLst>
        </xdr:cNvPr>
        <xdr:cNvSpPr txBox="1"/>
      </xdr:nvSpPr>
      <xdr:spPr>
        <a:xfrm>
          <a:off x="9080500" y="3810001"/>
          <a:ext cx="296334" cy="1905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900" b="1"/>
            <a:t> E</a:t>
          </a:r>
        </a:p>
      </xdr:txBody>
    </xdr:sp>
    <xdr:clientData/>
  </xdr:twoCellAnchor>
  <xdr:twoCellAnchor>
    <xdr:from>
      <xdr:col>6</xdr:col>
      <xdr:colOff>1322915</xdr:colOff>
      <xdr:row>18</xdr:row>
      <xdr:rowOff>137582</xdr:rowOff>
    </xdr:from>
    <xdr:to>
      <xdr:col>7</xdr:col>
      <xdr:colOff>275165</xdr:colOff>
      <xdr:row>19</xdr:row>
      <xdr:rowOff>158749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86753E7A-BBB0-5736-AD68-68AC1A575A17}"/>
            </a:ext>
          </a:extLst>
        </xdr:cNvPr>
        <xdr:cNvSpPr txBox="1"/>
      </xdr:nvSpPr>
      <xdr:spPr>
        <a:xfrm>
          <a:off x="10805582" y="3714749"/>
          <a:ext cx="391583" cy="211667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 </a:t>
          </a:r>
          <a:r>
            <a:rPr lang="en-GB" sz="1100" b="1"/>
            <a:t> </a:t>
          </a:r>
          <a:r>
            <a:rPr lang="en-GB" sz="1200" b="1"/>
            <a:t>O</a:t>
          </a:r>
          <a:endParaRPr lang="en-GB" sz="1100" b="1"/>
        </a:p>
      </xdr:txBody>
    </xdr:sp>
    <xdr:clientData/>
  </xdr:twoCellAnchor>
  <xdr:twoCellAnchor>
    <xdr:from>
      <xdr:col>10</xdr:col>
      <xdr:colOff>42333</xdr:colOff>
      <xdr:row>18</xdr:row>
      <xdr:rowOff>158748</xdr:rowOff>
    </xdr:from>
    <xdr:to>
      <xdr:col>10</xdr:col>
      <xdr:colOff>433916</xdr:colOff>
      <xdr:row>19</xdr:row>
      <xdr:rowOff>179915</xdr:rowOff>
    </xdr:to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BF6F89E5-7313-4EA5-F11C-46424D212884}"/>
            </a:ext>
          </a:extLst>
        </xdr:cNvPr>
        <xdr:cNvSpPr txBox="1"/>
      </xdr:nvSpPr>
      <xdr:spPr>
        <a:xfrm>
          <a:off x="14806083" y="3735915"/>
          <a:ext cx="391583" cy="211667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 </a:t>
          </a:r>
          <a:r>
            <a:rPr lang="en-GB" sz="1100" b="1"/>
            <a:t> </a:t>
          </a:r>
          <a:r>
            <a:rPr lang="en-GB" sz="1200" b="1"/>
            <a:t>P</a:t>
          </a:r>
          <a:endParaRPr lang="en-GB" sz="1100" b="1"/>
        </a:p>
      </xdr:txBody>
    </xdr:sp>
    <xdr:clientData/>
  </xdr:twoCellAnchor>
  <xdr:twoCellAnchor>
    <xdr:from>
      <xdr:col>10</xdr:col>
      <xdr:colOff>137583</xdr:colOff>
      <xdr:row>40</xdr:row>
      <xdr:rowOff>31747</xdr:rowOff>
    </xdr:from>
    <xdr:to>
      <xdr:col>10</xdr:col>
      <xdr:colOff>529166</xdr:colOff>
      <xdr:row>41</xdr:row>
      <xdr:rowOff>105833</xdr:rowOff>
    </xdr:to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EBF715B4-1542-E230-FE89-2893E2282356}"/>
            </a:ext>
          </a:extLst>
        </xdr:cNvPr>
        <xdr:cNvSpPr txBox="1"/>
      </xdr:nvSpPr>
      <xdr:spPr>
        <a:xfrm>
          <a:off x="14901333" y="7799914"/>
          <a:ext cx="391583" cy="264586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 </a:t>
          </a:r>
          <a:r>
            <a:rPr lang="en-GB" sz="1100" b="1"/>
            <a:t> </a:t>
          </a:r>
          <a:r>
            <a:rPr lang="en-GB" sz="1200" b="1"/>
            <a:t>T</a:t>
          </a:r>
          <a:endParaRPr lang="en-GB" sz="1100" b="1"/>
        </a:p>
      </xdr:txBody>
    </xdr:sp>
    <xdr:clientData/>
  </xdr:twoCellAnchor>
  <xdr:twoCellAnchor>
    <xdr:from>
      <xdr:col>5</xdr:col>
      <xdr:colOff>878416</xdr:colOff>
      <xdr:row>39</xdr:row>
      <xdr:rowOff>103715</xdr:rowOff>
    </xdr:from>
    <xdr:to>
      <xdr:col>5</xdr:col>
      <xdr:colOff>1862665</xdr:colOff>
      <xdr:row>41</xdr:row>
      <xdr:rowOff>31749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BB54036A-77F8-8691-8299-F160736BE69F}"/>
            </a:ext>
          </a:extLst>
        </xdr:cNvPr>
        <xdr:cNvSpPr txBox="1"/>
      </xdr:nvSpPr>
      <xdr:spPr>
        <a:xfrm>
          <a:off x="8487833" y="7681382"/>
          <a:ext cx="984249" cy="309034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TVD 9000 FT</a:t>
          </a:r>
        </a:p>
      </xdr:txBody>
    </xdr:sp>
    <xdr:clientData/>
  </xdr:twoCellAnchor>
  <xdr:twoCellAnchor>
    <xdr:from>
      <xdr:col>5</xdr:col>
      <xdr:colOff>1735667</xdr:colOff>
      <xdr:row>15</xdr:row>
      <xdr:rowOff>146050</xdr:rowOff>
    </xdr:from>
    <xdr:to>
      <xdr:col>6</xdr:col>
      <xdr:colOff>783166</xdr:colOff>
      <xdr:row>16</xdr:row>
      <xdr:rowOff>169334</xdr:rowOff>
    </xdr:to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AAD7078C-F782-1E40-2D0C-AF3B4E6259FE}"/>
            </a:ext>
          </a:extLst>
        </xdr:cNvPr>
        <xdr:cNvSpPr txBox="1"/>
      </xdr:nvSpPr>
      <xdr:spPr>
        <a:xfrm>
          <a:off x="9345084" y="3151717"/>
          <a:ext cx="920749" cy="213784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2293 FT</a:t>
          </a:r>
        </a:p>
      </xdr:txBody>
    </xdr:sp>
    <xdr:clientData/>
  </xdr:twoCellAnchor>
  <xdr:twoCellAnchor>
    <xdr:from>
      <xdr:col>7</xdr:col>
      <xdr:colOff>0</xdr:colOff>
      <xdr:row>11</xdr:row>
      <xdr:rowOff>177798</xdr:rowOff>
    </xdr:from>
    <xdr:to>
      <xdr:col>7</xdr:col>
      <xdr:colOff>920749</xdr:colOff>
      <xdr:row>13</xdr:row>
      <xdr:rowOff>52915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8572F424-B289-3394-75A0-593C0AD378D7}"/>
            </a:ext>
          </a:extLst>
        </xdr:cNvPr>
        <xdr:cNvSpPr txBox="1"/>
      </xdr:nvSpPr>
      <xdr:spPr>
        <a:xfrm>
          <a:off x="10922000" y="2421465"/>
          <a:ext cx="920749" cy="256117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3116 FT</a:t>
          </a:r>
        </a:p>
      </xdr:txBody>
    </xdr:sp>
    <xdr:clientData/>
  </xdr:twoCellAnchor>
  <xdr:twoCellAnchor>
    <xdr:from>
      <xdr:col>10</xdr:col>
      <xdr:colOff>381001</xdr:colOff>
      <xdr:row>27</xdr:row>
      <xdr:rowOff>40216</xdr:rowOff>
    </xdr:from>
    <xdr:to>
      <xdr:col>11</xdr:col>
      <xdr:colOff>137583</xdr:colOff>
      <xdr:row>29</xdr:row>
      <xdr:rowOff>116415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C23E673A-A716-7112-B6BE-6C44E2AC5431}"/>
            </a:ext>
          </a:extLst>
        </xdr:cNvPr>
        <xdr:cNvSpPr txBox="1"/>
      </xdr:nvSpPr>
      <xdr:spPr>
        <a:xfrm>
          <a:off x="15144751" y="5331883"/>
          <a:ext cx="1047749" cy="457199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5700 FT</a:t>
          </a:r>
        </a:p>
      </xdr:txBody>
    </xdr:sp>
    <xdr:clientData/>
  </xdr:twoCellAnchor>
  <xdr:twoCellAnchor>
    <xdr:from>
      <xdr:col>6</xdr:col>
      <xdr:colOff>1703916</xdr:colOff>
      <xdr:row>33</xdr:row>
      <xdr:rowOff>82549</xdr:rowOff>
    </xdr:from>
    <xdr:to>
      <xdr:col>6</xdr:col>
      <xdr:colOff>2349499</xdr:colOff>
      <xdr:row>35</xdr:row>
      <xdr:rowOff>31750</xdr:rowOff>
    </xdr:to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64FB74D9-CA12-DEB6-FE4A-06BA8935C36B}"/>
            </a:ext>
          </a:extLst>
        </xdr:cNvPr>
        <xdr:cNvSpPr txBox="1"/>
      </xdr:nvSpPr>
      <xdr:spPr>
        <a:xfrm>
          <a:off x="11186583" y="6517216"/>
          <a:ext cx="645583" cy="330201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5283 FT</a:t>
          </a:r>
        </a:p>
      </xdr:txBody>
    </xdr:sp>
    <xdr:clientData/>
  </xdr:twoCellAnchor>
  <xdr:twoCellAnchor>
    <xdr:from>
      <xdr:col>5</xdr:col>
      <xdr:colOff>1534583</xdr:colOff>
      <xdr:row>21</xdr:row>
      <xdr:rowOff>8465</xdr:rowOff>
    </xdr:from>
    <xdr:to>
      <xdr:col>6</xdr:col>
      <xdr:colOff>317500</xdr:colOff>
      <xdr:row>22</xdr:row>
      <xdr:rowOff>52916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2F045271-55AA-1C88-BD6B-A752446188F3}"/>
            </a:ext>
          </a:extLst>
        </xdr:cNvPr>
        <xdr:cNvSpPr txBox="1"/>
      </xdr:nvSpPr>
      <xdr:spPr>
        <a:xfrm>
          <a:off x="9144000" y="4157132"/>
          <a:ext cx="656167" cy="234951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1204 FT</a:t>
          </a:r>
        </a:p>
      </xdr:txBody>
    </xdr:sp>
    <xdr:clientData/>
  </xdr:twoCellAnchor>
  <xdr:twoCellAnchor>
    <xdr:from>
      <xdr:col>4</xdr:col>
      <xdr:colOff>1397001</xdr:colOff>
      <xdr:row>19</xdr:row>
      <xdr:rowOff>52916</xdr:rowOff>
    </xdr:from>
    <xdr:to>
      <xdr:col>5</xdr:col>
      <xdr:colOff>889000</xdr:colOff>
      <xdr:row>20</xdr:row>
      <xdr:rowOff>169332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17E66694-0405-6331-DBE3-6AB9F667A477}"/>
            </a:ext>
          </a:extLst>
        </xdr:cNvPr>
        <xdr:cNvSpPr txBox="1"/>
      </xdr:nvSpPr>
      <xdr:spPr>
        <a:xfrm>
          <a:off x="7461251" y="3820583"/>
          <a:ext cx="1037166" cy="306916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     KOP3300 FT</a:t>
          </a:r>
        </a:p>
      </xdr:txBody>
    </xdr:sp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0.69901</cdr:x>
      <cdr:y>0.37148</cdr:y>
    </cdr:from>
    <cdr:to>
      <cdr:x>0.69901</cdr:x>
      <cdr:y>0.88141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2F7CD1CC-89C7-F7B6-DF8A-61969D46B273}"/>
            </a:ext>
          </a:extLst>
        </cdr:cNvPr>
        <cdr:cNvCxnSpPr/>
      </cdr:nvCxnSpPr>
      <cdr:spPr>
        <a:xfrm xmlns:a="http://schemas.openxmlformats.org/drawingml/2006/main">
          <a:off x="7471832" y="2652183"/>
          <a:ext cx="0" cy="3640667"/>
        </a:xfrm>
        <a:prstGeom xmlns:a="http://schemas.openxmlformats.org/drawingml/2006/main" prst="straightConnector1">
          <a:avLst/>
        </a:prstGeom>
        <a:ln xmlns:a="http://schemas.openxmlformats.org/drawingml/2006/main" w="19050">
          <a:headEnd type="triangle"/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0.69505</cdr:x>
      <cdr:y>0.54195</cdr:y>
    </cdr:from>
    <cdr:to>
      <cdr:x>0.76337</cdr:x>
      <cdr:y>0.58494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8884CDF-5148-01D9-2CF1-710480925BAE}"/>
            </a:ext>
          </a:extLst>
        </cdr:cNvPr>
        <cdr:cNvSpPr txBox="1"/>
      </cdr:nvSpPr>
      <cdr:spPr>
        <a:xfrm xmlns:a="http://schemas.openxmlformats.org/drawingml/2006/main">
          <a:off x="7429499" y="3869267"/>
          <a:ext cx="730250" cy="3069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 sz="1100" kern="1200"/>
        </a:p>
      </cdr:txBody>
    </cdr:sp>
  </cdr:relSizeAnchor>
  <cdr:relSizeAnchor xmlns:cdr="http://schemas.openxmlformats.org/drawingml/2006/chartDrawing">
    <cdr:from>
      <cdr:x>0.11683</cdr:x>
      <cdr:y>0.27957</cdr:y>
    </cdr:from>
    <cdr:to>
      <cdr:x>0.31485</cdr:x>
      <cdr:y>0.27957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4E090283-165F-453A-80E3-C0D2512B1A5E}"/>
            </a:ext>
          </a:extLst>
        </cdr:cNvPr>
        <cdr:cNvCxnSpPr/>
      </cdr:nvCxnSpPr>
      <cdr:spPr>
        <a:xfrm xmlns:a="http://schemas.openxmlformats.org/drawingml/2006/main" flipH="1" flipV="1">
          <a:off x="1248833" y="1996016"/>
          <a:ext cx="2116667" cy="0"/>
        </a:xfrm>
        <a:prstGeom xmlns:a="http://schemas.openxmlformats.org/drawingml/2006/main" prst="straightConnector1">
          <a:avLst/>
        </a:prstGeom>
        <a:ln xmlns:a="http://schemas.openxmlformats.org/drawingml/2006/main" w="19050">
          <a:headEnd type="triangle"/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0.07228</cdr:x>
      <cdr:y>0.09428</cdr:y>
    </cdr:from>
    <cdr:to>
      <cdr:x>0.07228</cdr:x>
      <cdr:y>0.89772</cdr:y>
    </cdr:to>
    <cdr:cxnSp macro="">
      <cdr:nvCxnSpPr>
        <cdr:cNvPr id="14" name="Straight Arrow Connector 13">
          <a:extLst xmlns:a="http://schemas.openxmlformats.org/drawingml/2006/main">
            <a:ext uri="{FF2B5EF4-FFF2-40B4-BE49-F238E27FC236}">
              <a16:creationId xmlns:a16="http://schemas.microsoft.com/office/drawing/2014/main" id="{830B3083-04A2-F8B2-1042-AC3B0ADE661A}"/>
            </a:ext>
          </a:extLst>
        </cdr:cNvPr>
        <cdr:cNvCxnSpPr/>
      </cdr:nvCxnSpPr>
      <cdr:spPr>
        <a:xfrm xmlns:a="http://schemas.openxmlformats.org/drawingml/2006/main" flipH="1" flipV="1">
          <a:off x="772582" y="673100"/>
          <a:ext cx="0" cy="5736167"/>
        </a:xfrm>
        <a:prstGeom xmlns:a="http://schemas.openxmlformats.org/drawingml/2006/main" prst="straightConnector1">
          <a:avLst/>
        </a:prstGeom>
        <a:ln xmlns:a="http://schemas.openxmlformats.org/drawingml/2006/main" w="19050">
          <a:headEnd type="triangle"/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0.01168</cdr:x>
      <cdr:y>0.41817</cdr:y>
    </cdr:from>
    <cdr:to>
      <cdr:x>0.07525</cdr:x>
      <cdr:y>0.46783</cdr:y>
    </cdr:to>
    <cdr:sp macro="" textlink="">
      <cdr:nvSpPr>
        <cdr:cNvPr id="18" name="TextBox 17">
          <a:extLst xmlns:a="http://schemas.openxmlformats.org/drawingml/2006/main">
            <a:ext uri="{FF2B5EF4-FFF2-40B4-BE49-F238E27FC236}">
              <a16:creationId xmlns:a16="http://schemas.microsoft.com/office/drawing/2014/main" id="{2CC563F0-CEB4-1F54-25BB-26A02C18F3F8}"/>
            </a:ext>
          </a:extLst>
        </cdr:cNvPr>
        <cdr:cNvSpPr txBox="1"/>
      </cdr:nvSpPr>
      <cdr:spPr>
        <a:xfrm xmlns:a="http://schemas.openxmlformats.org/drawingml/2006/main">
          <a:off x="124882" y="2985558"/>
          <a:ext cx="679449" cy="3545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 sz="1100" kern="1200"/>
        </a:p>
      </cdr:txBody>
    </cdr:sp>
  </cdr:relSizeAnchor>
  <cdr:relSizeAnchor xmlns:cdr="http://schemas.openxmlformats.org/drawingml/2006/chartDrawing">
    <cdr:from>
      <cdr:x>0.11782</cdr:x>
      <cdr:y>0.17581</cdr:y>
    </cdr:from>
    <cdr:to>
      <cdr:x>0.67129</cdr:x>
      <cdr:y>0.17581</cdr:y>
    </cdr:to>
    <cdr:cxnSp macro="">
      <cdr:nvCxnSpPr>
        <cdr:cNvPr id="20" name="Straight Arrow Connector 19">
          <a:extLst xmlns:a="http://schemas.openxmlformats.org/drawingml/2006/main">
            <a:ext uri="{FF2B5EF4-FFF2-40B4-BE49-F238E27FC236}">
              <a16:creationId xmlns:a16="http://schemas.microsoft.com/office/drawing/2014/main" id="{87A34777-65E3-95C9-AC16-2D0C4ECBE3AD}"/>
            </a:ext>
          </a:extLst>
        </cdr:cNvPr>
        <cdr:cNvCxnSpPr/>
      </cdr:nvCxnSpPr>
      <cdr:spPr>
        <a:xfrm xmlns:a="http://schemas.openxmlformats.org/drawingml/2006/main" flipH="1">
          <a:off x="1259416" y="1255183"/>
          <a:ext cx="5916083" cy="0"/>
        </a:xfrm>
        <a:prstGeom xmlns:a="http://schemas.openxmlformats.org/drawingml/2006/main" prst="straightConnector1">
          <a:avLst/>
        </a:prstGeom>
        <a:ln xmlns:a="http://schemas.openxmlformats.org/drawingml/2006/main" w="19050">
          <a:headEnd type="triangle"/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0.14059</cdr:x>
      <cdr:y>0.50934</cdr:y>
    </cdr:from>
    <cdr:to>
      <cdr:x>0.66139</cdr:x>
      <cdr:y>0.91391</cdr:y>
    </cdr:to>
    <cdr:cxnSp macro="">
      <cdr:nvCxnSpPr>
        <cdr:cNvPr id="26" name="Straight Arrow Connector 25">
          <a:extLst xmlns:a="http://schemas.openxmlformats.org/drawingml/2006/main">
            <a:ext uri="{FF2B5EF4-FFF2-40B4-BE49-F238E27FC236}">
              <a16:creationId xmlns:a16="http://schemas.microsoft.com/office/drawing/2014/main" id="{2EDB6DB9-D58A-432A-4BAA-8560EE1E6033}"/>
            </a:ext>
          </a:extLst>
        </cdr:cNvPr>
        <cdr:cNvCxnSpPr/>
      </cdr:nvCxnSpPr>
      <cdr:spPr>
        <a:xfrm xmlns:a="http://schemas.openxmlformats.org/drawingml/2006/main" flipH="1" flipV="1">
          <a:off x="1502833" y="3636434"/>
          <a:ext cx="5566832" cy="2888416"/>
        </a:xfrm>
        <a:prstGeom xmlns:a="http://schemas.openxmlformats.org/drawingml/2006/main" prst="straightConnector1">
          <a:avLst/>
        </a:prstGeom>
        <a:ln xmlns:a="http://schemas.openxmlformats.org/drawingml/2006/main" w="19050">
          <a:headEnd type="triangle"/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0.11683</cdr:x>
      <cdr:y>0.34035</cdr:y>
    </cdr:from>
    <cdr:to>
      <cdr:x>0.14041</cdr:x>
      <cdr:y>0.34035</cdr:y>
    </cdr:to>
    <cdr:cxnSp macro="">
      <cdr:nvCxnSpPr>
        <cdr:cNvPr id="29" name="Straight Arrow Connector 28">
          <a:extLst xmlns:a="http://schemas.openxmlformats.org/drawingml/2006/main">
            <a:ext uri="{FF2B5EF4-FFF2-40B4-BE49-F238E27FC236}">
              <a16:creationId xmlns:a16="http://schemas.microsoft.com/office/drawing/2014/main" id="{519A7317-642E-88FB-64B7-6E7EC847C4D1}"/>
            </a:ext>
          </a:extLst>
        </cdr:cNvPr>
        <cdr:cNvCxnSpPr/>
      </cdr:nvCxnSpPr>
      <cdr:spPr>
        <a:xfrm xmlns:a="http://schemas.openxmlformats.org/drawingml/2006/main" flipH="1" flipV="1">
          <a:off x="1248832" y="2429932"/>
          <a:ext cx="252000" cy="0"/>
        </a:xfrm>
        <a:prstGeom xmlns:a="http://schemas.openxmlformats.org/drawingml/2006/main" prst="straightConnector1">
          <a:avLst/>
        </a:prstGeom>
        <a:ln xmlns:a="http://schemas.openxmlformats.org/drawingml/2006/main" w="19050">
          <a:headEnd type="triangle"/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0.10198</cdr:x>
      <cdr:y>0.35517</cdr:y>
    </cdr:from>
    <cdr:to>
      <cdr:x>0.14356</cdr:x>
      <cdr:y>0.47376</cdr:y>
    </cdr:to>
    <cdr:sp macro="" textlink="">
      <cdr:nvSpPr>
        <cdr:cNvPr id="39" name="Freeform: Shape 38">
          <a:extLst xmlns:a="http://schemas.openxmlformats.org/drawingml/2006/main">
            <a:ext uri="{FF2B5EF4-FFF2-40B4-BE49-F238E27FC236}">
              <a16:creationId xmlns:a16="http://schemas.microsoft.com/office/drawing/2014/main" id="{AA4A60F3-38DC-1DFF-6812-6922BD07E7D5}"/>
            </a:ext>
          </a:extLst>
        </cdr:cNvPr>
        <cdr:cNvSpPr/>
      </cdr:nvSpPr>
      <cdr:spPr>
        <a:xfrm xmlns:a="http://schemas.openxmlformats.org/drawingml/2006/main">
          <a:off x="1090082" y="2535767"/>
          <a:ext cx="444500" cy="846666"/>
        </a:xfrm>
        <a:custGeom xmlns:a="http://schemas.openxmlformats.org/drawingml/2006/main">
          <a:avLst/>
          <a:gdLst>
            <a:gd name="connsiteX0" fmla="*/ 107917 w 605334"/>
            <a:gd name="connsiteY0" fmla="*/ 0 h 730250"/>
            <a:gd name="connsiteX1" fmla="*/ 2084 w 605334"/>
            <a:gd name="connsiteY1" fmla="*/ 370417 h 730250"/>
            <a:gd name="connsiteX2" fmla="*/ 192584 w 605334"/>
            <a:gd name="connsiteY2" fmla="*/ 635000 h 730250"/>
            <a:gd name="connsiteX3" fmla="*/ 605334 w 605334"/>
            <a:gd name="connsiteY3" fmla="*/ 730250 h 730250"/>
            <a:gd name="connsiteX4" fmla="*/ 605334 w 605334"/>
            <a:gd name="connsiteY4" fmla="*/ 730250 h 730250"/>
            <a:gd name="connsiteX5" fmla="*/ 594751 w 605334"/>
            <a:gd name="connsiteY5" fmla="*/ 730250 h 7302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605334" h="730250">
              <a:moveTo>
                <a:pt x="107917" y="0"/>
              </a:moveTo>
              <a:cubicBezTo>
                <a:pt x="47945" y="132292"/>
                <a:pt x="-12027" y="264584"/>
                <a:pt x="2084" y="370417"/>
              </a:cubicBezTo>
              <a:cubicBezTo>
                <a:pt x="16195" y="476250"/>
                <a:pt x="92042" y="575028"/>
                <a:pt x="192584" y="635000"/>
              </a:cubicBezTo>
              <a:cubicBezTo>
                <a:pt x="293126" y="694972"/>
                <a:pt x="536542" y="714375"/>
                <a:pt x="605334" y="730250"/>
              </a:cubicBezTo>
              <a:lnTo>
                <a:pt x="605334" y="730250"/>
              </a:lnTo>
              <a:lnTo>
                <a:pt x="594751" y="730250"/>
              </a:lnTo>
            </a:path>
          </a:pathLst>
        </a:custGeom>
        <a:noFill xmlns:a="http://schemas.openxmlformats.org/drawingml/2006/main"/>
        <a:ln xmlns:a="http://schemas.openxmlformats.org/drawingml/2006/main" w="28575">
          <a:solidFill>
            <a:schemeClr val="tx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GB" kern="1200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679589</xdr:colOff>
      <xdr:row>13</xdr:row>
      <xdr:rowOff>127137</xdr:rowOff>
    </xdr:from>
    <xdr:to>
      <xdr:col>10</xdr:col>
      <xdr:colOff>207063</xdr:colOff>
      <xdr:row>22</xdr:row>
      <xdr:rowOff>132521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019D04B-9039-4DB5-AF3D-9FB629F58EA5}"/>
            </a:ext>
          </a:extLst>
        </xdr:cNvPr>
        <xdr:cNvGrpSpPr/>
      </xdr:nvGrpSpPr>
      <xdr:grpSpPr>
        <a:xfrm>
          <a:off x="6916393" y="3266246"/>
          <a:ext cx="4828344" cy="1910384"/>
          <a:chOff x="8431244" y="3017768"/>
          <a:chExt cx="2933235" cy="125730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86A31DC8-4A6C-AED4-FC28-D7647107BA89}"/>
              </a:ext>
            </a:extLst>
          </xdr:cNvPr>
          <xdr:cNvSpPr/>
        </xdr:nvSpPr>
        <xdr:spPr>
          <a:xfrm>
            <a:off x="8569546" y="3074918"/>
            <a:ext cx="248199" cy="1095375"/>
          </a:xfrm>
          <a:prstGeom prst="rect">
            <a:avLst/>
          </a:prstGeom>
          <a:solidFill>
            <a:schemeClr val="bg1">
              <a:lumMod val="6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2D3DA90D-1C78-60D1-AD7B-0C4885D2CD03}"/>
              </a:ext>
            </a:extLst>
          </xdr:cNvPr>
          <xdr:cNvGrpSpPr/>
        </xdr:nvGrpSpPr>
        <xdr:grpSpPr>
          <a:xfrm>
            <a:off x="8431244" y="3017768"/>
            <a:ext cx="2933235" cy="1257300"/>
            <a:chOff x="8431244" y="3017768"/>
            <a:chExt cx="2933235" cy="1257300"/>
          </a:xfrm>
        </xdr:grpSpPr>
        <xdr:grpSp>
          <xdr:nvGrpSpPr>
            <xdr:cNvPr id="5" name="Group 4">
              <a:extLst>
                <a:ext uri="{FF2B5EF4-FFF2-40B4-BE49-F238E27FC236}">
                  <a16:creationId xmlns:a16="http://schemas.microsoft.com/office/drawing/2014/main" id="{B0B52AD1-962C-0E85-D94F-136DCB843077}"/>
                </a:ext>
              </a:extLst>
            </xdr:cNvPr>
            <xdr:cNvGrpSpPr/>
          </xdr:nvGrpSpPr>
          <xdr:grpSpPr>
            <a:xfrm>
              <a:off x="8431244" y="3017768"/>
              <a:ext cx="2933235" cy="685800"/>
              <a:chOff x="8431244" y="3017768"/>
              <a:chExt cx="2933235" cy="685800"/>
            </a:xfrm>
          </xdr:grpSpPr>
          <xdr:cxnSp macro="">
            <xdr:nvCxnSpPr>
              <xdr:cNvPr id="12" name="Straight Connector 11">
                <a:extLst>
                  <a:ext uri="{FF2B5EF4-FFF2-40B4-BE49-F238E27FC236}">
                    <a16:creationId xmlns:a16="http://schemas.microsoft.com/office/drawing/2014/main" id="{7BA83C66-44A6-9232-A6CA-784F0DC6BD33}"/>
                  </a:ext>
                </a:extLst>
              </xdr:cNvPr>
              <xdr:cNvCxnSpPr/>
            </xdr:nvCxnSpPr>
            <xdr:spPr>
              <a:xfrm>
                <a:off x="8540907" y="3017768"/>
                <a:ext cx="9546" cy="685800"/>
              </a:xfrm>
              <a:prstGeom prst="line">
                <a:avLst/>
              </a:prstGeom>
              <a:solidFill>
                <a:schemeClr val="tx1"/>
              </a:solidFill>
              <a:ln w="63500"/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Straight Connector 12">
                <a:extLst>
                  <a:ext uri="{FF2B5EF4-FFF2-40B4-BE49-F238E27FC236}">
                    <a16:creationId xmlns:a16="http://schemas.microsoft.com/office/drawing/2014/main" id="{7D404C46-C921-EDD8-3E9C-AF41B5612167}"/>
                  </a:ext>
                </a:extLst>
              </xdr:cNvPr>
              <xdr:cNvCxnSpPr/>
            </xdr:nvCxnSpPr>
            <xdr:spPr>
              <a:xfrm>
                <a:off x="11252000" y="3017768"/>
                <a:ext cx="9546" cy="666750"/>
              </a:xfrm>
              <a:prstGeom prst="line">
                <a:avLst/>
              </a:prstGeom>
              <a:solidFill>
                <a:schemeClr val="tx1"/>
              </a:solidFill>
              <a:ln w="63500"/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4" name="Right Triangle 13">
                <a:extLst>
                  <a:ext uri="{FF2B5EF4-FFF2-40B4-BE49-F238E27FC236}">
                    <a16:creationId xmlns:a16="http://schemas.microsoft.com/office/drawing/2014/main" id="{37228AD2-49AD-C4FE-9123-7BCFC21E01F3}"/>
                  </a:ext>
                </a:extLst>
              </xdr:cNvPr>
              <xdr:cNvSpPr/>
            </xdr:nvSpPr>
            <xdr:spPr>
              <a:xfrm rot="16200000">
                <a:off x="8426608" y="3581052"/>
                <a:ext cx="123825" cy="114553"/>
              </a:xfrm>
              <a:prstGeom prst="rtTriangle">
                <a:avLst/>
              </a:prstGeom>
              <a:solidFill>
                <a:schemeClr val="tx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15" name="Right Triangle 14">
                <a:extLst>
                  <a:ext uri="{FF2B5EF4-FFF2-40B4-BE49-F238E27FC236}">
                    <a16:creationId xmlns:a16="http://schemas.microsoft.com/office/drawing/2014/main" id="{C0A16613-62C6-5567-33AF-A659A9E61463}"/>
                  </a:ext>
                </a:extLst>
              </xdr:cNvPr>
              <xdr:cNvSpPr/>
            </xdr:nvSpPr>
            <xdr:spPr>
              <a:xfrm>
                <a:off x="11249926" y="3557367"/>
                <a:ext cx="114553" cy="123825"/>
              </a:xfrm>
              <a:prstGeom prst="rtTriangle">
                <a:avLst/>
              </a:prstGeom>
              <a:solidFill>
                <a:schemeClr val="tx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</xdr:grpSp>
        <xdr:grpSp>
          <xdr:nvGrpSpPr>
            <xdr:cNvPr id="6" name="Group 5">
              <a:extLst>
                <a:ext uri="{FF2B5EF4-FFF2-40B4-BE49-F238E27FC236}">
                  <a16:creationId xmlns:a16="http://schemas.microsoft.com/office/drawing/2014/main" id="{142A71FC-7D73-4EDC-E33E-ABAE4DD08B1C}"/>
                </a:ext>
              </a:extLst>
            </xdr:cNvPr>
            <xdr:cNvGrpSpPr/>
          </xdr:nvGrpSpPr>
          <xdr:grpSpPr>
            <a:xfrm>
              <a:off x="8687609" y="3046343"/>
              <a:ext cx="2442818" cy="1228725"/>
              <a:chOff x="8687609" y="3046343"/>
              <a:chExt cx="2442818" cy="1228725"/>
            </a:xfrm>
          </xdr:grpSpPr>
          <xdr:cxnSp macro="">
            <xdr:nvCxnSpPr>
              <xdr:cNvPr id="8" name="Straight Connector 7">
                <a:extLst>
                  <a:ext uri="{FF2B5EF4-FFF2-40B4-BE49-F238E27FC236}">
                    <a16:creationId xmlns:a16="http://schemas.microsoft.com/office/drawing/2014/main" id="{08E9BF6A-31AD-BE96-C161-E49F5E57A89F}"/>
                  </a:ext>
                </a:extLst>
              </xdr:cNvPr>
              <xdr:cNvCxnSpPr/>
            </xdr:nvCxnSpPr>
            <xdr:spPr>
              <a:xfrm>
                <a:off x="8827290" y="3046343"/>
                <a:ext cx="0" cy="1228725"/>
              </a:xfrm>
              <a:prstGeom prst="line">
                <a:avLst/>
              </a:prstGeom>
              <a:ln w="50800">
                <a:solidFill>
                  <a:schemeClr val="tx1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Straight Connector 8">
                <a:extLst>
                  <a:ext uri="{FF2B5EF4-FFF2-40B4-BE49-F238E27FC236}">
                    <a16:creationId xmlns:a16="http://schemas.microsoft.com/office/drawing/2014/main" id="{05E2EE43-0F57-5C50-24EE-91DFCE86F51B}"/>
                  </a:ext>
                </a:extLst>
              </xdr:cNvPr>
              <xdr:cNvCxnSpPr/>
            </xdr:nvCxnSpPr>
            <xdr:spPr>
              <a:xfrm>
                <a:off x="10984709" y="3046343"/>
                <a:ext cx="0" cy="1228725"/>
              </a:xfrm>
              <a:prstGeom prst="line">
                <a:avLst/>
              </a:prstGeom>
              <a:ln w="50800">
                <a:solidFill>
                  <a:schemeClr val="tx1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0" name="Right Triangle 9">
                <a:extLst>
                  <a:ext uri="{FF2B5EF4-FFF2-40B4-BE49-F238E27FC236}">
                    <a16:creationId xmlns:a16="http://schemas.microsoft.com/office/drawing/2014/main" id="{EE9AB8C0-E380-C192-4C0E-8340BB800572}"/>
                  </a:ext>
                </a:extLst>
              </xdr:cNvPr>
              <xdr:cNvSpPr/>
            </xdr:nvSpPr>
            <xdr:spPr>
              <a:xfrm>
                <a:off x="10996782" y="4163095"/>
                <a:ext cx="133645" cy="104775"/>
              </a:xfrm>
              <a:prstGeom prst="rtTriangle">
                <a:avLst/>
              </a:prstGeom>
              <a:solidFill>
                <a:schemeClr val="tx1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11" name="Right Triangle 10">
                <a:extLst>
                  <a:ext uri="{FF2B5EF4-FFF2-40B4-BE49-F238E27FC236}">
                    <a16:creationId xmlns:a16="http://schemas.microsoft.com/office/drawing/2014/main" id="{6F47E1BF-FC0F-84B4-6FBD-B0F5967AC059}"/>
                  </a:ext>
                </a:extLst>
              </xdr:cNvPr>
              <xdr:cNvSpPr/>
            </xdr:nvSpPr>
            <xdr:spPr>
              <a:xfrm rot="16200000">
                <a:off x="8711590" y="4143878"/>
                <a:ext cx="104775" cy="152738"/>
              </a:xfrm>
              <a:prstGeom prst="rtTriangle">
                <a:avLst/>
              </a:prstGeom>
              <a:solidFill>
                <a:schemeClr val="tx1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</xdr:grpSp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7402166C-CFFE-CBB4-E30B-103729121E8C}"/>
                </a:ext>
              </a:extLst>
            </xdr:cNvPr>
            <xdr:cNvSpPr/>
          </xdr:nvSpPr>
          <xdr:spPr>
            <a:xfrm>
              <a:off x="10991022" y="3074919"/>
              <a:ext cx="232341" cy="1066385"/>
            </a:xfrm>
            <a:prstGeom prst="rect">
              <a:avLst/>
            </a:prstGeom>
            <a:solidFill>
              <a:schemeClr val="bg1">
                <a:lumMod val="6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</xdr:grpSp>
    </xdr:grpSp>
    <xdr:clientData/>
  </xdr:twoCellAnchor>
  <xdr:twoCellAnchor>
    <xdr:from>
      <xdr:col>7</xdr:col>
      <xdr:colOff>8285</xdr:colOff>
      <xdr:row>36</xdr:row>
      <xdr:rowOff>19050</xdr:rowOff>
    </xdr:from>
    <xdr:to>
      <xdr:col>10</xdr:col>
      <xdr:colOff>220321</xdr:colOff>
      <xdr:row>45</xdr:row>
      <xdr:rowOff>19050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78CA2899-C120-495D-854E-399DC0EB5FCE}"/>
            </a:ext>
          </a:extLst>
        </xdr:cNvPr>
        <xdr:cNvGrpSpPr/>
      </xdr:nvGrpSpPr>
      <xdr:grpSpPr>
        <a:xfrm>
          <a:off x="6990524" y="8409333"/>
          <a:ext cx="4767471" cy="1731065"/>
          <a:chOff x="8523621" y="8010525"/>
          <a:chExt cx="2974308" cy="1905000"/>
        </a:xfrm>
      </xdr:grpSpPr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963D43DB-F8DA-6467-75C1-6835A59BC1FA}"/>
              </a:ext>
            </a:extLst>
          </xdr:cNvPr>
          <xdr:cNvGrpSpPr/>
        </xdr:nvGrpSpPr>
        <xdr:grpSpPr>
          <a:xfrm>
            <a:off x="8523621" y="8010525"/>
            <a:ext cx="2974308" cy="1905000"/>
            <a:chOff x="8523621" y="8010525"/>
            <a:chExt cx="2974308" cy="1905000"/>
          </a:xfrm>
        </xdr:grpSpPr>
        <xdr:grpSp>
          <xdr:nvGrpSpPr>
            <xdr:cNvPr id="22" name="Group 21">
              <a:extLst>
                <a:ext uri="{FF2B5EF4-FFF2-40B4-BE49-F238E27FC236}">
                  <a16:creationId xmlns:a16="http://schemas.microsoft.com/office/drawing/2014/main" id="{02F91CE0-AF70-3C1F-42FF-7DC312EADBF2}"/>
                </a:ext>
              </a:extLst>
            </xdr:cNvPr>
            <xdr:cNvGrpSpPr/>
          </xdr:nvGrpSpPr>
          <xdr:grpSpPr>
            <a:xfrm>
              <a:off x="8523621" y="8010525"/>
              <a:ext cx="2974308" cy="1257300"/>
              <a:chOff x="8418846" y="3019425"/>
              <a:chExt cx="2974308" cy="1257300"/>
            </a:xfrm>
          </xdr:grpSpPr>
          <xdr:sp macro="" textlink="">
            <xdr:nvSpPr>
              <xdr:cNvPr id="27" name="Rectangle 26">
                <a:extLst>
                  <a:ext uri="{FF2B5EF4-FFF2-40B4-BE49-F238E27FC236}">
                    <a16:creationId xmlns:a16="http://schemas.microsoft.com/office/drawing/2014/main" id="{362CE2A6-1F0D-4781-4EE6-F10642A0F4FF}"/>
                  </a:ext>
                </a:extLst>
              </xdr:cNvPr>
              <xdr:cNvSpPr/>
            </xdr:nvSpPr>
            <xdr:spPr>
              <a:xfrm>
                <a:off x="8572500" y="3076575"/>
                <a:ext cx="247650" cy="1095375"/>
              </a:xfrm>
              <a:prstGeom prst="rect">
                <a:avLst/>
              </a:prstGeom>
              <a:solidFill>
                <a:schemeClr val="bg1">
                  <a:lumMod val="6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grpSp>
            <xdr:nvGrpSpPr>
              <xdr:cNvPr id="28" name="Group 27">
                <a:extLst>
                  <a:ext uri="{FF2B5EF4-FFF2-40B4-BE49-F238E27FC236}">
                    <a16:creationId xmlns:a16="http://schemas.microsoft.com/office/drawing/2014/main" id="{F15646D5-35DB-39F1-5969-32ACE3BBB48D}"/>
                  </a:ext>
                </a:extLst>
              </xdr:cNvPr>
              <xdr:cNvGrpSpPr/>
            </xdr:nvGrpSpPr>
            <xdr:grpSpPr>
              <a:xfrm>
                <a:off x="8418846" y="3019425"/>
                <a:ext cx="2974308" cy="1257300"/>
                <a:chOff x="8418846" y="3019425"/>
                <a:chExt cx="2974308" cy="1257300"/>
              </a:xfrm>
            </xdr:grpSpPr>
            <xdr:grpSp>
              <xdr:nvGrpSpPr>
                <xdr:cNvPr id="29" name="Group 28">
                  <a:extLst>
                    <a:ext uri="{FF2B5EF4-FFF2-40B4-BE49-F238E27FC236}">
                      <a16:creationId xmlns:a16="http://schemas.microsoft.com/office/drawing/2014/main" id="{8A6404F7-992B-917B-2C48-AEBC614242C6}"/>
                    </a:ext>
                  </a:extLst>
                </xdr:cNvPr>
                <xdr:cNvGrpSpPr/>
              </xdr:nvGrpSpPr>
              <xdr:grpSpPr>
                <a:xfrm>
                  <a:off x="8418846" y="3019425"/>
                  <a:ext cx="2974308" cy="685800"/>
                  <a:chOff x="8418846" y="3019425"/>
                  <a:chExt cx="2974308" cy="685800"/>
                </a:xfrm>
                <a:solidFill>
                  <a:schemeClr val="tx1"/>
                </a:solidFill>
              </xdr:grpSpPr>
              <xdr:cxnSp macro="">
                <xdr:nvCxnSpPr>
                  <xdr:cNvPr id="36" name="Straight Connector 35">
                    <a:extLst>
                      <a:ext uri="{FF2B5EF4-FFF2-40B4-BE49-F238E27FC236}">
                        <a16:creationId xmlns:a16="http://schemas.microsoft.com/office/drawing/2014/main" id="{C2844317-CD79-6193-A64B-3E7B030D7416}"/>
                      </a:ext>
                    </a:extLst>
                  </xdr:cNvPr>
                  <xdr:cNvCxnSpPr/>
                </xdr:nvCxnSpPr>
                <xdr:spPr>
                  <a:xfrm>
                    <a:off x="8543925" y="3019425"/>
                    <a:ext cx="9525" cy="685800"/>
                  </a:xfrm>
                  <a:prstGeom prst="line">
                    <a:avLst/>
                  </a:prstGeom>
                  <a:grpFill/>
                  <a:ln w="63500"/>
                </xdr:spPr>
                <xdr:style>
                  <a:lnRef idx="2">
                    <a:schemeClr val="dk1"/>
                  </a:lnRef>
                  <a:fillRef idx="0">
                    <a:schemeClr val="dk1"/>
                  </a:fillRef>
                  <a:effectRef idx="1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7" name="Straight Connector 36">
                    <a:extLst>
                      <a:ext uri="{FF2B5EF4-FFF2-40B4-BE49-F238E27FC236}">
                        <a16:creationId xmlns:a16="http://schemas.microsoft.com/office/drawing/2014/main" id="{C6A754BE-A7CC-18A5-3EB5-21232952C4FE}"/>
                      </a:ext>
                    </a:extLst>
                  </xdr:cNvPr>
                  <xdr:cNvCxnSpPr/>
                </xdr:nvCxnSpPr>
                <xdr:spPr>
                  <a:xfrm>
                    <a:off x="11249025" y="3019425"/>
                    <a:ext cx="9525" cy="666750"/>
                  </a:xfrm>
                  <a:prstGeom prst="line">
                    <a:avLst/>
                  </a:prstGeom>
                  <a:grpFill/>
                  <a:ln w="63500"/>
                </xdr:spPr>
                <xdr:style>
                  <a:lnRef idx="2">
                    <a:schemeClr val="dk1"/>
                  </a:lnRef>
                  <a:fillRef idx="0">
                    <a:schemeClr val="dk1"/>
                  </a:fillRef>
                  <a:effectRef idx="1">
                    <a:schemeClr val="dk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38" name="Right Triangle 37">
                    <a:extLst>
                      <a:ext uri="{FF2B5EF4-FFF2-40B4-BE49-F238E27FC236}">
                        <a16:creationId xmlns:a16="http://schemas.microsoft.com/office/drawing/2014/main" id="{633436E8-783E-1EEE-0E09-CF3028B571B1}"/>
                      </a:ext>
                    </a:extLst>
                  </xdr:cNvPr>
                  <xdr:cNvSpPr/>
                </xdr:nvSpPr>
                <xdr:spPr>
                  <a:xfrm rot="16200000">
                    <a:off x="8414083" y="3577879"/>
                    <a:ext cx="123825" cy="114300"/>
                  </a:xfrm>
                  <a:prstGeom prst="rtTriangle">
                    <a:avLst/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GB" sz="1100"/>
                  </a:p>
                </xdr:txBody>
              </xdr:sp>
              <xdr:sp macro="" textlink="">
                <xdr:nvSpPr>
                  <xdr:cNvPr id="39" name="Right Triangle 38">
                    <a:extLst>
                      <a:ext uri="{FF2B5EF4-FFF2-40B4-BE49-F238E27FC236}">
                        <a16:creationId xmlns:a16="http://schemas.microsoft.com/office/drawing/2014/main" id="{A26B9A73-4D20-D9D8-28E0-C286FDDA6048}"/>
                      </a:ext>
                    </a:extLst>
                  </xdr:cNvPr>
                  <xdr:cNvSpPr/>
                </xdr:nvSpPr>
                <xdr:spPr>
                  <a:xfrm>
                    <a:off x="11278854" y="3554067"/>
                    <a:ext cx="114300" cy="123825"/>
                  </a:xfrm>
                  <a:prstGeom prst="rtTriangle">
                    <a:avLst/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GB" sz="1100"/>
                  </a:p>
                </xdr:txBody>
              </xdr:sp>
            </xdr:grpSp>
            <xdr:grpSp>
              <xdr:nvGrpSpPr>
                <xdr:cNvPr id="30" name="Group 29">
                  <a:extLst>
                    <a:ext uri="{FF2B5EF4-FFF2-40B4-BE49-F238E27FC236}">
                      <a16:creationId xmlns:a16="http://schemas.microsoft.com/office/drawing/2014/main" id="{7F06DAF6-B1FF-11C9-0469-60C909E595AD}"/>
                    </a:ext>
                  </a:extLst>
                </xdr:cNvPr>
                <xdr:cNvGrpSpPr/>
              </xdr:nvGrpSpPr>
              <xdr:grpSpPr>
                <a:xfrm>
                  <a:off x="8682038" y="3048000"/>
                  <a:ext cx="2462212" cy="1228725"/>
                  <a:chOff x="8682038" y="3048000"/>
                  <a:chExt cx="2462212" cy="1228725"/>
                </a:xfrm>
              </xdr:grpSpPr>
              <xdr:cxnSp macro="">
                <xdr:nvCxnSpPr>
                  <xdr:cNvPr id="32" name="Straight Connector 31">
                    <a:extLst>
                      <a:ext uri="{FF2B5EF4-FFF2-40B4-BE49-F238E27FC236}">
                        <a16:creationId xmlns:a16="http://schemas.microsoft.com/office/drawing/2014/main" id="{96D2A7E6-D43F-8467-A1BE-E3F2C6A7375A}"/>
                      </a:ext>
                    </a:extLst>
                  </xdr:cNvPr>
                  <xdr:cNvCxnSpPr/>
                </xdr:nvCxnSpPr>
                <xdr:spPr>
                  <a:xfrm>
                    <a:off x="8829675" y="3048000"/>
                    <a:ext cx="0" cy="1228725"/>
                  </a:xfrm>
                  <a:prstGeom prst="line">
                    <a:avLst/>
                  </a:prstGeom>
                  <a:ln w="508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3" name="Straight Connector 32">
                    <a:extLst>
                      <a:ext uri="{FF2B5EF4-FFF2-40B4-BE49-F238E27FC236}">
                        <a16:creationId xmlns:a16="http://schemas.microsoft.com/office/drawing/2014/main" id="{09DEE7B6-3590-AC9E-FD22-957DBF620EF3}"/>
                      </a:ext>
                    </a:extLst>
                  </xdr:cNvPr>
                  <xdr:cNvCxnSpPr/>
                </xdr:nvCxnSpPr>
                <xdr:spPr>
                  <a:xfrm>
                    <a:off x="10982325" y="3048000"/>
                    <a:ext cx="0" cy="1228725"/>
                  </a:xfrm>
                  <a:prstGeom prst="line">
                    <a:avLst/>
                  </a:prstGeom>
                  <a:ln w="508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34" name="Right Triangle 33">
                    <a:extLst>
                      <a:ext uri="{FF2B5EF4-FFF2-40B4-BE49-F238E27FC236}">
                        <a16:creationId xmlns:a16="http://schemas.microsoft.com/office/drawing/2014/main" id="{701F8953-80F0-B3B0-9B7E-B495E84E292A}"/>
                      </a:ext>
                    </a:extLst>
                  </xdr:cNvPr>
                  <xdr:cNvSpPr/>
                </xdr:nvSpPr>
                <xdr:spPr>
                  <a:xfrm>
                    <a:off x="11010900" y="4171949"/>
                    <a:ext cx="133350" cy="104775"/>
                  </a:xfrm>
                  <a:prstGeom prst="rtTriangle">
                    <a:avLst/>
                  </a:prstGeom>
                  <a:solidFill>
                    <a:schemeClr val="tx1"/>
                  </a:solidFill>
                  <a:ln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GB" sz="1100"/>
                  </a:p>
                </xdr:txBody>
              </xdr:sp>
              <xdr:sp macro="" textlink="">
                <xdr:nvSpPr>
                  <xdr:cNvPr id="35" name="Right Triangle 34">
                    <a:extLst>
                      <a:ext uri="{FF2B5EF4-FFF2-40B4-BE49-F238E27FC236}">
                        <a16:creationId xmlns:a16="http://schemas.microsoft.com/office/drawing/2014/main" id="{B220F554-5515-BFBA-41A4-C93E0CD89EEA}"/>
                      </a:ext>
                    </a:extLst>
                  </xdr:cNvPr>
                  <xdr:cNvSpPr/>
                </xdr:nvSpPr>
                <xdr:spPr>
                  <a:xfrm rot="16200000">
                    <a:off x="8705850" y="4144617"/>
                    <a:ext cx="104775" cy="152400"/>
                  </a:xfrm>
                  <a:prstGeom prst="rtTriangle">
                    <a:avLst/>
                  </a:prstGeom>
                  <a:solidFill>
                    <a:schemeClr val="tx1"/>
                  </a:solidFill>
                  <a:ln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GB" sz="1100"/>
                  </a:p>
                </xdr:txBody>
              </xdr:sp>
            </xdr:grpSp>
            <xdr:sp macro="" textlink="">
              <xdr:nvSpPr>
                <xdr:cNvPr id="31" name="Rectangle 30">
                  <a:extLst>
                    <a:ext uri="{FF2B5EF4-FFF2-40B4-BE49-F238E27FC236}">
                      <a16:creationId xmlns:a16="http://schemas.microsoft.com/office/drawing/2014/main" id="{63D3C97E-C70B-5DE6-5A9B-33355E31AFB0}"/>
                    </a:ext>
                  </a:extLst>
                </xdr:cNvPr>
                <xdr:cNvSpPr/>
              </xdr:nvSpPr>
              <xdr:spPr>
                <a:xfrm>
                  <a:off x="11010901" y="3076576"/>
                  <a:ext cx="209550" cy="1076324"/>
                </a:xfrm>
                <a:prstGeom prst="rect">
                  <a:avLst/>
                </a:prstGeom>
                <a:solidFill>
                  <a:schemeClr val="bg1">
                    <a:lumMod val="6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GB" sz="1100"/>
                </a:p>
              </xdr:txBody>
            </xdr:sp>
          </xdr:grpSp>
        </xdr:grpSp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CFAF1CBF-B344-DCE9-5A86-445294DA8D7B}"/>
                </a:ext>
              </a:extLst>
            </xdr:cNvPr>
            <xdr:cNvCxnSpPr/>
          </xdr:nvCxnSpPr>
          <xdr:spPr>
            <a:xfrm>
              <a:off x="9153525" y="8048625"/>
              <a:ext cx="0" cy="1847850"/>
            </a:xfrm>
            <a:prstGeom prst="line">
              <a:avLst/>
            </a:prstGeom>
            <a:ln w="38100"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575E5DE5-C8A7-87E7-17D7-0F88BF492D11}"/>
                </a:ext>
              </a:extLst>
            </xdr:cNvPr>
            <xdr:cNvCxnSpPr/>
          </xdr:nvCxnSpPr>
          <xdr:spPr>
            <a:xfrm>
              <a:off x="10887075" y="8067675"/>
              <a:ext cx="0" cy="1847850"/>
            </a:xfrm>
            <a:prstGeom prst="line">
              <a:avLst/>
            </a:prstGeom>
            <a:ln w="38100"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5" name="Right Triangle 24">
              <a:extLst>
                <a:ext uri="{FF2B5EF4-FFF2-40B4-BE49-F238E27FC236}">
                  <a16:creationId xmlns:a16="http://schemas.microsoft.com/office/drawing/2014/main" id="{9DC6FCD0-7EC3-136D-87FD-9EA0EEE5C0EF}"/>
                </a:ext>
              </a:extLst>
            </xdr:cNvPr>
            <xdr:cNvSpPr/>
          </xdr:nvSpPr>
          <xdr:spPr>
            <a:xfrm>
              <a:off x="10897853" y="9809507"/>
              <a:ext cx="133350" cy="104775"/>
            </a:xfrm>
            <a:prstGeom prst="rtTriangle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26" name="Right Triangle 25">
              <a:extLst>
                <a:ext uri="{FF2B5EF4-FFF2-40B4-BE49-F238E27FC236}">
                  <a16:creationId xmlns:a16="http://schemas.microsoft.com/office/drawing/2014/main" id="{63944B73-DB22-BFA3-A501-E697EAACCEB9}"/>
                </a:ext>
              </a:extLst>
            </xdr:cNvPr>
            <xdr:cNvSpPr/>
          </xdr:nvSpPr>
          <xdr:spPr>
            <a:xfrm rot="16200000">
              <a:off x="9023685" y="9766645"/>
              <a:ext cx="152400" cy="104775"/>
            </a:xfrm>
            <a:prstGeom prst="rtTriangle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</xdr:grp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BA2D0B4C-620B-464C-2766-9CDB68801769}"/>
              </a:ext>
            </a:extLst>
          </xdr:cNvPr>
          <xdr:cNvSpPr/>
        </xdr:nvSpPr>
        <xdr:spPr>
          <a:xfrm>
            <a:off x="8963025" y="8753476"/>
            <a:ext cx="171450" cy="514349"/>
          </a:xfrm>
          <a:prstGeom prst="rect">
            <a:avLst/>
          </a:prstGeom>
          <a:solidFill>
            <a:schemeClr val="bg1">
              <a:lumMod val="6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CC8758B5-7C69-761E-2B83-ACF1553108AA}"/>
              </a:ext>
            </a:extLst>
          </xdr:cNvPr>
          <xdr:cNvSpPr/>
        </xdr:nvSpPr>
        <xdr:spPr>
          <a:xfrm>
            <a:off x="10896600" y="8753476"/>
            <a:ext cx="171450" cy="514349"/>
          </a:xfrm>
          <a:prstGeom prst="rect">
            <a:avLst/>
          </a:prstGeom>
          <a:solidFill>
            <a:schemeClr val="bg1">
              <a:lumMod val="6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8BEAF341-8981-970A-1025-D7A65DE931C7}"/>
              </a:ext>
            </a:extLst>
          </xdr:cNvPr>
          <xdr:cNvSpPr/>
        </xdr:nvSpPr>
        <xdr:spPr>
          <a:xfrm>
            <a:off x="8982075" y="9267827"/>
            <a:ext cx="152400" cy="466724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3ECDD69A-102F-E17D-97F9-3883A8504B93}"/>
              </a:ext>
            </a:extLst>
          </xdr:cNvPr>
          <xdr:cNvSpPr/>
        </xdr:nvSpPr>
        <xdr:spPr>
          <a:xfrm>
            <a:off x="10896600" y="9267826"/>
            <a:ext cx="171450" cy="514349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7</xdr:col>
      <xdr:colOff>0</xdr:colOff>
      <xdr:row>66</xdr:row>
      <xdr:rowOff>66675</xdr:rowOff>
    </xdr:from>
    <xdr:to>
      <xdr:col>10</xdr:col>
      <xdr:colOff>180975</xdr:colOff>
      <xdr:row>76</xdr:row>
      <xdr:rowOff>10954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8FB08216-BDAC-4DFD-AD37-CE5486E7689A}"/>
            </a:ext>
          </a:extLst>
        </xdr:cNvPr>
        <xdr:cNvGrpSpPr/>
      </xdr:nvGrpSpPr>
      <xdr:grpSpPr>
        <a:xfrm>
          <a:off x="6982239" y="15323240"/>
          <a:ext cx="4736410" cy="2230279"/>
          <a:chOff x="8515350" y="15449550"/>
          <a:chExt cx="2943225" cy="2230279"/>
        </a:xfrm>
      </xdr:grpSpPr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1ECAEC84-1E8E-AE70-1B9F-49AD3A1C23CA}"/>
              </a:ext>
            </a:extLst>
          </xdr:cNvPr>
          <xdr:cNvGrpSpPr/>
        </xdr:nvGrpSpPr>
        <xdr:grpSpPr>
          <a:xfrm>
            <a:off x="8515350" y="15449550"/>
            <a:ext cx="2943225" cy="2230279"/>
            <a:chOff x="8515350" y="15449550"/>
            <a:chExt cx="2943225" cy="2230279"/>
          </a:xfrm>
        </xdr:grpSpPr>
        <xdr:grpSp>
          <xdr:nvGrpSpPr>
            <xdr:cNvPr id="46" name="Group 45">
              <a:extLst>
                <a:ext uri="{FF2B5EF4-FFF2-40B4-BE49-F238E27FC236}">
                  <a16:creationId xmlns:a16="http://schemas.microsoft.com/office/drawing/2014/main" id="{A9B87F83-3300-4A32-4566-17D9A3EBFC0B}"/>
                </a:ext>
              </a:extLst>
            </xdr:cNvPr>
            <xdr:cNvGrpSpPr/>
          </xdr:nvGrpSpPr>
          <xdr:grpSpPr>
            <a:xfrm>
              <a:off x="8515350" y="15449550"/>
              <a:ext cx="2943225" cy="1838325"/>
              <a:chOff x="8515350" y="8010525"/>
              <a:chExt cx="2943225" cy="1905000"/>
            </a:xfrm>
          </xdr:grpSpPr>
          <xdr:grpSp>
            <xdr:nvGrpSpPr>
              <xdr:cNvPr id="51" name="Group 50">
                <a:extLst>
                  <a:ext uri="{FF2B5EF4-FFF2-40B4-BE49-F238E27FC236}">
                    <a16:creationId xmlns:a16="http://schemas.microsoft.com/office/drawing/2014/main" id="{76EA9906-AAD3-6568-C0B6-F430C3761740}"/>
                  </a:ext>
                </a:extLst>
              </xdr:cNvPr>
              <xdr:cNvGrpSpPr/>
            </xdr:nvGrpSpPr>
            <xdr:grpSpPr>
              <a:xfrm>
                <a:off x="8515350" y="8010525"/>
                <a:ext cx="2943225" cy="1905000"/>
                <a:chOff x="8515350" y="8010525"/>
                <a:chExt cx="2943225" cy="1905000"/>
              </a:xfrm>
            </xdr:grpSpPr>
            <xdr:grpSp>
              <xdr:nvGrpSpPr>
                <xdr:cNvPr id="56" name="Group 55">
                  <a:extLst>
                    <a:ext uri="{FF2B5EF4-FFF2-40B4-BE49-F238E27FC236}">
                      <a16:creationId xmlns:a16="http://schemas.microsoft.com/office/drawing/2014/main" id="{8415C71F-739B-9E99-EBDF-25F32C567DD4}"/>
                    </a:ext>
                  </a:extLst>
                </xdr:cNvPr>
                <xdr:cNvGrpSpPr/>
              </xdr:nvGrpSpPr>
              <xdr:grpSpPr>
                <a:xfrm>
                  <a:off x="8515350" y="8010525"/>
                  <a:ext cx="2943225" cy="1262062"/>
                  <a:chOff x="8410575" y="3019425"/>
                  <a:chExt cx="2943225" cy="1262062"/>
                </a:xfrm>
              </xdr:grpSpPr>
              <xdr:sp macro="" textlink="">
                <xdr:nvSpPr>
                  <xdr:cNvPr id="61" name="Rectangle 60">
                    <a:extLst>
                      <a:ext uri="{FF2B5EF4-FFF2-40B4-BE49-F238E27FC236}">
                        <a16:creationId xmlns:a16="http://schemas.microsoft.com/office/drawing/2014/main" id="{12BC3713-3A3B-66A5-188F-046CA774A3FB}"/>
                      </a:ext>
                    </a:extLst>
                  </xdr:cNvPr>
                  <xdr:cNvSpPr/>
                </xdr:nvSpPr>
                <xdr:spPr>
                  <a:xfrm>
                    <a:off x="8572500" y="3076575"/>
                    <a:ext cx="247650" cy="1095375"/>
                  </a:xfrm>
                  <a:prstGeom prst="rect">
                    <a:avLst/>
                  </a:prstGeom>
                  <a:solidFill>
                    <a:schemeClr val="bg1">
                      <a:lumMod val="65000"/>
                    </a:schemeClr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GB" sz="1100"/>
                  </a:p>
                </xdr:txBody>
              </xdr:sp>
              <xdr:grpSp>
                <xdr:nvGrpSpPr>
                  <xdr:cNvPr id="62" name="Group 61">
                    <a:extLst>
                      <a:ext uri="{FF2B5EF4-FFF2-40B4-BE49-F238E27FC236}">
                        <a16:creationId xmlns:a16="http://schemas.microsoft.com/office/drawing/2014/main" id="{89D7DE1A-FC33-3AF5-A55F-9DA3DEB5DCBD}"/>
                      </a:ext>
                    </a:extLst>
                  </xdr:cNvPr>
                  <xdr:cNvGrpSpPr/>
                </xdr:nvGrpSpPr>
                <xdr:grpSpPr>
                  <a:xfrm>
                    <a:off x="8410575" y="3019425"/>
                    <a:ext cx="2943225" cy="1262062"/>
                    <a:chOff x="8410575" y="3019425"/>
                    <a:chExt cx="2943225" cy="1262062"/>
                  </a:xfrm>
                </xdr:grpSpPr>
                <xdr:grpSp>
                  <xdr:nvGrpSpPr>
                    <xdr:cNvPr id="63" name="Group 62">
                      <a:extLst>
                        <a:ext uri="{FF2B5EF4-FFF2-40B4-BE49-F238E27FC236}">
                          <a16:creationId xmlns:a16="http://schemas.microsoft.com/office/drawing/2014/main" id="{8EF8BB9D-F363-E54B-EBAD-CD6E67D89B7D}"/>
                        </a:ext>
                      </a:extLst>
                    </xdr:cNvPr>
                    <xdr:cNvGrpSpPr/>
                  </xdr:nvGrpSpPr>
                  <xdr:grpSpPr>
                    <a:xfrm>
                      <a:off x="8410575" y="3019425"/>
                      <a:ext cx="2943225" cy="685800"/>
                      <a:chOff x="8410575" y="3019425"/>
                      <a:chExt cx="2943225" cy="685800"/>
                    </a:xfrm>
                    <a:solidFill>
                      <a:schemeClr val="tx1"/>
                    </a:solidFill>
                  </xdr:grpSpPr>
                  <xdr:cxnSp macro="">
                    <xdr:nvCxnSpPr>
                      <xdr:cNvPr id="70" name="Straight Connector 69">
                        <a:extLst>
                          <a:ext uri="{FF2B5EF4-FFF2-40B4-BE49-F238E27FC236}">
                            <a16:creationId xmlns:a16="http://schemas.microsoft.com/office/drawing/2014/main" id="{96EC2C9A-D51D-A5AE-451B-2EA046B5EBC9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8543925" y="3019425"/>
                        <a:ext cx="9525" cy="685800"/>
                      </a:xfrm>
                      <a:prstGeom prst="line">
                        <a:avLst/>
                      </a:prstGeom>
                      <a:grpFill/>
                      <a:ln w="63500"/>
                    </xdr:spPr>
                    <xdr:style>
                      <a:lnRef idx="2">
                        <a:schemeClr val="dk1"/>
                      </a:lnRef>
                      <a:fillRef idx="0">
                        <a:schemeClr val="dk1"/>
                      </a:fillRef>
                      <a:effectRef idx="1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71" name="Straight Connector 70">
                        <a:extLst>
                          <a:ext uri="{FF2B5EF4-FFF2-40B4-BE49-F238E27FC236}">
                            <a16:creationId xmlns:a16="http://schemas.microsoft.com/office/drawing/2014/main" id="{8DA0749B-58E5-98BA-FAD2-C6D7DF170523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11249025" y="3019425"/>
                        <a:ext cx="9525" cy="666750"/>
                      </a:xfrm>
                      <a:prstGeom prst="line">
                        <a:avLst/>
                      </a:prstGeom>
                      <a:grpFill/>
                      <a:ln w="63500"/>
                    </xdr:spPr>
                    <xdr:style>
                      <a:lnRef idx="2">
                        <a:schemeClr val="dk1"/>
                      </a:lnRef>
                      <a:fillRef idx="0">
                        <a:schemeClr val="dk1"/>
                      </a:fillRef>
                      <a:effectRef idx="1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sp macro="" textlink="">
                    <xdr:nvSpPr>
                      <xdr:cNvPr id="72" name="Right Triangle 71">
                        <a:extLst>
                          <a:ext uri="{FF2B5EF4-FFF2-40B4-BE49-F238E27FC236}">
                            <a16:creationId xmlns:a16="http://schemas.microsoft.com/office/drawing/2014/main" id="{4ED6476A-C8C0-675C-7A24-52167DDA1EBD}"/>
                          </a:ext>
                        </a:extLst>
                      </xdr:cNvPr>
                      <xdr:cNvSpPr/>
                    </xdr:nvSpPr>
                    <xdr:spPr>
                      <a:xfrm rot="16200000">
                        <a:off x="8405812" y="3586162"/>
                        <a:ext cx="123825" cy="114300"/>
                      </a:xfrm>
                      <a:prstGeom prst="rtTriangle">
                        <a:avLst/>
                      </a:prstGeom>
                      <a:grpFill/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lang="en-GB" sz="1100"/>
                      </a:p>
                    </xdr:txBody>
                  </xdr:sp>
                  <xdr:sp macro="" textlink="">
                    <xdr:nvSpPr>
                      <xdr:cNvPr id="73" name="Right Triangle 72">
                        <a:extLst>
                          <a:ext uri="{FF2B5EF4-FFF2-40B4-BE49-F238E27FC236}">
                            <a16:creationId xmlns:a16="http://schemas.microsoft.com/office/drawing/2014/main" id="{0C8D2E82-30BA-1E01-75A1-400A183DFB17}"/>
                          </a:ext>
                        </a:extLst>
                      </xdr:cNvPr>
                      <xdr:cNvSpPr/>
                    </xdr:nvSpPr>
                    <xdr:spPr>
                      <a:xfrm>
                        <a:off x="11239500" y="3552480"/>
                        <a:ext cx="114300" cy="123825"/>
                      </a:xfrm>
                      <a:prstGeom prst="rtTriangle">
                        <a:avLst/>
                      </a:prstGeom>
                      <a:grpFill/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lang="en-GB" sz="1100"/>
                      </a:p>
                    </xdr:txBody>
                  </xdr:sp>
                </xdr:grpSp>
                <xdr:grpSp>
                  <xdr:nvGrpSpPr>
                    <xdr:cNvPr id="64" name="Group 63">
                      <a:extLst>
                        <a:ext uri="{FF2B5EF4-FFF2-40B4-BE49-F238E27FC236}">
                          <a16:creationId xmlns:a16="http://schemas.microsoft.com/office/drawing/2014/main" id="{72DEBB06-65B0-4A7D-744E-6C3315E17769}"/>
                        </a:ext>
                      </a:extLst>
                    </xdr:cNvPr>
                    <xdr:cNvGrpSpPr/>
                  </xdr:nvGrpSpPr>
                  <xdr:grpSpPr>
                    <a:xfrm>
                      <a:off x="8682038" y="3048000"/>
                      <a:ext cx="2462212" cy="1233487"/>
                      <a:chOff x="8682038" y="3048000"/>
                      <a:chExt cx="2462212" cy="1233487"/>
                    </a:xfrm>
                  </xdr:grpSpPr>
                  <xdr:cxnSp macro="">
                    <xdr:nvCxnSpPr>
                      <xdr:cNvPr id="66" name="Straight Connector 65">
                        <a:extLst>
                          <a:ext uri="{FF2B5EF4-FFF2-40B4-BE49-F238E27FC236}">
                            <a16:creationId xmlns:a16="http://schemas.microsoft.com/office/drawing/2014/main" id="{49FDB86B-2885-2D97-4253-2A23A1D59726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8829675" y="3048000"/>
                        <a:ext cx="0" cy="1228725"/>
                      </a:xfrm>
                      <a:prstGeom prst="line">
                        <a:avLst/>
                      </a:prstGeom>
                      <a:ln w="508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67" name="Straight Connector 66">
                        <a:extLst>
                          <a:ext uri="{FF2B5EF4-FFF2-40B4-BE49-F238E27FC236}">
                            <a16:creationId xmlns:a16="http://schemas.microsoft.com/office/drawing/2014/main" id="{040C8942-F0C5-3060-DD13-77653FD6CFA5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10982325" y="3048000"/>
                        <a:ext cx="0" cy="1228725"/>
                      </a:xfrm>
                      <a:prstGeom prst="line">
                        <a:avLst/>
                      </a:prstGeom>
                      <a:ln w="508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sp macro="" textlink="">
                    <xdr:nvSpPr>
                      <xdr:cNvPr id="68" name="Right Triangle 67">
                        <a:extLst>
                          <a:ext uri="{FF2B5EF4-FFF2-40B4-BE49-F238E27FC236}">
                            <a16:creationId xmlns:a16="http://schemas.microsoft.com/office/drawing/2014/main" id="{D55C109D-3FDB-292C-EB76-468A928101A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1010900" y="4171949"/>
                        <a:ext cx="133350" cy="104775"/>
                      </a:xfrm>
                      <a:prstGeom prst="rtTriangle">
                        <a:avLst/>
                      </a:prstGeom>
                      <a:solidFill>
                        <a:schemeClr val="tx1"/>
                      </a:solidFill>
                      <a:ln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lang="en-GB" sz="1100"/>
                      </a:p>
                    </xdr:txBody>
                  </xdr:sp>
                  <xdr:sp macro="" textlink="">
                    <xdr:nvSpPr>
                      <xdr:cNvPr id="69" name="Right Triangle 68">
                        <a:extLst>
                          <a:ext uri="{FF2B5EF4-FFF2-40B4-BE49-F238E27FC236}">
                            <a16:creationId xmlns:a16="http://schemas.microsoft.com/office/drawing/2014/main" id="{247096F4-6C49-52A9-22D2-45FCB3ECB25C}"/>
                          </a:ext>
                        </a:extLst>
                      </xdr:cNvPr>
                      <xdr:cNvSpPr/>
                    </xdr:nvSpPr>
                    <xdr:spPr>
                      <a:xfrm rot="16200000">
                        <a:off x="8705850" y="4152900"/>
                        <a:ext cx="104775" cy="152400"/>
                      </a:xfrm>
                      <a:prstGeom prst="rtTriangle">
                        <a:avLst/>
                      </a:prstGeom>
                      <a:solidFill>
                        <a:schemeClr val="tx1"/>
                      </a:solidFill>
                      <a:ln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lang="en-GB" sz="1100"/>
                      </a:p>
                    </xdr:txBody>
                  </xdr:sp>
                </xdr:grpSp>
                <xdr:sp macro="" textlink="">
                  <xdr:nvSpPr>
                    <xdr:cNvPr id="65" name="Rectangle 64">
                      <a:extLst>
                        <a:ext uri="{FF2B5EF4-FFF2-40B4-BE49-F238E27FC236}">
                          <a16:creationId xmlns:a16="http://schemas.microsoft.com/office/drawing/2014/main" id="{0C821D5B-F0B7-B8EF-D461-61D4FB81B83B}"/>
                        </a:ext>
                      </a:extLst>
                    </xdr:cNvPr>
                    <xdr:cNvSpPr/>
                  </xdr:nvSpPr>
                  <xdr:spPr>
                    <a:xfrm>
                      <a:off x="11010901" y="3076576"/>
                      <a:ext cx="209550" cy="1076324"/>
                    </a:xfrm>
                    <a:prstGeom prst="rect">
                      <a:avLst/>
                    </a:prstGeom>
                    <a:solidFill>
                      <a:schemeClr val="bg1">
                        <a:lumMod val="65000"/>
                      </a:schemeClr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GB" sz="1100"/>
                    </a:p>
                  </xdr:txBody>
                </xdr:sp>
              </xdr:grpSp>
            </xdr:grpSp>
            <xdr:cxnSp macro="">
              <xdr:nvCxnSpPr>
                <xdr:cNvPr id="57" name="Straight Connector 56">
                  <a:extLst>
                    <a:ext uri="{FF2B5EF4-FFF2-40B4-BE49-F238E27FC236}">
                      <a16:creationId xmlns:a16="http://schemas.microsoft.com/office/drawing/2014/main" id="{FFA7068B-C0CC-F012-F192-8BBD2EA49EB2}"/>
                    </a:ext>
                  </a:extLst>
                </xdr:cNvPr>
                <xdr:cNvCxnSpPr/>
              </xdr:nvCxnSpPr>
              <xdr:spPr>
                <a:xfrm>
                  <a:off x="9153525" y="8048625"/>
                  <a:ext cx="0" cy="1847850"/>
                </a:xfrm>
                <a:prstGeom prst="line">
                  <a:avLst/>
                </a:prstGeom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58" name="Straight Connector 57">
                  <a:extLst>
                    <a:ext uri="{FF2B5EF4-FFF2-40B4-BE49-F238E27FC236}">
                      <a16:creationId xmlns:a16="http://schemas.microsoft.com/office/drawing/2014/main" id="{4706570C-A08C-418B-502B-D7C68BE5CF3B}"/>
                    </a:ext>
                  </a:extLst>
                </xdr:cNvPr>
                <xdr:cNvCxnSpPr/>
              </xdr:nvCxnSpPr>
              <xdr:spPr>
                <a:xfrm>
                  <a:off x="10887075" y="8067675"/>
                  <a:ext cx="0" cy="1847850"/>
                </a:xfrm>
                <a:prstGeom prst="line">
                  <a:avLst/>
                </a:prstGeom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9" name="Right Triangle 58">
                  <a:extLst>
                    <a:ext uri="{FF2B5EF4-FFF2-40B4-BE49-F238E27FC236}">
                      <a16:creationId xmlns:a16="http://schemas.microsoft.com/office/drawing/2014/main" id="{21D6420C-E059-C7AD-4848-79182DAFE549}"/>
                    </a:ext>
                  </a:extLst>
                </xdr:cNvPr>
                <xdr:cNvSpPr/>
              </xdr:nvSpPr>
              <xdr:spPr>
                <a:xfrm>
                  <a:off x="10897854" y="9809808"/>
                  <a:ext cx="133350" cy="104775"/>
                </a:xfrm>
                <a:prstGeom prst="rtTriangle">
                  <a:avLst/>
                </a:prstGeom>
                <a:solidFill>
                  <a:schemeClr val="tx1"/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GB" sz="1100"/>
                </a:p>
              </xdr:txBody>
            </xdr:sp>
            <xdr:sp macro="" textlink="">
              <xdr:nvSpPr>
                <xdr:cNvPr id="60" name="Right Triangle 59">
                  <a:extLst>
                    <a:ext uri="{FF2B5EF4-FFF2-40B4-BE49-F238E27FC236}">
                      <a16:creationId xmlns:a16="http://schemas.microsoft.com/office/drawing/2014/main" id="{1464DC64-A340-C1C1-F4AA-50A4B3B811F7}"/>
                    </a:ext>
                  </a:extLst>
                </xdr:cNvPr>
                <xdr:cNvSpPr/>
              </xdr:nvSpPr>
              <xdr:spPr>
                <a:xfrm rot="16200000">
                  <a:off x="9015413" y="9758362"/>
                  <a:ext cx="152400" cy="104775"/>
                </a:xfrm>
                <a:prstGeom prst="rtTriangle">
                  <a:avLst/>
                </a:prstGeom>
                <a:solidFill>
                  <a:schemeClr val="tx1"/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GB" sz="1100"/>
                </a:p>
              </xdr:txBody>
            </xdr:sp>
          </xdr:grpSp>
          <xdr:sp macro="" textlink="">
            <xdr:nvSpPr>
              <xdr:cNvPr id="52" name="Rectangle 51">
                <a:extLst>
                  <a:ext uri="{FF2B5EF4-FFF2-40B4-BE49-F238E27FC236}">
                    <a16:creationId xmlns:a16="http://schemas.microsoft.com/office/drawing/2014/main" id="{4D33CA7E-DE8B-A98F-9022-751427B98CF9}"/>
                  </a:ext>
                </a:extLst>
              </xdr:cNvPr>
              <xdr:cNvSpPr/>
            </xdr:nvSpPr>
            <xdr:spPr>
              <a:xfrm>
                <a:off x="8963025" y="8753476"/>
                <a:ext cx="171450" cy="514349"/>
              </a:xfrm>
              <a:prstGeom prst="rect">
                <a:avLst/>
              </a:prstGeom>
              <a:solidFill>
                <a:schemeClr val="bg1">
                  <a:lumMod val="6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53" name="Rectangle 52">
                <a:extLst>
                  <a:ext uri="{FF2B5EF4-FFF2-40B4-BE49-F238E27FC236}">
                    <a16:creationId xmlns:a16="http://schemas.microsoft.com/office/drawing/2014/main" id="{3AFA95B9-FEC2-F04B-F2A0-2608E828B811}"/>
                  </a:ext>
                </a:extLst>
              </xdr:cNvPr>
              <xdr:cNvSpPr/>
            </xdr:nvSpPr>
            <xdr:spPr>
              <a:xfrm>
                <a:off x="10896600" y="8753476"/>
                <a:ext cx="171450" cy="514349"/>
              </a:xfrm>
              <a:prstGeom prst="rect">
                <a:avLst/>
              </a:prstGeom>
              <a:solidFill>
                <a:schemeClr val="bg1">
                  <a:lumMod val="6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54" name="Rectangle 53">
                <a:extLst>
                  <a:ext uri="{FF2B5EF4-FFF2-40B4-BE49-F238E27FC236}">
                    <a16:creationId xmlns:a16="http://schemas.microsoft.com/office/drawing/2014/main" id="{8BCA8D07-9432-B642-3EF7-31E32A9F5C48}"/>
                  </a:ext>
                </a:extLst>
              </xdr:cNvPr>
              <xdr:cNvSpPr/>
            </xdr:nvSpPr>
            <xdr:spPr>
              <a:xfrm>
                <a:off x="8963025" y="9267826"/>
                <a:ext cx="171450" cy="460161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55" name="Rectangle 54">
                <a:extLst>
                  <a:ext uri="{FF2B5EF4-FFF2-40B4-BE49-F238E27FC236}">
                    <a16:creationId xmlns:a16="http://schemas.microsoft.com/office/drawing/2014/main" id="{DB765C14-7AFA-B872-687C-B3DCE7D9E451}"/>
                  </a:ext>
                </a:extLst>
              </xdr:cNvPr>
              <xdr:cNvSpPr/>
            </xdr:nvSpPr>
            <xdr:spPr>
              <a:xfrm>
                <a:off x="10896600" y="9267826"/>
                <a:ext cx="171450" cy="514349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</xdr:grpSp>
        <xdr:cxnSp macro="">
          <xdr:nvCxnSpPr>
            <xdr:cNvPr id="47" name="Straight Connector 46">
              <a:extLst>
                <a:ext uri="{FF2B5EF4-FFF2-40B4-BE49-F238E27FC236}">
                  <a16:creationId xmlns:a16="http://schemas.microsoft.com/office/drawing/2014/main" id="{00E1862D-9374-4965-5837-AA8330BD70B8}"/>
                </a:ext>
              </a:extLst>
            </xdr:cNvPr>
            <xdr:cNvCxnSpPr/>
          </xdr:nvCxnSpPr>
          <xdr:spPr>
            <a:xfrm flipH="1">
              <a:off x="9382125" y="15487650"/>
              <a:ext cx="9525" cy="2190750"/>
            </a:xfrm>
            <a:prstGeom prst="line">
              <a:avLst/>
            </a:prstGeom>
            <a:ln w="31750"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8" name="Straight Connector 47">
              <a:extLst>
                <a:ext uri="{FF2B5EF4-FFF2-40B4-BE49-F238E27FC236}">
                  <a16:creationId xmlns:a16="http://schemas.microsoft.com/office/drawing/2014/main" id="{CC2C97C2-E0C4-10C0-1212-B1AFAB194B79}"/>
                </a:ext>
              </a:extLst>
            </xdr:cNvPr>
            <xdr:cNvCxnSpPr/>
          </xdr:nvCxnSpPr>
          <xdr:spPr>
            <a:xfrm flipH="1">
              <a:off x="10648950" y="15487650"/>
              <a:ext cx="9525" cy="2190750"/>
            </a:xfrm>
            <a:prstGeom prst="line">
              <a:avLst/>
            </a:prstGeom>
            <a:ln w="31750"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9" name="Right Triangle 48">
              <a:extLst>
                <a:ext uri="{FF2B5EF4-FFF2-40B4-BE49-F238E27FC236}">
                  <a16:creationId xmlns:a16="http://schemas.microsoft.com/office/drawing/2014/main" id="{043FEB3C-CBF2-DAA1-58DF-ADD88BAE81D8}"/>
                </a:ext>
              </a:extLst>
            </xdr:cNvPr>
            <xdr:cNvSpPr/>
          </xdr:nvSpPr>
          <xdr:spPr>
            <a:xfrm>
              <a:off x="10660570" y="17578721"/>
              <a:ext cx="133350" cy="101108"/>
            </a:xfrm>
            <a:prstGeom prst="rtTriangle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50" name="Right Triangle 49">
              <a:extLst>
                <a:ext uri="{FF2B5EF4-FFF2-40B4-BE49-F238E27FC236}">
                  <a16:creationId xmlns:a16="http://schemas.microsoft.com/office/drawing/2014/main" id="{26F64802-A597-0814-5F86-8F62D42AFBCA}"/>
                </a:ext>
              </a:extLst>
            </xdr:cNvPr>
            <xdr:cNvSpPr/>
          </xdr:nvSpPr>
          <xdr:spPr>
            <a:xfrm rot="16200000">
              <a:off x="9250870" y="17552480"/>
              <a:ext cx="104775" cy="147066"/>
            </a:xfrm>
            <a:prstGeom prst="rtTriangle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</xdr:grpSp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27C77683-0B42-BF85-9F58-BD31193DE66C}"/>
              </a:ext>
            </a:extLst>
          </xdr:cNvPr>
          <xdr:cNvSpPr/>
        </xdr:nvSpPr>
        <xdr:spPr>
          <a:xfrm>
            <a:off x="9163050" y="16573500"/>
            <a:ext cx="209550" cy="533400"/>
          </a:xfrm>
          <a:prstGeom prst="rect">
            <a:avLst/>
          </a:prstGeom>
          <a:solidFill>
            <a:schemeClr val="bg1">
              <a:lumMod val="6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43" name="Rectangle 42">
            <a:extLst>
              <a:ext uri="{FF2B5EF4-FFF2-40B4-BE49-F238E27FC236}">
                <a16:creationId xmlns:a16="http://schemas.microsoft.com/office/drawing/2014/main" id="{6C8AC72D-02FA-847B-3997-60B7D5F7B472}"/>
              </a:ext>
            </a:extLst>
          </xdr:cNvPr>
          <xdr:cNvSpPr/>
        </xdr:nvSpPr>
        <xdr:spPr>
          <a:xfrm>
            <a:off x="10677526" y="16563975"/>
            <a:ext cx="190499" cy="496347"/>
          </a:xfrm>
          <a:prstGeom prst="rect">
            <a:avLst/>
          </a:prstGeom>
          <a:solidFill>
            <a:schemeClr val="bg1">
              <a:lumMod val="6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44" name="Rectangle 43">
            <a:extLst>
              <a:ext uri="{FF2B5EF4-FFF2-40B4-BE49-F238E27FC236}">
                <a16:creationId xmlns:a16="http://schemas.microsoft.com/office/drawing/2014/main" id="{765496C2-DBDC-D0BF-391F-22E7B4DDB4D5}"/>
              </a:ext>
            </a:extLst>
          </xdr:cNvPr>
          <xdr:cNvSpPr/>
        </xdr:nvSpPr>
        <xdr:spPr>
          <a:xfrm>
            <a:off x="9163050" y="17069847"/>
            <a:ext cx="209550" cy="477204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45" name="Rectangle 44">
            <a:extLst>
              <a:ext uri="{FF2B5EF4-FFF2-40B4-BE49-F238E27FC236}">
                <a16:creationId xmlns:a16="http://schemas.microsoft.com/office/drawing/2014/main" id="{497024FA-B9E3-8917-08AA-52CED57D2139}"/>
              </a:ext>
            </a:extLst>
          </xdr:cNvPr>
          <xdr:cNvSpPr/>
        </xdr:nvSpPr>
        <xdr:spPr>
          <a:xfrm>
            <a:off x="10667999" y="17060322"/>
            <a:ext cx="209551" cy="496347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663024</xdr:colOff>
      <xdr:row>13</xdr:row>
      <xdr:rowOff>85725</xdr:rowOff>
    </xdr:from>
    <xdr:to>
      <xdr:col>10</xdr:col>
      <xdr:colOff>190498</xdr:colOff>
      <xdr:row>22</xdr:row>
      <xdr:rowOff>91109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374D738-E6A9-4DAE-9734-31D097FB9031}"/>
            </a:ext>
          </a:extLst>
        </xdr:cNvPr>
        <xdr:cNvGrpSpPr/>
      </xdr:nvGrpSpPr>
      <xdr:grpSpPr>
        <a:xfrm>
          <a:off x="7131741" y="3208268"/>
          <a:ext cx="3180105" cy="1910384"/>
          <a:chOff x="8431244" y="3017768"/>
          <a:chExt cx="2933235" cy="125730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BA4F9717-7F6F-A8B1-A52D-26F206A0C796}"/>
              </a:ext>
            </a:extLst>
          </xdr:cNvPr>
          <xdr:cNvSpPr/>
        </xdr:nvSpPr>
        <xdr:spPr>
          <a:xfrm>
            <a:off x="8569546" y="3074918"/>
            <a:ext cx="248199" cy="1095375"/>
          </a:xfrm>
          <a:prstGeom prst="rect">
            <a:avLst/>
          </a:prstGeom>
          <a:solidFill>
            <a:schemeClr val="bg1">
              <a:lumMod val="6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2267CE8E-0D98-F860-7124-DC35A5F8980A}"/>
              </a:ext>
            </a:extLst>
          </xdr:cNvPr>
          <xdr:cNvGrpSpPr/>
        </xdr:nvGrpSpPr>
        <xdr:grpSpPr>
          <a:xfrm>
            <a:off x="8431244" y="3017768"/>
            <a:ext cx="2933235" cy="1257300"/>
            <a:chOff x="8431244" y="3017768"/>
            <a:chExt cx="2933235" cy="1257300"/>
          </a:xfrm>
        </xdr:grpSpPr>
        <xdr:grpSp>
          <xdr:nvGrpSpPr>
            <xdr:cNvPr id="5" name="Group 4">
              <a:extLst>
                <a:ext uri="{FF2B5EF4-FFF2-40B4-BE49-F238E27FC236}">
                  <a16:creationId xmlns:a16="http://schemas.microsoft.com/office/drawing/2014/main" id="{A70FC524-A66D-AA79-A249-8C0BB4BF0D81}"/>
                </a:ext>
              </a:extLst>
            </xdr:cNvPr>
            <xdr:cNvGrpSpPr/>
          </xdr:nvGrpSpPr>
          <xdr:grpSpPr>
            <a:xfrm>
              <a:off x="8431244" y="3017768"/>
              <a:ext cx="2933235" cy="685800"/>
              <a:chOff x="8431244" y="3017768"/>
              <a:chExt cx="2933235" cy="685800"/>
            </a:xfrm>
          </xdr:grpSpPr>
          <xdr:cxnSp macro="">
            <xdr:nvCxnSpPr>
              <xdr:cNvPr id="12" name="Straight Connector 11">
                <a:extLst>
                  <a:ext uri="{FF2B5EF4-FFF2-40B4-BE49-F238E27FC236}">
                    <a16:creationId xmlns:a16="http://schemas.microsoft.com/office/drawing/2014/main" id="{9385B3D8-CB0D-D20C-2F11-46A88AC75B42}"/>
                  </a:ext>
                </a:extLst>
              </xdr:cNvPr>
              <xdr:cNvCxnSpPr/>
            </xdr:nvCxnSpPr>
            <xdr:spPr>
              <a:xfrm>
                <a:off x="8540907" y="3017768"/>
                <a:ext cx="9546" cy="685800"/>
              </a:xfrm>
              <a:prstGeom prst="line">
                <a:avLst/>
              </a:prstGeom>
              <a:solidFill>
                <a:schemeClr val="tx1"/>
              </a:solidFill>
              <a:ln w="63500"/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Straight Connector 12">
                <a:extLst>
                  <a:ext uri="{FF2B5EF4-FFF2-40B4-BE49-F238E27FC236}">
                    <a16:creationId xmlns:a16="http://schemas.microsoft.com/office/drawing/2014/main" id="{966AD374-EB01-9221-0B93-D4E20888667D}"/>
                  </a:ext>
                </a:extLst>
              </xdr:cNvPr>
              <xdr:cNvCxnSpPr/>
            </xdr:nvCxnSpPr>
            <xdr:spPr>
              <a:xfrm>
                <a:off x="11252000" y="3017768"/>
                <a:ext cx="9546" cy="666750"/>
              </a:xfrm>
              <a:prstGeom prst="line">
                <a:avLst/>
              </a:prstGeom>
              <a:solidFill>
                <a:schemeClr val="tx1"/>
              </a:solidFill>
              <a:ln w="63500"/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4" name="Right Triangle 13">
                <a:extLst>
                  <a:ext uri="{FF2B5EF4-FFF2-40B4-BE49-F238E27FC236}">
                    <a16:creationId xmlns:a16="http://schemas.microsoft.com/office/drawing/2014/main" id="{C670B873-5514-E000-893B-E213C2769E67}"/>
                  </a:ext>
                </a:extLst>
              </xdr:cNvPr>
              <xdr:cNvSpPr/>
            </xdr:nvSpPr>
            <xdr:spPr>
              <a:xfrm rot="16200000">
                <a:off x="8426608" y="3581052"/>
                <a:ext cx="123825" cy="114553"/>
              </a:xfrm>
              <a:prstGeom prst="rtTriangle">
                <a:avLst/>
              </a:prstGeom>
              <a:solidFill>
                <a:schemeClr val="tx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15" name="Right Triangle 14">
                <a:extLst>
                  <a:ext uri="{FF2B5EF4-FFF2-40B4-BE49-F238E27FC236}">
                    <a16:creationId xmlns:a16="http://schemas.microsoft.com/office/drawing/2014/main" id="{E5A61FED-6EEE-50CE-A95F-0320AC61BB04}"/>
                  </a:ext>
                </a:extLst>
              </xdr:cNvPr>
              <xdr:cNvSpPr/>
            </xdr:nvSpPr>
            <xdr:spPr>
              <a:xfrm>
                <a:off x="11249926" y="3557367"/>
                <a:ext cx="114553" cy="123825"/>
              </a:xfrm>
              <a:prstGeom prst="rtTriangle">
                <a:avLst/>
              </a:prstGeom>
              <a:solidFill>
                <a:schemeClr val="tx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</xdr:grpSp>
        <xdr:grpSp>
          <xdr:nvGrpSpPr>
            <xdr:cNvPr id="6" name="Group 5">
              <a:extLst>
                <a:ext uri="{FF2B5EF4-FFF2-40B4-BE49-F238E27FC236}">
                  <a16:creationId xmlns:a16="http://schemas.microsoft.com/office/drawing/2014/main" id="{345DD705-451C-B809-1975-43BB8A0F9764}"/>
                </a:ext>
              </a:extLst>
            </xdr:cNvPr>
            <xdr:cNvGrpSpPr/>
          </xdr:nvGrpSpPr>
          <xdr:grpSpPr>
            <a:xfrm>
              <a:off x="8687609" y="3046343"/>
              <a:ext cx="2442818" cy="1228725"/>
              <a:chOff x="8687609" y="3046343"/>
              <a:chExt cx="2442818" cy="1228725"/>
            </a:xfrm>
          </xdr:grpSpPr>
          <xdr:cxnSp macro="">
            <xdr:nvCxnSpPr>
              <xdr:cNvPr id="8" name="Straight Connector 7">
                <a:extLst>
                  <a:ext uri="{FF2B5EF4-FFF2-40B4-BE49-F238E27FC236}">
                    <a16:creationId xmlns:a16="http://schemas.microsoft.com/office/drawing/2014/main" id="{7D30AC9B-BCCC-E071-52CF-32539058EFBF}"/>
                  </a:ext>
                </a:extLst>
              </xdr:cNvPr>
              <xdr:cNvCxnSpPr/>
            </xdr:nvCxnSpPr>
            <xdr:spPr>
              <a:xfrm>
                <a:off x="8827290" y="3046343"/>
                <a:ext cx="0" cy="1228725"/>
              </a:xfrm>
              <a:prstGeom prst="line">
                <a:avLst/>
              </a:prstGeom>
              <a:ln w="50800">
                <a:solidFill>
                  <a:schemeClr val="tx1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Straight Connector 8">
                <a:extLst>
                  <a:ext uri="{FF2B5EF4-FFF2-40B4-BE49-F238E27FC236}">
                    <a16:creationId xmlns:a16="http://schemas.microsoft.com/office/drawing/2014/main" id="{CDD47C14-DF38-691D-E59D-1D68BE3F6462}"/>
                  </a:ext>
                </a:extLst>
              </xdr:cNvPr>
              <xdr:cNvCxnSpPr/>
            </xdr:nvCxnSpPr>
            <xdr:spPr>
              <a:xfrm>
                <a:off x="10984709" y="3046343"/>
                <a:ext cx="0" cy="1228725"/>
              </a:xfrm>
              <a:prstGeom prst="line">
                <a:avLst/>
              </a:prstGeom>
              <a:ln w="50800">
                <a:solidFill>
                  <a:schemeClr val="tx1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0" name="Right Triangle 9">
                <a:extLst>
                  <a:ext uri="{FF2B5EF4-FFF2-40B4-BE49-F238E27FC236}">
                    <a16:creationId xmlns:a16="http://schemas.microsoft.com/office/drawing/2014/main" id="{13E5C06B-36D9-DCB5-E442-0AB3C0C62C67}"/>
                  </a:ext>
                </a:extLst>
              </xdr:cNvPr>
              <xdr:cNvSpPr/>
            </xdr:nvSpPr>
            <xdr:spPr>
              <a:xfrm>
                <a:off x="10996782" y="4163095"/>
                <a:ext cx="133645" cy="104775"/>
              </a:xfrm>
              <a:prstGeom prst="rtTriangle">
                <a:avLst/>
              </a:prstGeom>
              <a:solidFill>
                <a:schemeClr val="tx1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11" name="Right Triangle 10">
                <a:extLst>
                  <a:ext uri="{FF2B5EF4-FFF2-40B4-BE49-F238E27FC236}">
                    <a16:creationId xmlns:a16="http://schemas.microsoft.com/office/drawing/2014/main" id="{92992B75-26C6-CC4E-96D1-03A57F6FCEB1}"/>
                  </a:ext>
                </a:extLst>
              </xdr:cNvPr>
              <xdr:cNvSpPr/>
            </xdr:nvSpPr>
            <xdr:spPr>
              <a:xfrm rot="16200000">
                <a:off x="8711590" y="4143878"/>
                <a:ext cx="104775" cy="152738"/>
              </a:xfrm>
              <a:prstGeom prst="rtTriangle">
                <a:avLst/>
              </a:prstGeom>
              <a:solidFill>
                <a:schemeClr val="tx1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</xdr:grpSp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C69DD120-84CE-0C60-94DA-E80CDBBA703D}"/>
                </a:ext>
              </a:extLst>
            </xdr:cNvPr>
            <xdr:cNvSpPr/>
          </xdr:nvSpPr>
          <xdr:spPr>
            <a:xfrm>
              <a:off x="10991022" y="3074919"/>
              <a:ext cx="232341" cy="1066385"/>
            </a:xfrm>
            <a:prstGeom prst="rect">
              <a:avLst/>
            </a:prstGeom>
            <a:solidFill>
              <a:schemeClr val="bg1">
                <a:lumMod val="6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</xdr:grpSp>
    </xdr:grpSp>
    <xdr:clientData/>
  </xdr:twoCellAnchor>
  <xdr:twoCellAnchor>
    <xdr:from>
      <xdr:col>7</xdr:col>
      <xdr:colOff>8285</xdr:colOff>
      <xdr:row>36</xdr:row>
      <xdr:rowOff>19050</xdr:rowOff>
    </xdr:from>
    <xdr:to>
      <xdr:col>10</xdr:col>
      <xdr:colOff>220321</xdr:colOff>
      <xdr:row>45</xdr:row>
      <xdr:rowOff>19050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2C75AECE-B91F-4D19-A126-2F5FCBFEF0B1}"/>
            </a:ext>
          </a:extLst>
        </xdr:cNvPr>
        <xdr:cNvGrpSpPr/>
      </xdr:nvGrpSpPr>
      <xdr:grpSpPr>
        <a:xfrm>
          <a:off x="7222437" y="8748920"/>
          <a:ext cx="3119232" cy="2095500"/>
          <a:chOff x="8523621" y="8010525"/>
          <a:chExt cx="2974308" cy="1905000"/>
        </a:xfrm>
      </xdr:grpSpPr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0DA57F02-0415-CA7F-113B-E9BFF8FE8A0A}"/>
              </a:ext>
            </a:extLst>
          </xdr:cNvPr>
          <xdr:cNvGrpSpPr/>
        </xdr:nvGrpSpPr>
        <xdr:grpSpPr>
          <a:xfrm>
            <a:off x="8523621" y="8010525"/>
            <a:ext cx="2974308" cy="1905000"/>
            <a:chOff x="8523621" y="8010525"/>
            <a:chExt cx="2974308" cy="1905000"/>
          </a:xfrm>
        </xdr:grpSpPr>
        <xdr:grpSp>
          <xdr:nvGrpSpPr>
            <xdr:cNvPr id="22" name="Group 21">
              <a:extLst>
                <a:ext uri="{FF2B5EF4-FFF2-40B4-BE49-F238E27FC236}">
                  <a16:creationId xmlns:a16="http://schemas.microsoft.com/office/drawing/2014/main" id="{BA2C8431-A9CE-7889-CF8D-D5476A71FF8C}"/>
                </a:ext>
              </a:extLst>
            </xdr:cNvPr>
            <xdr:cNvGrpSpPr/>
          </xdr:nvGrpSpPr>
          <xdr:grpSpPr>
            <a:xfrm>
              <a:off x="8523621" y="8010525"/>
              <a:ext cx="2974308" cy="1257300"/>
              <a:chOff x="8418846" y="3019425"/>
              <a:chExt cx="2974308" cy="1257300"/>
            </a:xfrm>
          </xdr:grpSpPr>
          <xdr:sp macro="" textlink="">
            <xdr:nvSpPr>
              <xdr:cNvPr id="27" name="Rectangle 26">
                <a:extLst>
                  <a:ext uri="{FF2B5EF4-FFF2-40B4-BE49-F238E27FC236}">
                    <a16:creationId xmlns:a16="http://schemas.microsoft.com/office/drawing/2014/main" id="{7A4F9EAB-9F1A-0E19-5118-5783E418F4ED}"/>
                  </a:ext>
                </a:extLst>
              </xdr:cNvPr>
              <xdr:cNvSpPr/>
            </xdr:nvSpPr>
            <xdr:spPr>
              <a:xfrm>
                <a:off x="8572500" y="3076575"/>
                <a:ext cx="247650" cy="1095375"/>
              </a:xfrm>
              <a:prstGeom prst="rect">
                <a:avLst/>
              </a:prstGeom>
              <a:solidFill>
                <a:schemeClr val="bg1">
                  <a:lumMod val="6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grpSp>
            <xdr:nvGrpSpPr>
              <xdr:cNvPr id="28" name="Group 27">
                <a:extLst>
                  <a:ext uri="{FF2B5EF4-FFF2-40B4-BE49-F238E27FC236}">
                    <a16:creationId xmlns:a16="http://schemas.microsoft.com/office/drawing/2014/main" id="{B4AEF3D9-7905-E6D8-4E7E-24B996876E08}"/>
                  </a:ext>
                </a:extLst>
              </xdr:cNvPr>
              <xdr:cNvGrpSpPr/>
            </xdr:nvGrpSpPr>
            <xdr:grpSpPr>
              <a:xfrm>
                <a:off x="8418846" y="3019425"/>
                <a:ext cx="2974308" cy="1257300"/>
                <a:chOff x="8418846" y="3019425"/>
                <a:chExt cx="2974308" cy="1257300"/>
              </a:xfrm>
            </xdr:grpSpPr>
            <xdr:grpSp>
              <xdr:nvGrpSpPr>
                <xdr:cNvPr id="29" name="Group 28">
                  <a:extLst>
                    <a:ext uri="{FF2B5EF4-FFF2-40B4-BE49-F238E27FC236}">
                      <a16:creationId xmlns:a16="http://schemas.microsoft.com/office/drawing/2014/main" id="{CA7ECDB2-7B84-84F8-3618-D3341DE6FBF7}"/>
                    </a:ext>
                  </a:extLst>
                </xdr:cNvPr>
                <xdr:cNvGrpSpPr/>
              </xdr:nvGrpSpPr>
              <xdr:grpSpPr>
                <a:xfrm>
                  <a:off x="8418846" y="3019425"/>
                  <a:ext cx="2974308" cy="685800"/>
                  <a:chOff x="8418846" y="3019425"/>
                  <a:chExt cx="2974308" cy="685800"/>
                </a:xfrm>
                <a:solidFill>
                  <a:schemeClr val="tx1"/>
                </a:solidFill>
              </xdr:grpSpPr>
              <xdr:cxnSp macro="">
                <xdr:nvCxnSpPr>
                  <xdr:cNvPr id="36" name="Straight Connector 35">
                    <a:extLst>
                      <a:ext uri="{FF2B5EF4-FFF2-40B4-BE49-F238E27FC236}">
                        <a16:creationId xmlns:a16="http://schemas.microsoft.com/office/drawing/2014/main" id="{7B8EF9ED-5133-25A5-D6AE-809EB2FB23A2}"/>
                      </a:ext>
                    </a:extLst>
                  </xdr:cNvPr>
                  <xdr:cNvCxnSpPr/>
                </xdr:nvCxnSpPr>
                <xdr:spPr>
                  <a:xfrm>
                    <a:off x="8543925" y="3019425"/>
                    <a:ext cx="9525" cy="685800"/>
                  </a:xfrm>
                  <a:prstGeom prst="line">
                    <a:avLst/>
                  </a:prstGeom>
                  <a:grpFill/>
                  <a:ln w="63500"/>
                </xdr:spPr>
                <xdr:style>
                  <a:lnRef idx="2">
                    <a:schemeClr val="dk1"/>
                  </a:lnRef>
                  <a:fillRef idx="0">
                    <a:schemeClr val="dk1"/>
                  </a:fillRef>
                  <a:effectRef idx="1">
                    <a:schemeClr val="dk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7" name="Straight Connector 36">
                    <a:extLst>
                      <a:ext uri="{FF2B5EF4-FFF2-40B4-BE49-F238E27FC236}">
                        <a16:creationId xmlns:a16="http://schemas.microsoft.com/office/drawing/2014/main" id="{022EC98F-BCDF-8B70-C296-7B453443E615}"/>
                      </a:ext>
                    </a:extLst>
                  </xdr:cNvPr>
                  <xdr:cNvCxnSpPr/>
                </xdr:nvCxnSpPr>
                <xdr:spPr>
                  <a:xfrm>
                    <a:off x="11249025" y="3019425"/>
                    <a:ext cx="9525" cy="666750"/>
                  </a:xfrm>
                  <a:prstGeom prst="line">
                    <a:avLst/>
                  </a:prstGeom>
                  <a:grpFill/>
                  <a:ln w="63500"/>
                </xdr:spPr>
                <xdr:style>
                  <a:lnRef idx="2">
                    <a:schemeClr val="dk1"/>
                  </a:lnRef>
                  <a:fillRef idx="0">
                    <a:schemeClr val="dk1"/>
                  </a:fillRef>
                  <a:effectRef idx="1">
                    <a:schemeClr val="dk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38" name="Right Triangle 37">
                    <a:extLst>
                      <a:ext uri="{FF2B5EF4-FFF2-40B4-BE49-F238E27FC236}">
                        <a16:creationId xmlns:a16="http://schemas.microsoft.com/office/drawing/2014/main" id="{9FEC220D-6F27-58D6-177E-1CE52E546A47}"/>
                      </a:ext>
                    </a:extLst>
                  </xdr:cNvPr>
                  <xdr:cNvSpPr/>
                </xdr:nvSpPr>
                <xdr:spPr>
                  <a:xfrm rot="16200000">
                    <a:off x="8414083" y="3577879"/>
                    <a:ext cx="123825" cy="114300"/>
                  </a:xfrm>
                  <a:prstGeom prst="rtTriangle">
                    <a:avLst/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GB" sz="1100"/>
                  </a:p>
                </xdr:txBody>
              </xdr:sp>
              <xdr:sp macro="" textlink="">
                <xdr:nvSpPr>
                  <xdr:cNvPr id="39" name="Right Triangle 38">
                    <a:extLst>
                      <a:ext uri="{FF2B5EF4-FFF2-40B4-BE49-F238E27FC236}">
                        <a16:creationId xmlns:a16="http://schemas.microsoft.com/office/drawing/2014/main" id="{13F6A65A-0F75-0F79-0216-90422ED93FDC}"/>
                      </a:ext>
                    </a:extLst>
                  </xdr:cNvPr>
                  <xdr:cNvSpPr/>
                </xdr:nvSpPr>
                <xdr:spPr>
                  <a:xfrm>
                    <a:off x="11278854" y="3554067"/>
                    <a:ext cx="114300" cy="123825"/>
                  </a:xfrm>
                  <a:prstGeom prst="rtTriangle">
                    <a:avLst/>
                  </a:prstGeom>
                  <a:grp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GB" sz="1100"/>
                  </a:p>
                </xdr:txBody>
              </xdr:sp>
            </xdr:grpSp>
            <xdr:grpSp>
              <xdr:nvGrpSpPr>
                <xdr:cNvPr id="30" name="Group 29">
                  <a:extLst>
                    <a:ext uri="{FF2B5EF4-FFF2-40B4-BE49-F238E27FC236}">
                      <a16:creationId xmlns:a16="http://schemas.microsoft.com/office/drawing/2014/main" id="{EF49768C-239D-BFC4-CCAF-7EF95A288572}"/>
                    </a:ext>
                  </a:extLst>
                </xdr:cNvPr>
                <xdr:cNvGrpSpPr/>
              </xdr:nvGrpSpPr>
              <xdr:grpSpPr>
                <a:xfrm>
                  <a:off x="8682038" y="3048000"/>
                  <a:ext cx="2462212" cy="1228725"/>
                  <a:chOff x="8682038" y="3048000"/>
                  <a:chExt cx="2462212" cy="1228725"/>
                </a:xfrm>
              </xdr:grpSpPr>
              <xdr:cxnSp macro="">
                <xdr:nvCxnSpPr>
                  <xdr:cNvPr id="32" name="Straight Connector 31">
                    <a:extLst>
                      <a:ext uri="{FF2B5EF4-FFF2-40B4-BE49-F238E27FC236}">
                        <a16:creationId xmlns:a16="http://schemas.microsoft.com/office/drawing/2014/main" id="{BC99235D-E403-D150-55D9-847BC45122BE}"/>
                      </a:ext>
                    </a:extLst>
                  </xdr:cNvPr>
                  <xdr:cNvCxnSpPr/>
                </xdr:nvCxnSpPr>
                <xdr:spPr>
                  <a:xfrm>
                    <a:off x="8829675" y="3048000"/>
                    <a:ext cx="0" cy="1228725"/>
                  </a:xfrm>
                  <a:prstGeom prst="line">
                    <a:avLst/>
                  </a:prstGeom>
                  <a:ln w="508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3" name="Straight Connector 32">
                    <a:extLst>
                      <a:ext uri="{FF2B5EF4-FFF2-40B4-BE49-F238E27FC236}">
                        <a16:creationId xmlns:a16="http://schemas.microsoft.com/office/drawing/2014/main" id="{2F34B79A-4F24-D475-05F8-E71F9AFE87D1}"/>
                      </a:ext>
                    </a:extLst>
                  </xdr:cNvPr>
                  <xdr:cNvCxnSpPr/>
                </xdr:nvCxnSpPr>
                <xdr:spPr>
                  <a:xfrm>
                    <a:off x="10982325" y="3048000"/>
                    <a:ext cx="0" cy="1228725"/>
                  </a:xfrm>
                  <a:prstGeom prst="line">
                    <a:avLst/>
                  </a:prstGeom>
                  <a:ln w="508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34" name="Right Triangle 33">
                    <a:extLst>
                      <a:ext uri="{FF2B5EF4-FFF2-40B4-BE49-F238E27FC236}">
                        <a16:creationId xmlns:a16="http://schemas.microsoft.com/office/drawing/2014/main" id="{5024029A-58FD-7AE2-6B9C-64D1CC8DF822}"/>
                      </a:ext>
                    </a:extLst>
                  </xdr:cNvPr>
                  <xdr:cNvSpPr/>
                </xdr:nvSpPr>
                <xdr:spPr>
                  <a:xfrm>
                    <a:off x="11010900" y="4171949"/>
                    <a:ext cx="133350" cy="104775"/>
                  </a:xfrm>
                  <a:prstGeom prst="rtTriangle">
                    <a:avLst/>
                  </a:prstGeom>
                  <a:solidFill>
                    <a:schemeClr val="tx1"/>
                  </a:solidFill>
                  <a:ln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GB" sz="1100"/>
                  </a:p>
                </xdr:txBody>
              </xdr:sp>
              <xdr:sp macro="" textlink="">
                <xdr:nvSpPr>
                  <xdr:cNvPr id="35" name="Right Triangle 34">
                    <a:extLst>
                      <a:ext uri="{FF2B5EF4-FFF2-40B4-BE49-F238E27FC236}">
                        <a16:creationId xmlns:a16="http://schemas.microsoft.com/office/drawing/2014/main" id="{4C5CDFCC-B8EF-E040-74DF-E732EDEC6215}"/>
                      </a:ext>
                    </a:extLst>
                  </xdr:cNvPr>
                  <xdr:cNvSpPr/>
                </xdr:nvSpPr>
                <xdr:spPr>
                  <a:xfrm rot="16200000">
                    <a:off x="8705850" y="4144617"/>
                    <a:ext cx="104775" cy="152400"/>
                  </a:xfrm>
                  <a:prstGeom prst="rtTriangle">
                    <a:avLst/>
                  </a:prstGeom>
                  <a:solidFill>
                    <a:schemeClr val="tx1"/>
                  </a:solidFill>
                  <a:ln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GB" sz="1100"/>
                  </a:p>
                </xdr:txBody>
              </xdr:sp>
            </xdr:grpSp>
            <xdr:sp macro="" textlink="">
              <xdr:nvSpPr>
                <xdr:cNvPr id="31" name="Rectangle 30">
                  <a:extLst>
                    <a:ext uri="{FF2B5EF4-FFF2-40B4-BE49-F238E27FC236}">
                      <a16:creationId xmlns:a16="http://schemas.microsoft.com/office/drawing/2014/main" id="{7B0E3787-7818-4EDB-962E-6681CAD1652A}"/>
                    </a:ext>
                  </a:extLst>
                </xdr:cNvPr>
                <xdr:cNvSpPr/>
              </xdr:nvSpPr>
              <xdr:spPr>
                <a:xfrm>
                  <a:off x="11010901" y="3076576"/>
                  <a:ext cx="209550" cy="1076324"/>
                </a:xfrm>
                <a:prstGeom prst="rect">
                  <a:avLst/>
                </a:prstGeom>
                <a:solidFill>
                  <a:schemeClr val="bg1">
                    <a:lumMod val="6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GB" sz="1100"/>
                </a:p>
              </xdr:txBody>
            </xdr:sp>
          </xdr:grpSp>
        </xdr:grpSp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45B10C7B-3567-3CBE-A170-75BBD7824E68}"/>
                </a:ext>
              </a:extLst>
            </xdr:cNvPr>
            <xdr:cNvCxnSpPr/>
          </xdr:nvCxnSpPr>
          <xdr:spPr>
            <a:xfrm>
              <a:off x="9153525" y="8048625"/>
              <a:ext cx="0" cy="1847850"/>
            </a:xfrm>
            <a:prstGeom prst="line">
              <a:avLst/>
            </a:prstGeom>
            <a:ln w="38100"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B8CCDBF9-DD9D-2A3F-F7F6-B567E1C12B57}"/>
                </a:ext>
              </a:extLst>
            </xdr:cNvPr>
            <xdr:cNvCxnSpPr/>
          </xdr:nvCxnSpPr>
          <xdr:spPr>
            <a:xfrm>
              <a:off x="10887075" y="8067675"/>
              <a:ext cx="0" cy="1847850"/>
            </a:xfrm>
            <a:prstGeom prst="line">
              <a:avLst/>
            </a:prstGeom>
            <a:ln w="38100"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5" name="Right Triangle 24">
              <a:extLst>
                <a:ext uri="{FF2B5EF4-FFF2-40B4-BE49-F238E27FC236}">
                  <a16:creationId xmlns:a16="http://schemas.microsoft.com/office/drawing/2014/main" id="{FE279814-78AF-94F1-55BE-F979131586F8}"/>
                </a:ext>
              </a:extLst>
            </xdr:cNvPr>
            <xdr:cNvSpPr/>
          </xdr:nvSpPr>
          <xdr:spPr>
            <a:xfrm>
              <a:off x="10897853" y="9809507"/>
              <a:ext cx="133350" cy="104775"/>
            </a:xfrm>
            <a:prstGeom prst="rtTriangle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26" name="Right Triangle 25">
              <a:extLst>
                <a:ext uri="{FF2B5EF4-FFF2-40B4-BE49-F238E27FC236}">
                  <a16:creationId xmlns:a16="http://schemas.microsoft.com/office/drawing/2014/main" id="{53C0B8D9-2132-E927-6992-7155DD27C0CB}"/>
                </a:ext>
              </a:extLst>
            </xdr:cNvPr>
            <xdr:cNvSpPr/>
          </xdr:nvSpPr>
          <xdr:spPr>
            <a:xfrm rot="16200000">
              <a:off x="9023685" y="9766645"/>
              <a:ext cx="152400" cy="104775"/>
            </a:xfrm>
            <a:prstGeom prst="rtTriangle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</xdr:grp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E88052F1-A1A4-E4DD-BDFB-10DC900B5502}"/>
              </a:ext>
            </a:extLst>
          </xdr:cNvPr>
          <xdr:cNvSpPr/>
        </xdr:nvSpPr>
        <xdr:spPr>
          <a:xfrm>
            <a:off x="8963025" y="8753476"/>
            <a:ext cx="171450" cy="514349"/>
          </a:xfrm>
          <a:prstGeom prst="rect">
            <a:avLst/>
          </a:prstGeom>
          <a:solidFill>
            <a:schemeClr val="bg1">
              <a:lumMod val="6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5CD2EFB0-5547-F2BD-EA3A-179D254297B7}"/>
              </a:ext>
            </a:extLst>
          </xdr:cNvPr>
          <xdr:cNvSpPr/>
        </xdr:nvSpPr>
        <xdr:spPr>
          <a:xfrm>
            <a:off x="10896600" y="8753476"/>
            <a:ext cx="171450" cy="514349"/>
          </a:xfrm>
          <a:prstGeom prst="rect">
            <a:avLst/>
          </a:prstGeom>
          <a:solidFill>
            <a:schemeClr val="bg1">
              <a:lumMod val="6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0FCC80B9-8182-2C12-0B33-BB809EDCD0C5}"/>
              </a:ext>
            </a:extLst>
          </xdr:cNvPr>
          <xdr:cNvSpPr/>
        </xdr:nvSpPr>
        <xdr:spPr>
          <a:xfrm>
            <a:off x="8982075" y="9267827"/>
            <a:ext cx="152400" cy="466724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2D96D2B5-DF07-6B0B-721D-15C9BAE2445E}"/>
              </a:ext>
            </a:extLst>
          </xdr:cNvPr>
          <xdr:cNvSpPr/>
        </xdr:nvSpPr>
        <xdr:spPr>
          <a:xfrm>
            <a:off x="10896600" y="9267826"/>
            <a:ext cx="171450" cy="514349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7</xdr:col>
      <xdr:colOff>0</xdr:colOff>
      <xdr:row>66</xdr:row>
      <xdr:rowOff>66675</xdr:rowOff>
    </xdr:from>
    <xdr:to>
      <xdr:col>10</xdr:col>
      <xdr:colOff>180975</xdr:colOff>
      <xdr:row>76</xdr:row>
      <xdr:rowOff>10954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FED39EAB-ADF4-47F7-BC2E-B1B83B4B70EA}"/>
            </a:ext>
          </a:extLst>
        </xdr:cNvPr>
        <xdr:cNvGrpSpPr/>
      </xdr:nvGrpSpPr>
      <xdr:grpSpPr>
        <a:xfrm>
          <a:off x="7214152" y="16557349"/>
          <a:ext cx="3088171" cy="2230279"/>
          <a:chOff x="8515350" y="15449550"/>
          <a:chExt cx="2943225" cy="2230279"/>
        </a:xfrm>
      </xdr:grpSpPr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49F25F09-4A08-5DC1-ECD7-9D644978A642}"/>
              </a:ext>
            </a:extLst>
          </xdr:cNvPr>
          <xdr:cNvGrpSpPr/>
        </xdr:nvGrpSpPr>
        <xdr:grpSpPr>
          <a:xfrm>
            <a:off x="8515350" y="15449550"/>
            <a:ext cx="2943225" cy="2230279"/>
            <a:chOff x="8515350" y="15449550"/>
            <a:chExt cx="2943225" cy="2230279"/>
          </a:xfrm>
        </xdr:grpSpPr>
        <xdr:grpSp>
          <xdr:nvGrpSpPr>
            <xdr:cNvPr id="46" name="Group 45">
              <a:extLst>
                <a:ext uri="{FF2B5EF4-FFF2-40B4-BE49-F238E27FC236}">
                  <a16:creationId xmlns:a16="http://schemas.microsoft.com/office/drawing/2014/main" id="{8A4EA586-128B-888C-F62A-F5C04397F5E7}"/>
                </a:ext>
              </a:extLst>
            </xdr:cNvPr>
            <xdr:cNvGrpSpPr/>
          </xdr:nvGrpSpPr>
          <xdr:grpSpPr>
            <a:xfrm>
              <a:off x="8515350" y="15449550"/>
              <a:ext cx="2943225" cy="1838325"/>
              <a:chOff x="8515350" y="8010525"/>
              <a:chExt cx="2943225" cy="1905000"/>
            </a:xfrm>
          </xdr:grpSpPr>
          <xdr:grpSp>
            <xdr:nvGrpSpPr>
              <xdr:cNvPr id="51" name="Group 50">
                <a:extLst>
                  <a:ext uri="{FF2B5EF4-FFF2-40B4-BE49-F238E27FC236}">
                    <a16:creationId xmlns:a16="http://schemas.microsoft.com/office/drawing/2014/main" id="{348E2BBA-DC29-5B8F-84AA-8249C9C5E2FC}"/>
                  </a:ext>
                </a:extLst>
              </xdr:cNvPr>
              <xdr:cNvGrpSpPr/>
            </xdr:nvGrpSpPr>
            <xdr:grpSpPr>
              <a:xfrm>
                <a:off x="8515350" y="8010525"/>
                <a:ext cx="2943225" cy="1905000"/>
                <a:chOff x="8515350" y="8010525"/>
                <a:chExt cx="2943225" cy="1905000"/>
              </a:xfrm>
            </xdr:grpSpPr>
            <xdr:grpSp>
              <xdr:nvGrpSpPr>
                <xdr:cNvPr id="56" name="Group 55">
                  <a:extLst>
                    <a:ext uri="{FF2B5EF4-FFF2-40B4-BE49-F238E27FC236}">
                      <a16:creationId xmlns:a16="http://schemas.microsoft.com/office/drawing/2014/main" id="{8A90D05D-BCD9-F693-80E1-B2B48CCACC4B}"/>
                    </a:ext>
                  </a:extLst>
                </xdr:cNvPr>
                <xdr:cNvGrpSpPr/>
              </xdr:nvGrpSpPr>
              <xdr:grpSpPr>
                <a:xfrm>
                  <a:off x="8515350" y="8010525"/>
                  <a:ext cx="2943225" cy="1262062"/>
                  <a:chOff x="8410575" y="3019425"/>
                  <a:chExt cx="2943225" cy="1262062"/>
                </a:xfrm>
              </xdr:grpSpPr>
              <xdr:sp macro="" textlink="">
                <xdr:nvSpPr>
                  <xdr:cNvPr id="61" name="Rectangle 60">
                    <a:extLst>
                      <a:ext uri="{FF2B5EF4-FFF2-40B4-BE49-F238E27FC236}">
                        <a16:creationId xmlns:a16="http://schemas.microsoft.com/office/drawing/2014/main" id="{498B1105-3EDA-3323-027A-6C8FF90484E6}"/>
                      </a:ext>
                    </a:extLst>
                  </xdr:cNvPr>
                  <xdr:cNvSpPr/>
                </xdr:nvSpPr>
                <xdr:spPr>
                  <a:xfrm>
                    <a:off x="8572500" y="3076575"/>
                    <a:ext cx="247650" cy="1095375"/>
                  </a:xfrm>
                  <a:prstGeom prst="rect">
                    <a:avLst/>
                  </a:prstGeom>
                  <a:solidFill>
                    <a:schemeClr val="bg1">
                      <a:lumMod val="65000"/>
                    </a:schemeClr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GB" sz="1100"/>
                  </a:p>
                </xdr:txBody>
              </xdr:sp>
              <xdr:grpSp>
                <xdr:nvGrpSpPr>
                  <xdr:cNvPr id="62" name="Group 61">
                    <a:extLst>
                      <a:ext uri="{FF2B5EF4-FFF2-40B4-BE49-F238E27FC236}">
                        <a16:creationId xmlns:a16="http://schemas.microsoft.com/office/drawing/2014/main" id="{E895305E-195A-AB65-C16F-0B042D3751DC}"/>
                      </a:ext>
                    </a:extLst>
                  </xdr:cNvPr>
                  <xdr:cNvGrpSpPr/>
                </xdr:nvGrpSpPr>
                <xdr:grpSpPr>
                  <a:xfrm>
                    <a:off x="8410575" y="3019425"/>
                    <a:ext cx="2943225" cy="1262062"/>
                    <a:chOff x="8410575" y="3019425"/>
                    <a:chExt cx="2943225" cy="1262062"/>
                  </a:xfrm>
                </xdr:grpSpPr>
                <xdr:grpSp>
                  <xdr:nvGrpSpPr>
                    <xdr:cNvPr id="63" name="Group 62">
                      <a:extLst>
                        <a:ext uri="{FF2B5EF4-FFF2-40B4-BE49-F238E27FC236}">
                          <a16:creationId xmlns:a16="http://schemas.microsoft.com/office/drawing/2014/main" id="{9893B1AA-F2F3-5CDE-AFA0-AE7E58B4C999}"/>
                        </a:ext>
                      </a:extLst>
                    </xdr:cNvPr>
                    <xdr:cNvGrpSpPr/>
                  </xdr:nvGrpSpPr>
                  <xdr:grpSpPr>
                    <a:xfrm>
                      <a:off x="8410575" y="3019425"/>
                      <a:ext cx="2943225" cy="685800"/>
                      <a:chOff x="8410575" y="3019425"/>
                      <a:chExt cx="2943225" cy="685800"/>
                    </a:xfrm>
                    <a:solidFill>
                      <a:schemeClr val="tx1"/>
                    </a:solidFill>
                  </xdr:grpSpPr>
                  <xdr:cxnSp macro="">
                    <xdr:nvCxnSpPr>
                      <xdr:cNvPr id="70" name="Straight Connector 69">
                        <a:extLst>
                          <a:ext uri="{FF2B5EF4-FFF2-40B4-BE49-F238E27FC236}">
                            <a16:creationId xmlns:a16="http://schemas.microsoft.com/office/drawing/2014/main" id="{D1F40636-88A2-E403-21F0-1E680BBC1F74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8543925" y="3019425"/>
                        <a:ext cx="9525" cy="685800"/>
                      </a:xfrm>
                      <a:prstGeom prst="line">
                        <a:avLst/>
                      </a:prstGeom>
                      <a:grpFill/>
                      <a:ln w="63500"/>
                    </xdr:spPr>
                    <xdr:style>
                      <a:lnRef idx="2">
                        <a:schemeClr val="dk1"/>
                      </a:lnRef>
                      <a:fillRef idx="0">
                        <a:schemeClr val="dk1"/>
                      </a:fillRef>
                      <a:effectRef idx="1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71" name="Straight Connector 70">
                        <a:extLst>
                          <a:ext uri="{FF2B5EF4-FFF2-40B4-BE49-F238E27FC236}">
                            <a16:creationId xmlns:a16="http://schemas.microsoft.com/office/drawing/2014/main" id="{3994DD50-59FF-DF77-C627-E9B8A7A935A7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11249025" y="3019425"/>
                        <a:ext cx="9525" cy="666750"/>
                      </a:xfrm>
                      <a:prstGeom prst="line">
                        <a:avLst/>
                      </a:prstGeom>
                      <a:grpFill/>
                      <a:ln w="63500"/>
                    </xdr:spPr>
                    <xdr:style>
                      <a:lnRef idx="2">
                        <a:schemeClr val="dk1"/>
                      </a:lnRef>
                      <a:fillRef idx="0">
                        <a:schemeClr val="dk1"/>
                      </a:fillRef>
                      <a:effectRef idx="1">
                        <a:schemeClr val="dk1"/>
                      </a:effectRef>
                      <a:fontRef idx="minor">
                        <a:schemeClr val="tx1"/>
                      </a:fontRef>
                    </xdr:style>
                  </xdr:cxnSp>
                  <xdr:sp macro="" textlink="">
                    <xdr:nvSpPr>
                      <xdr:cNvPr id="72" name="Right Triangle 71">
                        <a:extLst>
                          <a:ext uri="{FF2B5EF4-FFF2-40B4-BE49-F238E27FC236}">
                            <a16:creationId xmlns:a16="http://schemas.microsoft.com/office/drawing/2014/main" id="{B9000F1C-1959-45CD-3F14-A4A08922DA12}"/>
                          </a:ext>
                        </a:extLst>
                      </xdr:cNvPr>
                      <xdr:cNvSpPr/>
                    </xdr:nvSpPr>
                    <xdr:spPr>
                      <a:xfrm rot="16200000">
                        <a:off x="8405812" y="3586162"/>
                        <a:ext cx="123825" cy="114300"/>
                      </a:xfrm>
                      <a:prstGeom prst="rtTriangle">
                        <a:avLst/>
                      </a:prstGeom>
                      <a:grpFill/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lang="en-GB" sz="1100"/>
                      </a:p>
                    </xdr:txBody>
                  </xdr:sp>
                  <xdr:sp macro="" textlink="">
                    <xdr:nvSpPr>
                      <xdr:cNvPr id="73" name="Right Triangle 72">
                        <a:extLst>
                          <a:ext uri="{FF2B5EF4-FFF2-40B4-BE49-F238E27FC236}">
                            <a16:creationId xmlns:a16="http://schemas.microsoft.com/office/drawing/2014/main" id="{003362E0-258D-76EB-AAF2-A15AF34528BC}"/>
                          </a:ext>
                        </a:extLst>
                      </xdr:cNvPr>
                      <xdr:cNvSpPr/>
                    </xdr:nvSpPr>
                    <xdr:spPr>
                      <a:xfrm>
                        <a:off x="11239500" y="3552480"/>
                        <a:ext cx="114300" cy="123825"/>
                      </a:xfrm>
                      <a:prstGeom prst="rtTriangle">
                        <a:avLst/>
                      </a:prstGeom>
                      <a:grpFill/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lang="en-GB" sz="1100"/>
                      </a:p>
                    </xdr:txBody>
                  </xdr:sp>
                </xdr:grpSp>
                <xdr:grpSp>
                  <xdr:nvGrpSpPr>
                    <xdr:cNvPr id="64" name="Group 63">
                      <a:extLst>
                        <a:ext uri="{FF2B5EF4-FFF2-40B4-BE49-F238E27FC236}">
                          <a16:creationId xmlns:a16="http://schemas.microsoft.com/office/drawing/2014/main" id="{24675FC3-B536-45BD-8366-A42569F3451A}"/>
                        </a:ext>
                      </a:extLst>
                    </xdr:cNvPr>
                    <xdr:cNvGrpSpPr/>
                  </xdr:nvGrpSpPr>
                  <xdr:grpSpPr>
                    <a:xfrm>
                      <a:off x="8682038" y="3048000"/>
                      <a:ext cx="2462212" cy="1233487"/>
                      <a:chOff x="8682038" y="3048000"/>
                      <a:chExt cx="2462212" cy="1233487"/>
                    </a:xfrm>
                  </xdr:grpSpPr>
                  <xdr:cxnSp macro="">
                    <xdr:nvCxnSpPr>
                      <xdr:cNvPr id="66" name="Straight Connector 65">
                        <a:extLst>
                          <a:ext uri="{FF2B5EF4-FFF2-40B4-BE49-F238E27FC236}">
                            <a16:creationId xmlns:a16="http://schemas.microsoft.com/office/drawing/2014/main" id="{12399446-0CDD-EC8B-E4D6-004552709D83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8829675" y="3048000"/>
                        <a:ext cx="0" cy="1228725"/>
                      </a:xfrm>
                      <a:prstGeom prst="line">
                        <a:avLst/>
                      </a:prstGeom>
                      <a:ln w="508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67" name="Straight Connector 66">
                        <a:extLst>
                          <a:ext uri="{FF2B5EF4-FFF2-40B4-BE49-F238E27FC236}">
                            <a16:creationId xmlns:a16="http://schemas.microsoft.com/office/drawing/2014/main" id="{FD1BD90C-52DA-E0BD-8948-468E7321AD98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10982325" y="3048000"/>
                        <a:ext cx="0" cy="1228725"/>
                      </a:xfrm>
                      <a:prstGeom prst="line">
                        <a:avLst/>
                      </a:prstGeom>
                      <a:ln w="508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sp macro="" textlink="">
                    <xdr:nvSpPr>
                      <xdr:cNvPr id="68" name="Right Triangle 67">
                        <a:extLst>
                          <a:ext uri="{FF2B5EF4-FFF2-40B4-BE49-F238E27FC236}">
                            <a16:creationId xmlns:a16="http://schemas.microsoft.com/office/drawing/2014/main" id="{A624D6FF-DE6B-E8E6-EBF4-CBCDEA14F49F}"/>
                          </a:ext>
                        </a:extLst>
                      </xdr:cNvPr>
                      <xdr:cNvSpPr/>
                    </xdr:nvSpPr>
                    <xdr:spPr>
                      <a:xfrm>
                        <a:off x="11010900" y="4171949"/>
                        <a:ext cx="133350" cy="104775"/>
                      </a:xfrm>
                      <a:prstGeom prst="rtTriangle">
                        <a:avLst/>
                      </a:prstGeom>
                      <a:solidFill>
                        <a:schemeClr val="tx1"/>
                      </a:solidFill>
                      <a:ln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lang="en-GB" sz="1100"/>
                      </a:p>
                    </xdr:txBody>
                  </xdr:sp>
                  <xdr:sp macro="" textlink="">
                    <xdr:nvSpPr>
                      <xdr:cNvPr id="69" name="Right Triangle 68">
                        <a:extLst>
                          <a:ext uri="{FF2B5EF4-FFF2-40B4-BE49-F238E27FC236}">
                            <a16:creationId xmlns:a16="http://schemas.microsoft.com/office/drawing/2014/main" id="{A1383498-D93B-3493-2D5F-D8CF5493C3F0}"/>
                          </a:ext>
                        </a:extLst>
                      </xdr:cNvPr>
                      <xdr:cNvSpPr/>
                    </xdr:nvSpPr>
                    <xdr:spPr>
                      <a:xfrm rot="16200000">
                        <a:off x="8705850" y="4152900"/>
                        <a:ext cx="104775" cy="152400"/>
                      </a:xfrm>
                      <a:prstGeom prst="rtTriangle">
                        <a:avLst/>
                      </a:prstGeom>
                      <a:solidFill>
                        <a:schemeClr val="tx1"/>
                      </a:solidFill>
                      <a:ln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lang="en-GB" sz="1100"/>
                      </a:p>
                    </xdr:txBody>
                  </xdr:sp>
                </xdr:grpSp>
                <xdr:sp macro="" textlink="">
                  <xdr:nvSpPr>
                    <xdr:cNvPr id="65" name="Rectangle 64">
                      <a:extLst>
                        <a:ext uri="{FF2B5EF4-FFF2-40B4-BE49-F238E27FC236}">
                          <a16:creationId xmlns:a16="http://schemas.microsoft.com/office/drawing/2014/main" id="{9E9112D7-A722-E14E-149D-2DCEF45A23A2}"/>
                        </a:ext>
                      </a:extLst>
                    </xdr:cNvPr>
                    <xdr:cNvSpPr/>
                  </xdr:nvSpPr>
                  <xdr:spPr>
                    <a:xfrm>
                      <a:off x="11010901" y="3076576"/>
                      <a:ext cx="209550" cy="1076324"/>
                    </a:xfrm>
                    <a:prstGeom prst="rect">
                      <a:avLst/>
                    </a:prstGeom>
                    <a:solidFill>
                      <a:schemeClr val="bg1">
                        <a:lumMod val="65000"/>
                      </a:schemeClr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GB" sz="1100"/>
                    </a:p>
                  </xdr:txBody>
                </xdr:sp>
              </xdr:grpSp>
            </xdr:grpSp>
            <xdr:cxnSp macro="">
              <xdr:nvCxnSpPr>
                <xdr:cNvPr id="57" name="Straight Connector 56">
                  <a:extLst>
                    <a:ext uri="{FF2B5EF4-FFF2-40B4-BE49-F238E27FC236}">
                      <a16:creationId xmlns:a16="http://schemas.microsoft.com/office/drawing/2014/main" id="{29622F8A-6806-BCD7-4EA4-17B8E51FEAAE}"/>
                    </a:ext>
                  </a:extLst>
                </xdr:cNvPr>
                <xdr:cNvCxnSpPr/>
              </xdr:nvCxnSpPr>
              <xdr:spPr>
                <a:xfrm>
                  <a:off x="9153525" y="8048625"/>
                  <a:ext cx="0" cy="1847850"/>
                </a:xfrm>
                <a:prstGeom prst="line">
                  <a:avLst/>
                </a:prstGeom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58" name="Straight Connector 57">
                  <a:extLst>
                    <a:ext uri="{FF2B5EF4-FFF2-40B4-BE49-F238E27FC236}">
                      <a16:creationId xmlns:a16="http://schemas.microsoft.com/office/drawing/2014/main" id="{9987C677-CE65-C0A6-121C-B34EA1FE049D}"/>
                    </a:ext>
                  </a:extLst>
                </xdr:cNvPr>
                <xdr:cNvCxnSpPr/>
              </xdr:nvCxnSpPr>
              <xdr:spPr>
                <a:xfrm>
                  <a:off x="10887075" y="8067675"/>
                  <a:ext cx="0" cy="1847850"/>
                </a:xfrm>
                <a:prstGeom prst="line">
                  <a:avLst/>
                </a:prstGeom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9" name="Right Triangle 58">
                  <a:extLst>
                    <a:ext uri="{FF2B5EF4-FFF2-40B4-BE49-F238E27FC236}">
                      <a16:creationId xmlns:a16="http://schemas.microsoft.com/office/drawing/2014/main" id="{9A1EA4C4-D51D-8D5D-309C-9573320E3569}"/>
                    </a:ext>
                  </a:extLst>
                </xdr:cNvPr>
                <xdr:cNvSpPr/>
              </xdr:nvSpPr>
              <xdr:spPr>
                <a:xfrm>
                  <a:off x="10897854" y="9809808"/>
                  <a:ext cx="133350" cy="104775"/>
                </a:xfrm>
                <a:prstGeom prst="rtTriangle">
                  <a:avLst/>
                </a:prstGeom>
                <a:solidFill>
                  <a:schemeClr val="tx1"/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GB" sz="1100"/>
                </a:p>
              </xdr:txBody>
            </xdr:sp>
            <xdr:sp macro="" textlink="">
              <xdr:nvSpPr>
                <xdr:cNvPr id="60" name="Right Triangle 59">
                  <a:extLst>
                    <a:ext uri="{FF2B5EF4-FFF2-40B4-BE49-F238E27FC236}">
                      <a16:creationId xmlns:a16="http://schemas.microsoft.com/office/drawing/2014/main" id="{CCBC3EAB-21E6-2858-2C5A-9EC55751EAD5}"/>
                    </a:ext>
                  </a:extLst>
                </xdr:cNvPr>
                <xdr:cNvSpPr/>
              </xdr:nvSpPr>
              <xdr:spPr>
                <a:xfrm rot="16200000">
                  <a:off x="9015413" y="9758362"/>
                  <a:ext cx="152400" cy="104775"/>
                </a:xfrm>
                <a:prstGeom prst="rtTriangle">
                  <a:avLst/>
                </a:prstGeom>
                <a:solidFill>
                  <a:schemeClr val="tx1"/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GB" sz="1100"/>
                </a:p>
              </xdr:txBody>
            </xdr:sp>
          </xdr:grpSp>
          <xdr:sp macro="" textlink="">
            <xdr:nvSpPr>
              <xdr:cNvPr id="52" name="Rectangle 51">
                <a:extLst>
                  <a:ext uri="{FF2B5EF4-FFF2-40B4-BE49-F238E27FC236}">
                    <a16:creationId xmlns:a16="http://schemas.microsoft.com/office/drawing/2014/main" id="{217FDF87-9DAA-0248-BCD8-0C453E15D9A0}"/>
                  </a:ext>
                </a:extLst>
              </xdr:cNvPr>
              <xdr:cNvSpPr/>
            </xdr:nvSpPr>
            <xdr:spPr>
              <a:xfrm>
                <a:off x="8963025" y="8753476"/>
                <a:ext cx="171450" cy="514349"/>
              </a:xfrm>
              <a:prstGeom prst="rect">
                <a:avLst/>
              </a:prstGeom>
              <a:solidFill>
                <a:schemeClr val="bg1">
                  <a:lumMod val="6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53" name="Rectangle 52">
                <a:extLst>
                  <a:ext uri="{FF2B5EF4-FFF2-40B4-BE49-F238E27FC236}">
                    <a16:creationId xmlns:a16="http://schemas.microsoft.com/office/drawing/2014/main" id="{ECD61089-E821-53C1-9637-2548823A9A14}"/>
                  </a:ext>
                </a:extLst>
              </xdr:cNvPr>
              <xdr:cNvSpPr/>
            </xdr:nvSpPr>
            <xdr:spPr>
              <a:xfrm>
                <a:off x="10896600" y="8753476"/>
                <a:ext cx="171450" cy="514349"/>
              </a:xfrm>
              <a:prstGeom prst="rect">
                <a:avLst/>
              </a:prstGeom>
              <a:solidFill>
                <a:schemeClr val="bg1">
                  <a:lumMod val="6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54" name="Rectangle 53">
                <a:extLst>
                  <a:ext uri="{FF2B5EF4-FFF2-40B4-BE49-F238E27FC236}">
                    <a16:creationId xmlns:a16="http://schemas.microsoft.com/office/drawing/2014/main" id="{00A92731-6E6A-F581-FB1D-C5F6515C56DB}"/>
                  </a:ext>
                </a:extLst>
              </xdr:cNvPr>
              <xdr:cNvSpPr/>
            </xdr:nvSpPr>
            <xdr:spPr>
              <a:xfrm>
                <a:off x="8963025" y="9267826"/>
                <a:ext cx="171450" cy="460161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55" name="Rectangle 54">
                <a:extLst>
                  <a:ext uri="{FF2B5EF4-FFF2-40B4-BE49-F238E27FC236}">
                    <a16:creationId xmlns:a16="http://schemas.microsoft.com/office/drawing/2014/main" id="{D1F66886-5995-D8B5-93BE-73C90A7358A8}"/>
                  </a:ext>
                </a:extLst>
              </xdr:cNvPr>
              <xdr:cNvSpPr/>
            </xdr:nvSpPr>
            <xdr:spPr>
              <a:xfrm>
                <a:off x="10896600" y="9267826"/>
                <a:ext cx="171450" cy="514349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</xdr:grpSp>
        <xdr:cxnSp macro="">
          <xdr:nvCxnSpPr>
            <xdr:cNvPr id="47" name="Straight Connector 46">
              <a:extLst>
                <a:ext uri="{FF2B5EF4-FFF2-40B4-BE49-F238E27FC236}">
                  <a16:creationId xmlns:a16="http://schemas.microsoft.com/office/drawing/2014/main" id="{8CB656C4-E2A1-58E1-CF20-6971FE35408C}"/>
                </a:ext>
              </a:extLst>
            </xdr:cNvPr>
            <xdr:cNvCxnSpPr/>
          </xdr:nvCxnSpPr>
          <xdr:spPr>
            <a:xfrm flipH="1">
              <a:off x="9382125" y="15487650"/>
              <a:ext cx="9525" cy="2190750"/>
            </a:xfrm>
            <a:prstGeom prst="line">
              <a:avLst/>
            </a:prstGeom>
            <a:ln w="31750"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8" name="Straight Connector 47">
              <a:extLst>
                <a:ext uri="{FF2B5EF4-FFF2-40B4-BE49-F238E27FC236}">
                  <a16:creationId xmlns:a16="http://schemas.microsoft.com/office/drawing/2014/main" id="{5138EE6B-F5A8-4A33-8A45-7E7F50702EA7}"/>
                </a:ext>
              </a:extLst>
            </xdr:cNvPr>
            <xdr:cNvCxnSpPr/>
          </xdr:nvCxnSpPr>
          <xdr:spPr>
            <a:xfrm flipH="1">
              <a:off x="10648950" y="15487650"/>
              <a:ext cx="9525" cy="2190750"/>
            </a:xfrm>
            <a:prstGeom prst="line">
              <a:avLst/>
            </a:prstGeom>
            <a:ln w="31750"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9" name="Right Triangle 48">
              <a:extLst>
                <a:ext uri="{FF2B5EF4-FFF2-40B4-BE49-F238E27FC236}">
                  <a16:creationId xmlns:a16="http://schemas.microsoft.com/office/drawing/2014/main" id="{CC8DC7DA-14AC-1197-0EC4-CDA29F8351B7}"/>
                </a:ext>
              </a:extLst>
            </xdr:cNvPr>
            <xdr:cNvSpPr/>
          </xdr:nvSpPr>
          <xdr:spPr>
            <a:xfrm>
              <a:off x="10660570" y="17578721"/>
              <a:ext cx="133350" cy="101108"/>
            </a:xfrm>
            <a:prstGeom prst="rtTriangle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50" name="Right Triangle 49">
              <a:extLst>
                <a:ext uri="{FF2B5EF4-FFF2-40B4-BE49-F238E27FC236}">
                  <a16:creationId xmlns:a16="http://schemas.microsoft.com/office/drawing/2014/main" id="{C9A6FC85-1A82-0425-F9BD-6010CC366BCC}"/>
                </a:ext>
              </a:extLst>
            </xdr:cNvPr>
            <xdr:cNvSpPr/>
          </xdr:nvSpPr>
          <xdr:spPr>
            <a:xfrm rot="16200000">
              <a:off x="9250870" y="17552480"/>
              <a:ext cx="104775" cy="147066"/>
            </a:xfrm>
            <a:prstGeom prst="rtTriangle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</xdr:grpSp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4698781B-9DE6-6A75-629C-53392904E82E}"/>
              </a:ext>
            </a:extLst>
          </xdr:cNvPr>
          <xdr:cNvSpPr/>
        </xdr:nvSpPr>
        <xdr:spPr>
          <a:xfrm>
            <a:off x="9163050" y="16573500"/>
            <a:ext cx="209550" cy="533400"/>
          </a:xfrm>
          <a:prstGeom prst="rect">
            <a:avLst/>
          </a:prstGeom>
          <a:solidFill>
            <a:schemeClr val="bg1">
              <a:lumMod val="6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43" name="Rectangle 42">
            <a:extLst>
              <a:ext uri="{FF2B5EF4-FFF2-40B4-BE49-F238E27FC236}">
                <a16:creationId xmlns:a16="http://schemas.microsoft.com/office/drawing/2014/main" id="{C64255BF-B277-FF63-F239-ADC4BD8AC060}"/>
              </a:ext>
            </a:extLst>
          </xdr:cNvPr>
          <xdr:cNvSpPr/>
        </xdr:nvSpPr>
        <xdr:spPr>
          <a:xfrm>
            <a:off x="10677526" y="16563975"/>
            <a:ext cx="190499" cy="496347"/>
          </a:xfrm>
          <a:prstGeom prst="rect">
            <a:avLst/>
          </a:prstGeom>
          <a:solidFill>
            <a:schemeClr val="bg1">
              <a:lumMod val="6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44" name="Rectangle 43">
            <a:extLst>
              <a:ext uri="{FF2B5EF4-FFF2-40B4-BE49-F238E27FC236}">
                <a16:creationId xmlns:a16="http://schemas.microsoft.com/office/drawing/2014/main" id="{BC62D3F3-7FB7-4963-8B41-970F203E2240}"/>
              </a:ext>
            </a:extLst>
          </xdr:cNvPr>
          <xdr:cNvSpPr/>
        </xdr:nvSpPr>
        <xdr:spPr>
          <a:xfrm>
            <a:off x="9163050" y="17069847"/>
            <a:ext cx="209550" cy="477204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45" name="Rectangle 44">
            <a:extLst>
              <a:ext uri="{FF2B5EF4-FFF2-40B4-BE49-F238E27FC236}">
                <a16:creationId xmlns:a16="http://schemas.microsoft.com/office/drawing/2014/main" id="{CF591A14-6F62-9F46-3B3F-66F4C589BE43}"/>
              </a:ext>
            </a:extLst>
          </xdr:cNvPr>
          <xdr:cNvSpPr/>
        </xdr:nvSpPr>
        <xdr:spPr>
          <a:xfrm>
            <a:off x="10667999" y="17060322"/>
            <a:ext cx="209551" cy="496347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6</xdr:col>
      <xdr:colOff>293613</xdr:colOff>
      <xdr:row>97</xdr:row>
      <xdr:rowOff>9525</xdr:rowOff>
    </xdr:from>
    <xdr:to>
      <xdr:col>9</xdr:col>
      <xdr:colOff>1029522</xdr:colOff>
      <xdr:row>109</xdr:row>
      <xdr:rowOff>19050</xdr:rowOff>
    </xdr:to>
    <xdr:grpSp>
      <xdr:nvGrpSpPr>
        <xdr:cNvPr id="74" name="Group 73">
          <a:extLst>
            <a:ext uri="{FF2B5EF4-FFF2-40B4-BE49-F238E27FC236}">
              <a16:creationId xmlns:a16="http://schemas.microsoft.com/office/drawing/2014/main" id="{45DBFA89-EAEB-4871-A640-341A7B2F2ACA}"/>
            </a:ext>
          </a:extLst>
        </xdr:cNvPr>
        <xdr:cNvGrpSpPr/>
      </xdr:nvGrpSpPr>
      <xdr:grpSpPr>
        <a:xfrm>
          <a:off x="6762330" y="24426655"/>
          <a:ext cx="2930801" cy="2502591"/>
          <a:chOff x="8198517" y="23164800"/>
          <a:chExt cx="2926683" cy="2686050"/>
        </a:xfrm>
      </xdr:grpSpPr>
      <xdr:grpSp>
        <xdr:nvGrpSpPr>
          <xdr:cNvPr id="75" name="Group 74">
            <a:extLst>
              <a:ext uri="{FF2B5EF4-FFF2-40B4-BE49-F238E27FC236}">
                <a16:creationId xmlns:a16="http://schemas.microsoft.com/office/drawing/2014/main" id="{B024DE92-F4F8-5866-B5ED-296F9838CF19}"/>
              </a:ext>
            </a:extLst>
          </xdr:cNvPr>
          <xdr:cNvGrpSpPr/>
        </xdr:nvGrpSpPr>
        <xdr:grpSpPr>
          <a:xfrm>
            <a:off x="8198517" y="23164800"/>
            <a:ext cx="2926683" cy="2686050"/>
            <a:chOff x="8198517" y="23164800"/>
            <a:chExt cx="2926683" cy="2686050"/>
          </a:xfrm>
        </xdr:grpSpPr>
        <xdr:grpSp>
          <xdr:nvGrpSpPr>
            <xdr:cNvPr id="78" name="Group 77">
              <a:extLst>
                <a:ext uri="{FF2B5EF4-FFF2-40B4-BE49-F238E27FC236}">
                  <a16:creationId xmlns:a16="http://schemas.microsoft.com/office/drawing/2014/main" id="{FF99D589-05A8-70DF-4669-76A755E56023}"/>
                </a:ext>
              </a:extLst>
            </xdr:cNvPr>
            <xdr:cNvGrpSpPr/>
          </xdr:nvGrpSpPr>
          <xdr:grpSpPr>
            <a:xfrm>
              <a:off x="8198517" y="23164800"/>
              <a:ext cx="2926683" cy="2230279"/>
              <a:chOff x="8531892" y="15449550"/>
              <a:chExt cx="2926683" cy="2230279"/>
            </a:xfrm>
          </xdr:grpSpPr>
          <xdr:grpSp>
            <xdr:nvGrpSpPr>
              <xdr:cNvPr id="90" name="Group 89">
                <a:extLst>
                  <a:ext uri="{FF2B5EF4-FFF2-40B4-BE49-F238E27FC236}">
                    <a16:creationId xmlns:a16="http://schemas.microsoft.com/office/drawing/2014/main" id="{048BBB5B-2B3E-A109-7588-A876676B7235}"/>
                  </a:ext>
                </a:extLst>
              </xdr:cNvPr>
              <xdr:cNvGrpSpPr/>
            </xdr:nvGrpSpPr>
            <xdr:grpSpPr>
              <a:xfrm>
                <a:off x="8531892" y="15449550"/>
                <a:ext cx="2926683" cy="2230279"/>
                <a:chOff x="8531892" y="15449550"/>
                <a:chExt cx="2926683" cy="2230279"/>
              </a:xfrm>
            </xdr:grpSpPr>
            <xdr:grpSp>
              <xdr:nvGrpSpPr>
                <xdr:cNvPr id="95" name="Group 94">
                  <a:extLst>
                    <a:ext uri="{FF2B5EF4-FFF2-40B4-BE49-F238E27FC236}">
                      <a16:creationId xmlns:a16="http://schemas.microsoft.com/office/drawing/2014/main" id="{84FBA67C-A67D-4550-A8B3-A789B22B1D35}"/>
                    </a:ext>
                  </a:extLst>
                </xdr:cNvPr>
                <xdr:cNvGrpSpPr/>
              </xdr:nvGrpSpPr>
              <xdr:grpSpPr>
                <a:xfrm>
                  <a:off x="8531892" y="15449550"/>
                  <a:ext cx="2926683" cy="1838325"/>
                  <a:chOff x="8531892" y="8010525"/>
                  <a:chExt cx="2926683" cy="1905000"/>
                </a:xfrm>
              </xdr:grpSpPr>
              <xdr:grpSp>
                <xdr:nvGrpSpPr>
                  <xdr:cNvPr id="100" name="Group 99">
                    <a:extLst>
                      <a:ext uri="{FF2B5EF4-FFF2-40B4-BE49-F238E27FC236}">
                        <a16:creationId xmlns:a16="http://schemas.microsoft.com/office/drawing/2014/main" id="{9A0FF961-D174-C52A-04F7-005C362555A4}"/>
                      </a:ext>
                    </a:extLst>
                  </xdr:cNvPr>
                  <xdr:cNvGrpSpPr/>
                </xdr:nvGrpSpPr>
                <xdr:grpSpPr>
                  <a:xfrm>
                    <a:off x="8531892" y="8010525"/>
                    <a:ext cx="2926683" cy="1905000"/>
                    <a:chOff x="8531892" y="8010525"/>
                    <a:chExt cx="2926683" cy="1905000"/>
                  </a:xfrm>
                </xdr:grpSpPr>
                <xdr:grpSp>
                  <xdr:nvGrpSpPr>
                    <xdr:cNvPr id="105" name="Group 104">
                      <a:extLst>
                        <a:ext uri="{FF2B5EF4-FFF2-40B4-BE49-F238E27FC236}">
                          <a16:creationId xmlns:a16="http://schemas.microsoft.com/office/drawing/2014/main" id="{5BE2B26A-DA50-0F3D-434B-B89480AC2F80}"/>
                        </a:ext>
                      </a:extLst>
                    </xdr:cNvPr>
                    <xdr:cNvGrpSpPr/>
                  </xdr:nvGrpSpPr>
                  <xdr:grpSpPr>
                    <a:xfrm>
                      <a:off x="8531892" y="8010525"/>
                      <a:ext cx="2926683" cy="1262062"/>
                      <a:chOff x="8427117" y="3019425"/>
                      <a:chExt cx="2926683" cy="1262062"/>
                    </a:xfrm>
                  </xdr:grpSpPr>
                  <xdr:sp macro="" textlink="">
                    <xdr:nvSpPr>
                      <xdr:cNvPr id="110" name="Rectangle 109">
                        <a:extLst>
                          <a:ext uri="{FF2B5EF4-FFF2-40B4-BE49-F238E27FC236}">
                            <a16:creationId xmlns:a16="http://schemas.microsoft.com/office/drawing/2014/main" id="{1EBB0FC3-1F84-C74C-0403-DDAF91232218}"/>
                          </a:ext>
                        </a:extLst>
                      </xdr:cNvPr>
                      <xdr:cNvSpPr/>
                    </xdr:nvSpPr>
                    <xdr:spPr>
                      <a:xfrm>
                        <a:off x="8572500" y="3076575"/>
                        <a:ext cx="247650" cy="1095375"/>
                      </a:xfrm>
                      <a:prstGeom prst="rect">
                        <a:avLst/>
                      </a:prstGeom>
                      <a:solidFill>
                        <a:schemeClr val="bg1">
                          <a:lumMod val="65000"/>
                        </a:schemeClr>
                      </a:solidFill>
                      <a:ln>
                        <a:noFill/>
                      </a:ln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lang="en-GB" sz="1100"/>
                      </a:p>
                    </xdr:txBody>
                  </xdr:sp>
                  <xdr:grpSp>
                    <xdr:nvGrpSpPr>
                      <xdr:cNvPr id="111" name="Group 110">
                        <a:extLst>
                          <a:ext uri="{FF2B5EF4-FFF2-40B4-BE49-F238E27FC236}">
                            <a16:creationId xmlns:a16="http://schemas.microsoft.com/office/drawing/2014/main" id="{B6B7916D-388A-DC5D-F865-2480A5819452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8427117" y="3019425"/>
                        <a:ext cx="2926683" cy="1262062"/>
                        <a:chOff x="8427117" y="3019425"/>
                        <a:chExt cx="2926683" cy="1262062"/>
                      </a:xfrm>
                    </xdr:grpSpPr>
                    <xdr:grpSp>
                      <xdr:nvGrpSpPr>
                        <xdr:cNvPr id="112" name="Group 111">
                          <a:extLst>
                            <a:ext uri="{FF2B5EF4-FFF2-40B4-BE49-F238E27FC236}">
                              <a16:creationId xmlns:a16="http://schemas.microsoft.com/office/drawing/2014/main" id="{3883AD6F-064E-7014-0F92-0C1E79B1BEDC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8427117" y="3019425"/>
                          <a:ext cx="2926683" cy="685800"/>
                          <a:chOff x="8427117" y="3019425"/>
                          <a:chExt cx="2926683" cy="685800"/>
                        </a:xfrm>
                        <a:solidFill>
                          <a:schemeClr val="tx1"/>
                        </a:solidFill>
                      </xdr:grpSpPr>
                      <xdr:cxnSp macro="">
                        <xdr:nvCxnSpPr>
                          <xdr:cNvPr id="119" name="Straight Connector 118">
                            <a:extLst>
                              <a:ext uri="{FF2B5EF4-FFF2-40B4-BE49-F238E27FC236}">
                                <a16:creationId xmlns:a16="http://schemas.microsoft.com/office/drawing/2014/main" id="{53C8EEF8-3731-6E91-4E33-3BBE94451C30}"/>
                              </a:ext>
                            </a:extLst>
                          </xdr:cNvPr>
                          <xdr:cNvCxnSpPr/>
                        </xdr:nvCxnSpPr>
                        <xdr:spPr>
                          <a:xfrm>
                            <a:off x="8543925" y="3019425"/>
                            <a:ext cx="9525" cy="685800"/>
                          </a:xfrm>
                          <a:prstGeom prst="line">
                            <a:avLst/>
                          </a:prstGeom>
                          <a:grpFill/>
                          <a:ln w="63500"/>
                        </xdr:spPr>
                        <xdr:style>
                          <a:lnRef idx="2">
                            <a:schemeClr val="dk1"/>
                          </a:lnRef>
                          <a:fillRef idx="0">
                            <a:schemeClr val="dk1"/>
                          </a:fillRef>
                          <a:effectRef idx="1">
                            <a:schemeClr val="dk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120" name="Straight Connector 119">
                            <a:extLst>
                              <a:ext uri="{FF2B5EF4-FFF2-40B4-BE49-F238E27FC236}">
                                <a16:creationId xmlns:a16="http://schemas.microsoft.com/office/drawing/2014/main" id="{372AB14C-7A78-D3E5-58E1-77A9259422A5}"/>
                              </a:ext>
                            </a:extLst>
                          </xdr:cNvPr>
                          <xdr:cNvCxnSpPr/>
                        </xdr:nvCxnSpPr>
                        <xdr:spPr>
                          <a:xfrm>
                            <a:off x="11249025" y="3019425"/>
                            <a:ext cx="9525" cy="666750"/>
                          </a:xfrm>
                          <a:prstGeom prst="line">
                            <a:avLst/>
                          </a:prstGeom>
                          <a:grpFill/>
                          <a:ln w="63500"/>
                        </xdr:spPr>
                        <xdr:style>
                          <a:lnRef idx="2">
                            <a:schemeClr val="dk1"/>
                          </a:lnRef>
                          <a:fillRef idx="0">
                            <a:schemeClr val="dk1"/>
                          </a:fillRef>
                          <a:effectRef idx="1">
                            <a:schemeClr val="dk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sp macro="" textlink="">
                        <xdr:nvSpPr>
                          <xdr:cNvPr id="121" name="Right Triangle 120">
                            <a:extLst>
                              <a:ext uri="{FF2B5EF4-FFF2-40B4-BE49-F238E27FC236}">
                                <a16:creationId xmlns:a16="http://schemas.microsoft.com/office/drawing/2014/main" id="{1540BE6F-3C88-6F25-0DDA-1B50C9998048}"/>
                              </a:ext>
                            </a:extLst>
                          </xdr:cNvPr>
                          <xdr:cNvSpPr/>
                        </xdr:nvSpPr>
                        <xdr:spPr>
                          <a:xfrm rot="16200000">
                            <a:off x="8422354" y="3577574"/>
                            <a:ext cx="123825" cy="114300"/>
                          </a:xfrm>
                          <a:prstGeom prst="rtTriangle">
                            <a:avLst/>
                          </a:prstGeom>
                          <a:grpFill/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en-GB" sz="1100"/>
                          </a:p>
                        </xdr:txBody>
                      </xdr:sp>
                      <xdr:sp macro="" textlink="">
                        <xdr:nvSpPr>
                          <xdr:cNvPr id="122" name="Right Triangle 121">
                            <a:extLst>
                              <a:ext uri="{FF2B5EF4-FFF2-40B4-BE49-F238E27FC236}">
                                <a16:creationId xmlns:a16="http://schemas.microsoft.com/office/drawing/2014/main" id="{E37165AF-03C2-6CFE-4863-76A6511D1F81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11239500" y="3552480"/>
                            <a:ext cx="114300" cy="123825"/>
                          </a:xfrm>
                          <a:prstGeom prst="rtTriangle">
                            <a:avLst/>
                          </a:prstGeom>
                          <a:grpFill/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en-GB" sz="1100"/>
                          </a:p>
                        </xdr:txBody>
                      </xdr:sp>
                    </xdr:grpSp>
                    <xdr:grpSp>
                      <xdr:nvGrpSpPr>
                        <xdr:cNvPr id="113" name="Group 112">
                          <a:extLst>
                            <a:ext uri="{FF2B5EF4-FFF2-40B4-BE49-F238E27FC236}">
                              <a16:creationId xmlns:a16="http://schemas.microsoft.com/office/drawing/2014/main" id="{5E097589-4CD9-0B3B-30E2-564E79FD87FA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8682038" y="3048000"/>
                          <a:ext cx="2437396" cy="1233487"/>
                          <a:chOff x="8682038" y="3048000"/>
                          <a:chExt cx="2437396" cy="1233487"/>
                        </a:xfrm>
                      </xdr:grpSpPr>
                      <xdr:cxnSp macro="">
                        <xdr:nvCxnSpPr>
                          <xdr:cNvPr id="115" name="Straight Connector 114">
                            <a:extLst>
                              <a:ext uri="{FF2B5EF4-FFF2-40B4-BE49-F238E27FC236}">
                                <a16:creationId xmlns:a16="http://schemas.microsoft.com/office/drawing/2014/main" id="{6290AEC7-ECB1-2FBC-305F-9D1ADFD148B9}"/>
                              </a:ext>
                            </a:extLst>
                          </xdr:cNvPr>
                          <xdr:cNvCxnSpPr/>
                        </xdr:nvCxnSpPr>
                        <xdr:spPr>
                          <a:xfrm>
                            <a:off x="8829675" y="3048000"/>
                            <a:ext cx="0" cy="1228725"/>
                          </a:xfrm>
                          <a:prstGeom prst="line">
                            <a:avLst/>
                          </a:prstGeom>
                          <a:ln w="50800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1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116" name="Straight Connector 115">
                            <a:extLst>
                              <a:ext uri="{FF2B5EF4-FFF2-40B4-BE49-F238E27FC236}">
                                <a16:creationId xmlns:a16="http://schemas.microsoft.com/office/drawing/2014/main" id="{C620C3EE-C72C-CE6C-152B-5257FC15E44D}"/>
                              </a:ext>
                            </a:extLst>
                          </xdr:cNvPr>
                          <xdr:cNvCxnSpPr/>
                        </xdr:nvCxnSpPr>
                        <xdr:spPr>
                          <a:xfrm>
                            <a:off x="10982325" y="3048000"/>
                            <a:ext cx="0" cy="1228725"/>
                          </a:xfrm>
                          <a:prstGeom prst="line">
                            <a:avLst/>
                          </a:prstGeom>
                          <a:ln w="50800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1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sp macro="" textlink="">
                        <xdr:nvSpPr>
                          <xdr:cNvPr id="117" name="Right Triangle 116">
                            <a:extLst>
                              <a:ext uri="{FF2B5EF4-FFF2-40B4-BE49-F238E27FC236}">
                                <a16:creationId xmlns:a16="http://schemas.microsoft.com/office/drawing/2014/main" id="{1274EE2F-DC16-A8C8-5845-AF1549888FB8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10986084" y="4154774"/>
                            <a:ext cx="133350" cy="104775"/>
                          </a:xfrm>
                          <a:prstGeom prst="rtTriangle">
                            <a:avLst/>
                          </a:prstGeom>
                          <a:solidFill>
                            <a:schemeClr val="tx1"/>
                          </a:solidFill>
                          <a:ln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en-GB" sz="1100"/>
                          </a:p>
                        </xdr:txBody>
                      </xdr:sp>
                      <xdr:sp macro="" textlink="">
                        <xdr:nvSpPr>
                          <xdr:cNvPr id="118" name="Right Triangle 117">
                            <a:extLst>
                              <a:ext uri="{FF2B5EF4-FFF2-40B4-BE49-F238E27FC236}">
                                <a16:creationId xmlns:a16="http://schemas.microsoft.com/office/drawing/2014/main" id="{500BB7A0-7269-BE03-B48E-6F8619CB8EEC}"/>
                              </a:ext>
                            </a:extLst>
                          </xdr:cNvPr>
                          <xdr:cNvSpPr/>
                        </xdr:nvSpPr>
                        <xdr:spPr>
                          <a:xfrm rot="16200000">
                            <a:off x="8705850" y="4152900"/>
                            <a:ext cx="104775" cy="152400"/>
                          </a:xfrm>
                          <a:prstGeom prst="rtTriangle">
                            <a:avLst/>
                          </a:prstGeom>
                          <a:solidFill>
                            <a:schemeClr val="tx1"/>
                          </a:solidFill>
                          <a:ln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en-GB" sz="1100"/>
                          </a:p>
                        </xdr:txBody>
                      </xdr:sp>
                    </xdr:grpSp>
                    <xdr:sp macro="" textlink="">
                      <xdr:nvSpPr>
                        <xdr:cNvPr id="114" name="Rectangle 113">
                          <a:extLst>
                            <a:ext uri="{FF2B5EF4-FFF2-40B4-BE49-F238E27FC236}">
                              <a16:creationId xmlns:a16="http://schemas.microsoft.com/office/drawing/2014/main" id="{591885FC-2737-DA0B-6A6C-AE66B8EA06BA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0979127" y="3076577"/>
                          <a:ext cx="239856" cy="1014934"/>
                        </a:xfrm>
                        <a:prstGeom prst="rect">
                          <a:avLst/>
                        </a:prstGeom>
                        <a:solidFill>
                          <a:schemeClr val="bg1">
                            <a:lumMod val="65000"/>
                          </a:schemeClr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GB" sz="1100"/>
                        </a:p>
                      </xdr:txBody>
                    </xdr:sp>
                  </xdr:grpSp>
                </xdr:grpSp>
                <xdr:cxnSp macro="">
                  <xdr:nvCxnSpPr>
                    <xdr:cNvPr id="106" name="Straight Connector 105">
                      <a:extLst>
                        <a:ext uri="{FF2B5EF4-FFF2-40B4-BE49-F238E27FC236}">
                          <a16:creationId xmlns:a16="http://schemas.microsoft.com/office/drawing/2014/main" id="{985DA436-99B7-6318-E57C-7C5BE650ECE1}"/>
                        </a:ext>
                      </a:extLst>
                    </xdr:cNvPr>
                    <xdr:cNvCxnSpPr/>
                  </xdr:nvCxnSpPr>
                  <xdr:spPr>
                    <a:xfrm>
                      <a:off x="9153525" y="8048625"/>
                      <a:ext cx="0" cy="1847850"/>
                    </a:xfrm>
                    <a:prstGeom prst="line">
                      <a:avLst/>
                    </a:prstGeom>
                    <a:ln w="381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/>
                    </a:lnRef>
                    <a:fillRef idx="0">
                      <a:schemeClr val="accent1"/>
                    </a:fillRef>
                    <a:effectRef idx="1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07" name="Straight Connector 106">
                      <a:extLst>
                        <a:ext uri="{FF2B5EF4-FFF2-40B4-BE49-F238E27FC236}">
                          <a16:creationId xmlns:a16="http://schemas.microsoft.com/office/drawing/2014/main" id="{ED7A6CEE-6826-8EB9-1C56-7E6041E19629}"/>
                        </a:ext>
                      </a:extLst>
                    </xdr:cNvPr>
                    <xdr:cNvCxnSpPr/>
                  </xdr:nvCxnSpPr>
                  <xdr:spPr>
                    <a:xfrm>
                      <a:off x="10887075" y="8067675"/>
                      <a:ext cx="0" cy="1847850"/>
                    </a:xfrm>
                    <a:prstGeom prst="line">
                      <a:avLst/>
                    </a:prstGeom>
                    <a:ln w="381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/>
                    </a:lnRef>
                    <a:fillRef idx="0">
                      <a:schemeClr val="accent1"/>
                    </a:fillRef>
                    <a:effectRef idx="1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sp macro="" textlink="">
                  <xdr:nvSpPr>
                    <xdr:cNvPr id="108" name="Right Triangle 107">
                      <a:extLst>
                        <a:ext uri="{FF2B5EF4-FFF2-40B4-BE49-F238E27FC236}">
                          <a16:creationId xmlns:a16="http://schemas.microsoft.com/office/drawing/2014/main" id="{2A2F2831-48E8-D934-0A93-CF8A9D3757E0}"/>
                        </a:ext>
                      </a:extLst>
                    </xdr:cNvPr>
                    <xdr:cNvSpPr/>
                  </xdr:nvSpPr>
                  <xdr:spPr>
                    <a:xfrm>
                      <a:off x="10897854" y="9809812"/>
                      <a:ext cx="133350" cy="104775"/>
                    </a:xfrm>
                    <a:prstGeom prst="rtTriangle">
                      <a:avLst/>
                    </a:prstGeom>
                    <a:solidFill>
                      <a:schemeClr val="tx1"/>
                    </a:solidFill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GB" sz="1100"/>
                    </a:p>
                  </xdr:txBody>
                </xdr:sp>
                <xdr:sp macro="" textlink="">
                  <xdr:nvSpPr>
                    <xdr:cNvPr id="109" name="Right Triangle 108">
                      <a:extLst>
                        <a:ext uri="{FF2B5EF4-FFF2-40B4-BE49-F238E27FC236}">
                          <a16:creationId xmlns:a16="http://schemas.microsoft.com/office/drawing/2014/main" id="{060C3032-CFEC-B0F2-9AB3-C192C5051627}"/>
                        </a:ext>
                      </a:extLst>
                    </xdr:cNvPr>
                    <xdr:cNvSpPr/>
                  </xdr:nvSpPr>
                  <xdr:spPr>
                    <a:xfrm rot="16200000">
                      <a:off x="9015413" y="9766949"/>
                      <a:ext cx="152400" cy="104775"/>
                    </a:xfrm>
                    <a:prstGeom prst="rtTriangle">
                      <a:avLst/>
                    </a:prstGeom>
                    <a:solidFill>
                      <a:schemeClr val="tx1"/>
                    </a:solidFill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GB" sz="1100"/>
                    </a:p>
                  </xdr:txBody>
                </xdr:sp>
              </xdr:grpSp>
              <xdr:sp macro="" textlink="">
                <xdr:nvSpPr>
                  <xdr:cNvPr id="101" name="Rectangle 100">
                    <a:extLst>
                      <a:ext uri="{FF2B5EF4-FFF2-40B4-BE49-F238E27FC236}">
                        <a16:creationId xmlns:a16="http://schemas.microsoft.com/office/drawing/2014/main" id="{1FBDBBD9-BE70-A40C-0A58-F944DCC0503F}"/>
                      </a:ext>
                    </a:extLst>
                  </xdr:cNvPr>
                  <xdr:cNvSpPr/>
                </xdr:nvSpPr>
                <xdr:spPr>
                  <a:xfrm>
                    <a:off x="8941720" y="8753476"/>
                    <a:ext cx="201027" cy="514349"/>
                  </a:xfrm>
                  <a:prstGeom prst="rect">
                    <a:avLst/>
                  </a:prstGeom>
                  <a:solidFill>
                    <a:schemeClr val="bg1">
                      <a:lumMod val="65000"/>
                    </a:schemeClr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GB" sz="1100"/>
                  </a:p>
                </xdr:txBody>
              </xdr:sp>
              <xdr:sp macro="" textlink="">
                <xdr:nvSpPr>
                  <xdr:cNvPr id="102" name="Rectangle 101">
                    <a:extLst>
                      <a:ext uri="{FF2B5EF4-FFF2-40B4-BE49-F238E27FC236}">
                        <a16:creationId xmlns:a16="http://schemas.microsoft.com/office/drawing/2014/main" id="{BA16E30A-DD21-C11F-6255-35B7766F0E06}"/>
                      </a:ext>
                    </a:extLst>
                  </xdr:cNvPr>
                  <xdr:cNvSpPr/>
                </xdr:nvSpPr>
                <xdr:spPr>
                  <a:xfrm>
                    <a:off x="10896600" y="8753476"/>
                    <a:ext cx="171450" cy="514349"/>
                  </a:xfrm>
                  <a:prstGeom prst="rect">
                    <a:avLst/>
                  </a:prstGeom>
                  <a:solidFill>
                    <a:schemeClr val="bg1">
                      <a:lumMod val="65000"/>
                    </a:schemeClr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GB" sz="1100"/>
                  </a:p>
                </xdr:txBody>
              </xdr:sp>
              <xdr:sp macro="" textlink="">
                <xdr:nvSpPr>
                  <xdr:cNvPr id="103" name="Rectangle 102">
                    <a:extLst>
                      <a:ext uri="{FF2B5EF4-FFF2-40B4-BE49-F238E27FC236}">
                        <a16:creationId xmlns:a16="http://schemas.microsoft.com/office/drawing/2014/main" id="{555C16DE-020F-2836-18F3-C1BD75F753B9}"/>
                      </a:ext>
                    </a:extLst>
                  </xdr:cNvPr>
                  <xdr:cNvSpPr/>
                </xdr:nvSpPr>
                <xdr:spPr>
                  <a:xfrm>
                    <a:off x="8941720" y="9267826"/>
                    <a:ext cx="201027" cy="460161"/>
                  </a:xfrm>
                  <a:prstGeom prst="rect">
                    <a:avLst/>
                  </a:prstGeom>
                  <a:solidFill>
                    <a:schemeClr val="bg1">
                      <a:lumMod val="50000"/>
                    </a:schemeClr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GB" sz="1100"/>
                  </a:p>
                </xdr:txBody>
              </xdr:sp>
              <xdr:sp macro="" textlink="">
                <xdr:nvSpPr>
                  <xdr:cNvPr id="104" name="Rectangle 103">
                    <a:extLst>
                      <a:ext uri="{FF2B5EF4-FFF2-40B4-BE49-F238E27FC236}">
                        <a16:creationId xmlns:a16="http://schemas.microsoft.com/office/drawing/2014/main" id="{912DD688-95BB-5A0F-45F1-8570601590ED}"/>
                      </a:ext>
                    </a:extLst>
                  </xdr:cNvPr>
                  <xdr:cNvSpPr/>
                </xdr:nvSpPr>
                <xdr:spPr>
                  <a:xfrm>
                    <a:off x="10896600" y="9267826"/>
                    <a:ext cx="171450" cy="514349"/>
                  </a:xfrm>
                  <a:prstGeom prst="rect">
                    <a:avLst/>
                  </a:prstGeom>
                  <a:solidFill>
                    <a:schemeClr val="bg1">
                      <a:lumMod val="50000"/>
                    </a:schemeClr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GB" sz="1100"/>
                  </a:p>
                </xdr:txBody>
              </xdr:sp>
            </xdr:grpSp>
            <xdr:cxnSp macro="">
              <xdr:nvCxnSpPr>
                <xdr:cNvPr id="96" name="Straight Connector 95">
                  <a:extLst>
                    <a:ext uri="{FF2B5EF4-FFF2-40B4-BE49-F238E27FC236}">
                      <a16:creationId xmlns:a16="http://schemas.microsoft.com/office/drawing/2014/main" id="{52AF1E05-80EE-8B12-C681-C72B3B2A986A}"/>
                    </a:ext>
                  </a:extLst>
                </xdr:cNvPr>
                <xdr:cNvCxnSpPr/>
              </xdr:nvCxnSpPr>
              <xdr:spPr>
                <a:xfrm flipH="1">
                  <a:off x="9382125" y="15487650"/>
                  <a:ext cx="9525" cy="2190750"/>
                </a:xfrm>
                <a:prstGeom prst="line">
                  <a:avLst/>
                </a:prstGeom>
                <a:ln w="31750">
                  <a:solidFill>
                    <a:schemeClr val="tx1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97" name="Straight Connector 96">
                  <a:extLst>
                    <a:ext uri="{FF2B5EF4-FFF2-40B4-BE49-F238E27FC236}">
                      <a16:creationId xmlns:a16="http://schemas.microsoft.com/office/drawing/2014/main" id="{281984A3-0326-A535-8A98-27B912ACFC2A}"/>
                    </a:ext>
                  </a:extLst>
                </xdr:cNvPr>
                <xdr:cNvCxnSpPr/>
              </xdr:nvCxnSpPr>
              <xdr:spPr>
                <a:xfrm flipH="1">
                  <a:off x="10648950" y="15487650"/>
                  <a:ext cx="9525" cy="2190750"/>
                </a:xfrm>
                <a:prstGeom prst="line">
                  <a:avLst/>
                </a:prstGeom>
                <a:ln w="31750">
                  <a:solidFill>
                    <a:schemeClr val="tx1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98" name="Right Triangle 97">
                  <a:extLst>
                    <a:ext uri="{FF2B5EF4-FFF2-40B4-BE49-F238E27FC236}">
                      <a16:creationId xmlns:a16="http://schemas.microsoft.com/office/drawing/2014/main" id="{0E76CFFA-49B5-FB3D-BA97-7B4E84256846}"/>
                    </a:ext>
                  </a:extLst>
                </xdr:cNvPr>
                <xdr:cNvSpPr/>
              </xdr:nvSpPr>
              <xdr:spPr>
                <a:xfrm>
                  <a:off x="10660570" y="17578721"/>
                  <a:ext cx="133350" cy="101108"/>
                </a:xfrm>
                <a:prstGeom prst="rtTriangle">
                  <a:avLst/>
                </a:prstGeom>
                <a:solidFill>
                  <a:schemeClr val="tx1"/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GB" sz="1100"/>
                </a:p>
              </xdr:txBody>
            </xdr:sp>
            <xdr:sp macro="" textlink="">
              <xdr:nvSpPr>
                <xdr:cNvPr id="99" name="Right Triangle 98">
                  <a:extLst>
                    <a:ext uri="{FF2B5EF4-FFF2-40B4-BE49-F238E27FC236}">
                      <a16:creationId xmlns:a16="http://schemas.microsoft.com/office/drawing/2014/main" id="{B360C7BC-412A-6FB9-ADA5-CC5ED5B6B0F0}"/>
                    </a:ext>
                  </a:extLst>
                </xdr:cNvPr>
                <xdr:cNvSpPr/>
              </xdr:nvSpPr>
              <xdr:spPr>
                <a:xfrm rot="16200000">
                  <a:off x="9250870" y="17552480"/>
                  <a:ext cx="104775" cy="147066"/>
                </a:xfrm>
                <a:prstGeom prst="rtTriangle">
                  <a:avLst/>
                </a:prstGeom>
                <a:solidFill>
                  <a:schemeClr val="tx1"/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GB" sz="1100"/>
                </a:p>
              </xdr:txBody>
            </xdr:sp>
          </xdr:grpSp>
          <xdr:sp macro="" textlink="">
            <xdr:nvSpPr>
              <xdr:cNvPr id="91" name="Rectangle 90">
                <a:extLst>
                  <a:ext uri="{FF2B5EF4-FFF2-40B4-BE49-F238E27FC236}">
                    <a16:creationId xmlns:a16="http://schemas.microsoft.com/office/drawing/2014/main" id="{7289DB9D-1DD3-0BC2-490E-DC687BB32AB2}"/>
                  </a:ext>
                </a:extLst>
              </xdr:cNvPr>
              <xdr:cNvSpPr/>
            </xdr:nvSpPr>
            <xdr:spPr>
              <a:xfrm>
                <a:off x="9163050" y="16573500"/>
                <a:ext cx="209550" cy="533400"/>
              </a:xfrm>
              <a:prstGeom prst="rect">
                <a:avLst/>
              </a:prstGeom>
              <a:solidFill>
                <a:schemeClr val="bg1">
                  <a:lumMod val="6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92" name="Rectangle 91">
                <a:extLst>
                  <a:ext uri="{FF2B5EF4-FFF2-40B4-BE49-F238E27FC236}">
                    <a16:creationId xmlns:a16="http://schemas.microsoft.com/office/drawing/2014/main" id="{9EA16BF3-99E2-0CF5-5D67-00EB89CF6142}"/>
                  </a:ext>
                </a:extLst>
              </xdr:cNvPr>
              <xdr:cNvSpPr/>
            </xdr:nvSpPr>
            <xdr:spPr>
              <a:xfrm>
                <a:off x="10645539" y="16563975"/>
                <a:ext cx="222486" cy="496347"/>
              </a:xfrm>
              <a:prstGeom prst="rect">
                <a:avLst/>
              </a:prstGeom>
              <a:solidFill>
                <a:schemeClr val="bg1">
                  <a:lumMod val="6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93" name="Rectangle 92">
                <a:extLst>
                  <a:ext uri="{FF2B5EF4-FFF2-40B4-BE49-F238E27FC236}">
                    <a16:creationId xmlns:a16="http://schemas.microsoft.com/office/drawing/2014/main" id="{9605F9AC-4C23-83BE-481E-D2A4C80DC75B}"/>
                  </a:ext>
                </a:extLst>
              </xdr:cNvPr>
              <xdr:cNvSpPr/>
            </xdr:nvSpPr>
            <xdr:spPr>
              <a:xfrm>
                <a:off x="9163050" y="17069847"/>
                <a:ext cx="209550" cy="477204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94" name="Rectangle 93">
                <a:extLst>
                  <a:ext uri="{FF2B5EF4-FFF2-40B4-BE49-F238E27FC236}">
                    <a16:creationId xmlns:a16="http://schemas.microsoft.com/office/drawing/2014/main" id="{2D63A4D0-C0D5-AB32-1662-C2FC3AC2F910}"/>
                  </a:ext>
                </a:extLst>
              </xdr:cNvPr>
              <xdr:cNvSpPr/>
            </xdr:nvSpPr>
            <xdr:spPr>
              <a:xfrm>
                <a:off x="10637268" y="17060322"/>
                <a:ext cx="240283" cy="496347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</xdr:grpSp>
        <xdr:grpSp>
          <xdr:nvGrpSpPr>
            <xdr:cNvPr id="79" name="Group 78">
              <a:extLst>
                <a:ext uri="{FF2B5EF4-FFF2-40B4-BE49-F238E27FC236}">
                  <a16:creationId xmlns:a16="http://schemas.microsoft.com/office/drawing/2014/main" id="{83090D6E-AC55-CB01-131C-190F9D964F72}"/>
                </a:ext>
              </a:extLst>
            </xdr:cNvPr>
            <xdr:cNvGrpSpPr/>
          </xdr:nvGrpSpPr>
          <xdr:grpSpPr>
            <a:xfrm>
              <a:off x="9077325" y="24860250"/>
              <a:ext cx="1219200" cy="219075"/>
              <a:chOff x="9077325" y="24860250"/>
              <a:chExt cx="1219200" cy="219075"/>
            </a:xfrm>
          </xdr:grpSpPr>
          <xdr:sp macro="" textlink="">
            <xdr:nvSpPr>
              <xdr:cNvPr id="84" name="Rectangle 83">
                <a:extLst>
                  <a:ext uri="{FF2B5EF4-FFF2-40B4-BE49-F238E27FC236}">
                    <a16:creationId xmlns:a16="http://schemas.microsoft.com/office/drawing/2014/main" id="{649177BF-6986-CF3B-4DCA-49C445FB93ED}"/>
                  </a:ext>
                </a:extLst>
              </xdr:cNvPr>
              <xdr:cNvSpPr/>
            </xdr:nvSpPr>
            <xdr:spPr>
              <a:xfrm>
                <a:off x="9077325" y="24860250"/>
                <a:ext cx="133350" cy="209550"/>
              </a:xfrm>
              <a:prstGeom prst="rect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85" name="Rectangle 84">
                <a:extLst>
                  <a:ext uri="{FF2B5EF4-FFF2-40B4-BE49-F238E27FC236}">
                    <a16:creationId xmlns:a16="http://schemas.microsoft.com/office/drawing/2014/main" id="{58447025-878D-2C81-FFDC-6D1F7B8F3ADC}"/>
                  </a:ext>
                </a:extLst>
              </xdr:cNvPr>
              <xdr:cNvSpPr/>
            </xdr:nvSpPr>
            <xdr:spPr>
              <a:xfrm>
                <a:off x="10163175" y="24869775"/>
                <a:ext cx="133350" cy="209550"/>
              </a:xfrm>
              <a:prstGeom prst="rect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cxnSp macro="">
            <xdr:nvCxnSpPr>
              <xdr:cNvPr id="86" name="Straight Connector 85">
                <a:extLst>
                  <a:ext uri="{FF2B5EF4-FFF2-40B4-BE49-F238E27FC236}">
                    <a16:creationId xmlns:a16="http://schemas.microsoft.com/office/drawing/2014/main" id="{D97EE24D-62CD-59D8-495D-53F3CD2C748C}"/>
                  </a:ext>
                </a:extLst>
              </xdr:cNvPr>
              <xdr:cNvCxnSpPr>
                <a:stCxn id="84" idx="2"/>
                <a:endCxn id="84" idx="0"/>
              </xdr:cNvCxnSpPr>
            </xdr:nvCxnSpPr>
            <xdr:spPr>
              <a:xfrm flipV="1">
                <a:off x="9144000" y="24860250"/>
                <a:ext cx="0" cy="209550"/>
              </a:xfrm>
              <a:prstGeom prst="line">
                <a:avLst/>
              </a:prstGeom>
              <a:ln w="6350"/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87" name="Straight Connector 86">
                <a:extLst>
                  <a:ext uri="{FF2B5EF4-FFF2-40B4-BE49-F238E27FC236}">
                    <a16:creationId xmlns:a16="http://schemas.microsoft.com/office/drawing/2014/main" id="{F677924B-5340-0CA5-6F87-EACB5D767D73}"/>
                  </a:ext>
                </a:extLst>
              </xdr:cNvPr>
              <xdr:cNvCxnSpPr/>
            </xdr:nvCxnSpPr>
            <xdr:spPr>
              <a:xfrm flipV="1">
                <a:off x="10229850" y="24860250"/>
                <a:ext cx="0" cy="209550"/>
              </a:xfrm>
              <a:prstGeom prst="line">
                <a:avLst/>
              </a:prstGeom>
              <a:ln w="6350"/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88" name="Straight Connector 87">
                <a:extLst>
                  <a:ext uri="{FF2B5EF4-FFF2-40B4-BE49-F238E27FC236}">
                    <a16:creationId xmlns:a16="http://schemas.microsoft.com/office/drawing/2014/main" id="{6E54F4E8-0A9A-5E34-7382-5C121DB13EC0}"/>
                  </a:ext>
                </a:extLst>
              </xdr:cNvPr>
              <xdr:cNvCxnSpPr>
                <a:stCxn id="84" idx="3"/>
                <a:endCxn id="84" idx="1"/>
              </xdr:cNvCxnSpPr>
            </xdr:nvCxnSpPr>
            <xdr:spPr>
              <a:xfrm flipH="1">
                <a:off x="9077325" y="24965025"/>
                <a:ext cx="133350" cy="0"/>
              </a:xfrm>
              <a:prstGeom prst="line">
                <a:avLst/>
              </a:prstGeom>
              <a:ln w="6350">
                <a:solidFill>
                  <a:schemeClr val="tx1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89" name="Straight Connector 88">
                <a:extLst>
                  <a:ext uri="{FF2B5EF4-FFF2-40B4-BE49-F238E27FC236}">
                    <a16:creationId xmlns:a16="http://schemas.microsoft.com/office/drawing/2014/main" id="{8228AC51-B93B-85E6-3CA1-3D4CBE19D8F2}"/>
                  </a:ext>
                </a:extLst>
              </xdr:cNvPr>
              <xdr:cNvCxnSpPr>
                <a:stCxn id="85" idx="1"/>
                <a:endCxn id="85" idx="3"/>
              </xdr:cNvCxnSpPr>
            </xdr:nvCxnSpPr>
            <xdr:spPr>
              <a:xfrm>
                <a:off x="10163175" y="24974550"/>
                <a:ext cx="133350" cy="0"/>
              </a:xfrm>
              <a:prstGeom prst="line">
                <a:avLst/>
              </a:prstGeom>
              <a:ln w="6350">
                <a:solidFill>
                  <a:schemeClr val="tx1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80" name="Straight Connector 79">
              <a:extLst>
                <a:ext uri="{FF2B5EF4-FFF2-40B4-BE49-F238E27FC236}">
                  <a16:creationId xmlns:a16="http://schemas.microsoft.com/office/drawing/2014/main" id="{8913C973-BCBD-A308-9DEA-C03D95393F9A}"/>
                </a:ext>
              </a:extLst>
            </xdr:cNvPr>
            <xdr:cNvCxnSpPr/>
          </xdr:nvCxnSpPr>
          <xdr:spPr>
            <a:xfrm>
              <a:off x="9210675" y="24850725"/>
              <a:ext cx="0" cy="981075"/>
            </a:xfrm>
            <a:prstGeom prst="line">
              <a:avLst/>
            </a:prstGeom>
            <a:ln w="19050"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1" name="Straight Connector 80">
              <a:extLst>
                <a:ext uri="{FF2B5EF4-FFF2-40B4-BE49-F238E27FC236}">
                  <a16:creationId xmlns:a16="http://schemas.microsoft.com/office/drawing/2014/main" id="{086D2153-0896-2F48-B447-0B3E623C8B12}"/>
                </a:ext>
              </a:extLst>
            </xdr:cNvPr>
            <xdr:cNvCxnSpPr/>
          </xdr:nvCxnSpPr>
          <xdr:spPr>
            <a:xfrm>
              <a:off x="10163175" y="24869775"/>
              <a:ext cx="0" cy="981075"/>
            </a:xfrm>
            <a:prstGeom prst="line">
              <a:avLst/>
            </a:prstGeom>
            <a:ln w="19050"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2" name="Right Triangle 81">
              <a:extLst>
                <a:ext uri="{FF2B5EF4-FFF2-40B4-BE49-F238E27FC236}">
                  <a16:creationId xmlns:a16="http://schemas.microsoft.com/office/drawing/2014/main" id="{F17755B8-B311-FBD5-5A71-583409CEC2FB}"/>
                </a:ext>
              </a:extLst>
            </xdr:cNvPr>
            <xdr:cNvSpPr/>
          </xdr:nvSpPr>
          <xdr:spPr>
            <a:xfrm>
              <a:off x="10182225" y="25679400"/>
              <a:ext cx="104775" cy="161925"/>
            </a:xfrm>
            <a:prstGeom prst="rtTriangle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83" name="Right Triangle 82">
              <a:extLst>
                <a:ext uri="{FF2B5EF4-FFF2-40B4-BE49-F238E27FC236}">
                  <a16:creationId xmlns:a16="http://schemas.microsoft.com/office/drawing/2014/main" id="{62895065-E97D-3ACA-6742-B255CE876914}"/>
                </a:ext>
              </a:extLst>
            </xdr:cNvPr>
            <xdr:cNvSpPr/>
          </xdr:nvSpPr>
          <xdr:spPr>
            <a:xfrm rot="16200000">
              <a:off x="9065705" y="25700545"/>
              <a:ext cx="147066" cy="104775"/>
            </a:xfrm>
            <a:prstGeom prst="rtTriangle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</xdr:grpSp>
      <xdr:sp macro="" textlink="">
        <xdr:nvSpPr>
          <xdr:cNvPr id="76" name="Rectangle 75">
            <a:extLst>
              <a:ext uri="{FF2B5EF4-FFF2-40B4-BE49-F238E27FC236}">
                <a16:creationId xmlns:a16="http://schemas.microsoft.com/office/drawing/2014/main" id="{F00C5C8C-58A7-3479-4853-DE84EB945717}"/>
              </a:ext>
            </a:extLst>
          </xdr:cNvPr>
          <xdr:cNvSpPr/>
        </xdr:nvSpPr>
        <xdr:spPr>
          <a:xfrm>
            <a:off x="9067800" y="25069800"/>
            <a:ext cx="133349" cy="600074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77" name="Rectangle 76">
            <a:extLst>
              <a:ext uri="{FF2B5EF4-FFF2-40B4-BE49-F238E27FC236}">
                <a16:creationId xmlns:a16="http://schemas.microsoft.com/office/drawing/2014/main" id="{3AB440EA-FCA0-007E-11D1-B4FEE6D828E4}"/>
              </a:ext>
            </a:extLst>
          </xdr:cNvPr>
          <xdr:cNvSpPr/>
        </xdr:nvSpPr>
        <xdr:spPr>
          <a:xfrm>
            <a:off x="10172700" y="25088850"/>
            <a:ext cx="133349" cy="600074"/>
          </a:xfrm>
          <a:prstGeom prst="rect">
            <a:avLst/>
          </a:prstGeom>
          <a:solidFill>
            <a:schemeClr val="bg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55F9C-9609-4B8B-9519-800EC8B650E3}">
  <dimension ref="C5:U189"/>
  <sheetViews>
    <sheetView topLeftCell="A120" workbookViewId="0">
      <selection activeCell="L92" sqref="L92"/>
    </sheetView>
  </sheetViews>
  <sheetFormatPr defaultRowHeight="15" x14ac:dyDescent="0.25"/>
  <cols>
    <col min="3" max="3" width="19.7109375" customWidth="1"/>
    <col min="4" max="4" width="19.5703125" customWidth="1"/>
    <col min="5" max="5" width="31.140625" customWidth="1"/>
    <col min="6" max="6" width="88.5703125" customWidth="1"/>
    <col min="7" max="7" width="12.140625" customWidth="1"/>
    <col min="10" max="10" width="14.140625" customWidth="1"/>
    <col min="11" max="11" width="14.5703125" customWidth="1"/>
    <col min="12" max="12" width="11.7109375" customWidth="1"/>
    <col min="13" max="13" width="14" customWidth="1"/>
    <col min="14" max="14" width="10.7109375" customWidth="1"/>
  </cols>
  <sheetData>
    <row r="5" spans="3:13" ht="15.75" x14ac:dyDescent="0.25">
      <c r="C5" s="296" t="s">
        <v>0</v>
      </c>
      <c r="D5" s="285" t="s">
        <v>1</v>
      </c>
      <c r="E5" s="296" t="s">
        <v>2</v>
      </c>
      <c r="F5" s="307" t="s">
        <v>3</v>
      </c>
      <c r="G5" s="19"/>
    </row>
    <row r="6" spans="3:13" x14ac:dyDescent="0.25">
      <c r="C6" s="297"/>
      <c r="D6" s="295"/>
      <c r="E6" s="295"/>
      <c r="F6" s="301"/>
      <c r="G6" s="19"/>
    </row>
    <row r="7" spans="3:13" ht="15.75" x14ac:dyDescent="0.25">
      <c r="C7" s="298"/>
      <c r="D7" s="291"/>
      <c r="E7" s="203" t="s">
        <v>4</v>
      </c>
      <c r="F7" s="287" t="s">
        <v>5</v>
      </c>
      <c r="G7" s="19"/>
    </row>
    <row r="8" spans="3:13" ht="15.75" x14ac:dyDescent="0.25">
      <c r="C8" s="299" t="s">
        <v>6</v>
      </c>
      <c r="D8" s="203" t="s">
        <v>7</v>
      </c>
      <c r="E8" s="206"/>
      <c r="F8" s="302"/>
      <c r="G8" s="19"/>
    </row>
    <row r="9" spans="3:13" ht="15.75" x14ac:dyDescent="0.25">
      <c r="C9" s="300"/>
      <c r="D9" s="291"/>
      <c r="E9" s="308" t="s">
        <v>8</v>
      </c>
      <c r="F9" s="303" t="s">
        <v>9</v>
      </c>
      <c r="G9" s="19"/>
    </row>
    <row r="10" spans="3:13" ht="15.75" x14ac:dyDescent="0.25">
      <c r="C10" s="300"/>
      <c r="D10" s="291"/>
      <c r="E10" s="286"/>
      <c r="F10" s="294" t="s">
        <v>5</v>
      </c>
      <c r="G10" s="19"/>
    </row>
    <row r="11" spans="3:13" ht="15.75" x14ac:dyDescent="0.25">
      <c r="C11" s="206"/>
      <c r="D11" s="293"/>
      <c r="E11" s="286"/>
      <c r="F11" s="304"/>
      <c r="G11" s="19"/>
    </row>
    <row r="12" spans="3:13" ht="15.75" x14ac:dyDescent="0.25">
      <c r="C12" s="205"/>
      <c r="D12" s="295"/>
      <c r="E12" s="286"/>
      <c r="F12" s="204"/>
      <c r="G12" s="19"/>
    </row>
    <row r="13" spans="3:13" ht="15.75" x14ac:dyDescent="0.25">
      <c r="C13" s="206" t="s">
        <v>10</v>
      </c>
      <c r="D13" s="293"/>
      <c r="E13" s="286"/>
      <c r="F13" s="204"/>
      <c r="G13" s="19"/>
      <c r="M13">
        <f>9</f>
        <v>9</v>
      </c>
    </row>
    <row r="14" spans="3:13" ht="15.75" x14ac:dyDescent="0.25">
      <c r="C14" s="205"/>
      <c r="D14" s="288" t="s">
        <v>11</v>
      </c>
      <c r="E14" s="287"/>
      <c r="F14" s="204"/>
      <c r="G14" s="19"/>
    </row>
    <row r="15" spans="3:13" ht="15.75" x14ac:dyDescent="0.25">
      <c r="C15" s="300"/>
      <c r="D15" s="203" t="s">
        <v>12</v>
      </c>
      <c r="E15" s="287"/>
      <c r="F15" s="204"/>
      <c r="G15" s="19"/>
      <c r="J15">
        <f>9</f>
        <v>9</v>
      </c>
    </row>
    <row r="16" spans="3:13" ht="15.75" x14ac:dyDescent="0.25">
      <c r="C16" s="300" t="s">
        <v>13</v>
      </c>
      <c r="D16" s="203"/>
      <c r="E16" s="287"/>
      <c r="F16" s="204"/>
      <c r="G16" s="19"/>
    </row>
    <row r="17" spans="3:9" ht="15.75" x14ac:dyDescent="0.25">
      <c r="C17" s="206"/>
      <c r="D17" s="289" t="s">
        <v>14</v>
      </c>
      <c r="E17" s="287"/>
      <c r="F17" s="204"/>
      <c r="G17" s="19"/>
    </row>
    <row r="18" spans="3:9" ht="15.75" x14ac:dyDescent="0.25">
      <c r="C18" s="205"/>
      <c r="D18" s="288"/>
      <c r="E18" s="288"/>
      <c r="F18" s="294" t="s">
        <v>15</v>
      </c>
      <c r="G18" s="19"/>
    </row>
    <row r="19" spans="3:9" ht="15.75" x14ac:dyDescent="0.25">
      <c r="C19" s="206" t="s">
        <v>16</v>
      </c>
      <c r="D19" s="289" t="s">
        <v>17</v>
      </c>
      <c r="E19" s="289"/>
      <c r="F19" s="292" t="s">
        <v>18</v>
      </c>
      <c r="G19" s="19"/>
    </row>
    <row r="20" spans="3:9" ht="15.75" x14ac:dyDescent="0.25">
      <c r="C20" s="205"/>
      <c r="D20" s="290" t="s">
        <v>19</v>
      </c>
      <c r="E20" s="290" t="s">
        <v>20</v>
      </c>
      <c r="F20" s="303" t="s">
        <v>21</v>
      </c>
      <c r="G20" s="19"/>
    </row>
    <row r="21" spans="3:9" ht="15.75" x14ac:dyDescent="0.25">
      <c r="C21" s="300" t="s">
        <v>22</v>
      </c>
      <c r="D21" s="290" t="s">
        <v>23</v>
      </c>
      <c r="E21" s="309" t="s">
        <v>24</v>
      </c>
      <c r="F21" s="305" t="s">
        <v>25</v>
      </c>
      <c r="G21" s="19"/>
    </row>
    <row r="22" spans="3:9" ht="15.75" x14ac:dyDescent="0.25">
      <c r="C22" s="300"/>
      <c r="D22" s="288"/>
      <c r="E22" s="309" t="s">
        <v>26</v>
      </c>
      <c r="F22" s="305" t="s">
        <v>21</v>
      </c>
      <c r="G22" s="19"/>
    </row>
    <row r="23" spans="3:9" ht="15.75" x14ac:dyDescent="0.25">
      <c r="C23" s="206"/>
      <c r="D23" s="289" t="s">
        <v>27</v>
      </c>
      <c r="E23" s="289" t="s">
        <v>28</v>
      </c>
      <c r="F23" s="306" t="s">
        <v>25</v>
      </c>
      <c r="G23" s="19"/>
    </row>
    <row r="27" spans="3:9" x14ac:dyDescent="0.25">
      <c r="C27" s="202"/>
      <c r="D27" s="202"/>
      <c r="E27" s="202"/>
      <c r="F27" s="202"/>
      <c r="G27" s="202"/>
      <c r="H27" s="202"/>
      <c r="I27" s="202"/>
    </row>
    <row r="28" spans="3:9" x14ac:dyDescent="0.25">
      <c r="C28" s="202"/>
      <c r="D28" s="202"/>
      <c r="E28" s="202"/>
      <c r="F28" s="202"/>
      <c r="G28" s="202"/>
      <c r="H28" s="202"/>
      <c r="I28" s="202"/>
    </row>
    <row r="29" spans="3:9" x14ac:dyDescent="0.25">
      <c r="C29" s="202"/>
      <c r="H29" s="202"/>
      <c r="I29" s="202"/>
    </row>
    <row r="30" spans="3:9" x14ac:dyDescent="0.25">
      <c r="C30" s="202"/>
      <c r="H30" s="202"/>
      <c r="I30" s="202"/>
    </row>
    <row r="31" spans="3:9" x14ac:dyDescent="0.25">
      <c r="C31" s="202"/>
      <c r="H31" s="202"/>
      <c r="I31" s="202"/>
    </row>
    <row r="32" spans="3:9" x14ac:dyDescent="0.25">
      <c r="C32" s="202"/>
      <c r="H32" s="202"/>
      <c r="I32" s="202"/>
    </row>
    <row r="33" spans="3:9" x14ac:dyDescent="0.25">
      <c r="C33" s="202"/>
      <c r="H33" s="202"/>
      <c r="I33" s="202"/>
    </row>
    <row r="34" spans="3:9" x14ac:dyDescent="0.25">
      <c r="C34" s="202"/>
      <c r="H34" s="202"/>
      <c r="I34" s="202"/>
    </row>
    <row r="35" spans="3:9" x14ac:dyDescent="0.25">
      <c r="C35" s="202"/>
      <c r="H35" s="202"/>
      <c r="I35" s="202"/>
    </row>
    <row r="36" spans="3:9" x14ac:dyDescent="0.25">
      <c r="C36" s="202"/>
      <c r="H36" s="202"/>
      <c r="I36" s="202"/>
    </row>
    <row r="37" spans="3:9" x14ac:dyDescent="0.25">
      <c r="C37" s="202"/>
      <c r="H37" s="202"/>
      <c r="I37" s="202"/>
    </row>
    <row r="38" spans="3:9" x14ac:dyDescent="0.25">
      <c r="C38" s="202"/>
      <c r="H38" s="202"/>
      <c r="I38" s="202"/>
    </row>
    <row r="39" spans="3:9" x14ac:dyDescent="0.25">
      <c r="C39" s="202"/>
      <c r="H39" s="202"/>
      <c r="I39" s="202"/>
    </row>
    <row r="40" spans="3:9" x14ac:dyDescent="0.25">
      <c r="C40" s="202"/>
      <c r="H40" s="202"/>
      <c r="I40" s="202"/>
    </row>
    <row r="41" spans="3:9" x14ac:dyDescent="0.25">
      <c r="C41" s="202"/>
      <c r="H41" s="202"/>
      <c r="I41" s="202"/>
    </row>
    <row r="42" spans="3:9" x14ac:dyDescent="0.25">
      <c r="C42" s="202"/>
      <c r="H42" s="202"/>
      <c r="I42" s="202"/>
    </row>
    <row r="43" spans="3:9" x14ac:dyDescent="0.25">
      <c r="C43" s="202"/>
      <c r="H43" s="202"/>
      <c r="I43" s="202"/>
    </row>
    <row r="44" spans="3:9" x14ac:dyDescent="0.25">
      <c r="C44" s="202"/>
      <c r="H44" s="202"/>
      <c r="I44" s="202"/>
    </row>
    <row r="45" spans="3:9" x14ac:dyDescent="0.25">
      <c r="C45" s="202"/>
      <c r="H45" s="202"/>
      <c r="I45" s="202"/>
    </row>
    <row r="46" spans="3:9" x14ac:dyDescent="0.25">
      <c r="C46" s="202"/>
      <c r="H46" s="202"/>
      <c r="I46" s="202"/>
    </row>
    <row r="47" spans="3:9" x14ac:dyDescent="0.25">
      <c r="C47" s="202"/>
      <c r="H47" s="202"/>
      <c r="I47" s="202"/>
    </row>
    <row r="48" spans="3:9" x14ac:dyDescent="0.25">
      <c r="C48" s="202"/>
      <c r="D48" s="202"/>
      <c r="E48" s="202"/>
      <c r="F48" s="202"/>
      <c r="G48" s="202"/>
      <c r="H48" s="202"/>
      <c r="I48" s="202"/>
    </row>
    <row r="49" spans="3:21" x14ac:dyDescent="0.25">
      <c r="C49" s="202"/>
      <c r="D49" s="202"/>
      <c r="E49" s="202"/>
      <c r="F49" s="202"/>
      <c r="G49" s="202"/>
      <c r="H49" s="202"/>
      <c r="I49" s="202"/>
    </row>
    <row r="53" spans="3:21" ht="15.75" thickBot="1" x14ac:dyDescent="0.3"/>
    <row r="54" spans="3:21" ht="15.75" thickBot="1" x14ac:dyDescent="0.3">
      <c r="O54" s="523"/>
    </row>
    <row r="57" spans="3:21" x14ac:dyDescent="0.25">
      <c r="E57" s="340" t="s">
        <v>29</v>
      </c>
    </row>
    <row r="62" spans="3:21" x14ac:dyDescent="0.25">
      <c r="C62" s="202"/>
      <c r="D62" s="202"/>
      <c r="E62" s="202"/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202"/>
    </row>
    <row r="63" spans="3:21" x14ac:dyDescent="0.25">
      <c r="C63" s="202"/>
      <c r="D63" s="202"/>
      <c r="E63" s="202"/>
      <c r="F63" s="202"/>
      <c r="G63" s="202"/>
      <c r="H63" s="202"/>
      <c r="I63" s="202"/>
      <c r="J63" s="381" t="s">
        <v>30</v>
      </c>
      <c r="K63" s="202"/>
      <c r="L63" s="202"/>
      <c r="M63" s="202"/>
      <c r="N63" s="202"/>
      <c r="O63" s="202"/>
      <c r="P63" s="202"/>
      <c r="Q63" s="202"/>
      <c r="R63" s="202"/>
      <c r="S63" s="202"/>
      <c r="T63" s="202"/>
    </row>
    <row r="64" spans="3:21" x14ac:dyDescent="0.25">
      <c r="C64" s="202"/>
      <c r="D64" s="202"/>
      <c r="E64" s="202"/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</row>
    <row r="65" spans="3:20" x14ac:dyDescent="0.25">
      <c r="C65" s="202"/>
      <c r="D65" s="202"/>
      <c r="E65" s="202"/>
      <c r="F65" s="202"/>
      <c r="G65" s="382" t="s">
        <v>31</v>
      </c>
      <c r="H65" s="38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</row>
    <row r="66" spans="3:20" x14ac:dyDescent="0.25">
      <c r="C66" s="202"/>
      <c r="D66" s="202"/>
      <c r="E66" s="202"/>
      <c r="F66" s="202"/>
      <c r="G66" s="382" t="s">
        <v>32</v>
      </c>
      <c r="H66" s="38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</row>
    <row r="67" spans="3:20" x14ac:dyDescent="0.25">
      <c r="C67" s="202"/>
      <c r="D67" s="202"/>
      <c r="E67" s="202"/>
      <c r="F67" s="202"/>
      <c r="G67" s="382"/>
      <c r="H67" s="38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</row>
    <row r="68" spans="3:20" x14ac:dyDescent="0.25">
      <c r="C68" s="202"/>
      <c r="D68" s="202"/>
      <c r="E68" s="202"/>
      <c r="F68" s="202"/>
      <c r="G68" s="382"/>
      <c r="H68" s="38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</row>
    <row r="69" spans="3:20" x14ac:dyDescent="0.25">
      <c r="C69" s="202"/>
      <c r="D69" s="202"/>
      <c r="E69" s="202"/>
      <c r="F69" s="202"/>
      <c r="G69" s="382"/>
      <c r="H69" s="38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</row>
    <row r="70" spans="3:20" x14ac:dyDescent="0.25">
      <c r="C70" s="202"/>
      <c r="D70" s="202"/>
      <c r="E70" s="202"/>
      <c r="F70" s="202"/>
      <c r="G70" s="382"/>
      <c r="H70" s="382"/>
      <c r="I70" s="202"/>
      <c r="J70" s="524"/>
      <c r="K70" s="202"/>
      <c r="L70" s="202"/>
      <c r="M70" s="202"/>
      <c r="N70" s="202"/>
      <c r="O70" s="202"/>
      <c r="P70" s="202"/>
      <c r="Q70" s="202"/>
      <c r="R70" s="202"/>
      <c r="S70" s="202"/>
      <c r="T70" s="202"/>
    </row>
    <row r="71" spans="3:20" x14ac:dyDescent="0.25">
      <c r="C71" s="202"/>
      <c r="D71" s="202"/>
      <c r="E71" s="202"/>
      <c r="F71" s="202"/>
      <c r="G71" s="382" t="s">
        <v>33</v>
      </c>
      <c r="H71" s="38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</row>
    <row r="72" spans="3:20" x14ac:dyDescent="0.25">
      <c r="C72" s="202"/>
      <c r="D72" s="202"/>
      <c r="E72" s="202"/>
      <c r="F72" s="202"/>
      <c r="G72" s="382" t="s">
        <v>34</v>
      </c>
      <c r="H72" s="38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</row>
    <row r="73" spans="3:20" x14ac:dyDescent="0.25">
      <c r="C73" s="202"/>
      <c r="D73" s="202"/>
      <c r="E73" s="202"/>
      <c r="F73" s="202"/>
      <c r="G73" s="382" t="s">
        <v>35</v>
      </c>
      <c r="H73" s="38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</row>
    <row r="74" spans="3:20" x14ac:dyDescent="0.25">
      <c r="C74" s="202"/>
      <c r="D74" s="202"/>
      <c r="E74" s="202"/>
      <c r="F74" s="202"/>
      <c r="G74" s="382" t="s">
        <v>36</v>
      </c>
      <c r="H74" s="38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</row>
    <row r="75" spans="3:20" x14ac:dyDescent="0.25">
      <c r="C75" s="202"/>
      <c r="D75" s="202"/>
      <c r="E75" s="202"/>
      <c r="F75" s="202"/>
      <c r="G75" s="382"/>
      <c r="H75" s="382"/>
      <c r="I75" s="202"/>
      <c r="J75" s="381" t="s">
        <v>37</v>
      </c>
      <c r="K75" s="202"/>
      <c r="L75" s="202"/>
      <c r="M75" s="202"/>
      <c r="N75" s="202"/>
      <c r="O75" s="202"/>
      <c r="P75" s="202"/>
      <c r="Q75" s="202"/>
      <c r="R75" s="202"/>
      <c r="S75" s="202"/>
      <c r="T75" s="202"/>
    </row>
    <row r="76" spans="3:20" x14ac:dyDescent="0.25">
      <c r="C76" s="202"/>
      <c r="D76" s="202"/>
      <c r="E76" s="202"/>
      <c r="F76" s="202"/>
      <c r="G76" s="382"/>
      <c r="H76" s="382"/>
      <c r="I76" s="202"/>
      <c r="J76" s="202"/>
      <c r="K76" s="202"/>
      <c r="L76" s="202"/>
      <c r="M76" s="202"/>
      <c r="N76" s="202"/>
      <c r="O76" s="202"/>
      <c r="P76" s="202"/>
      <c r="Q76" s="202"/>
      <c r="R76" s="202"/>
      <c r="S76" s="202"/>
      <c r="T76" s="202"/>
    </row>
    <row r="77" spans="3:20" x14ac:dyDescent="0.25">
      <c r="C77" s="202"/>
      <c r="D77" s="202"/>
      <c r="E77" s="202"/>
      <c r="F77" s="202"/>
      <c r="G77" s="382"/>
      <c r="H77" s="382"/>
      <c r="I77" s="202"/>
      <c r="J77" s="202"/>
      <c r="K77" s="202"/>
      <c r="L77" s="202"/>
      <c r="M77" s="202"/>
      <c r="N77" s="202"/>
      <c r="O77" s="202"/>
      <c r="P77" s="202"/>
      <c r="Q77" s="202"/>
      <c r="R77" s="202"/>
      <c r="S77" s="202"/>
      <c r="T77" s="202"/>
    </row>
    <row r="78" spans="3:20" x14ac:dyDescent="0.25">
      <c r="C78" s="202"/>
      <c r="D78" s="202"/>
      <c r="E78" s="202"/>
      <c r="F78" s="202"/>
      <c r="G78" s="382"/>
      <c r="H78" s="382"/>
      <c r="I78" s="202"/>
      <c r="J78" s="202"/>
      <c r="K78" s="202"/>
      <c r="L78" s="202"/>
      <c r="M78" s="202"/>
      <c r="N78" s="202"/>
      <c r="O78" s="202"/>
      <c r="P78" s="202"/>
      <c r="Q78" s="202"/>
      <c r="R78" s="202"/>
      <c r="S78" s="202"/>
      <c r="T78" s="202"/>
    </row>
    <row r="79" spans="3:20" x14ac:dyDescent="0.25">
      <c r="C79" s="202"/>
      <c r="D79" s="202"/>
      <c r="E79" s="202"/>
      <c r="F79" s="202"/>
      <c r="G79" s="382" t="s">
        <v>38</v>
      </c>
      <c r="H79" s="382"/>
      <c r="I79" s="202"/>
      <c r="J79" s="202"/>
      <c r="K79" s="202"/>
      <c r="L79" s="202"/>
      <c r="M79" s="202"/>
      <c r="N79" s="202"/>
      <c r="O79" s="202"/>
      <c r="P79" s="202"/>
      <c r="Q79" s="202"/>
      <c r="R79" s="202"/>
      <c r="S79" s="202"/>
      <c r="T79" s="202"/>
    </row>
    <row r="80" spans="3:20" x14ac:dyDescent="0.25">
      <c r="C80" s="202"/>
      <c r="D80" s="202"/>
      <c r="E80" s="202"/>
      <c r="F80" s="202"/>
      <c r="G80" s="382" t="s">
        <v>39</v>
      </c>
      <c r="H80" s="38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</row>
    <row r="81" spans="3:21" x14ac:dyDescent="0.25">
      <c r="C81" s="202"/>
      <c r="D81" s="202"/>
      <c r="E81" s="202"/>
      <c r="F81" s="202"/>
      <c r="G81" s="382"/>
      <c r="H81" s="382"/>
      <c r="I81" s="202"/>
      <c r="J81" s="202"/>
      <c r="K81" s="202"/>
      <c r="L81" s="202"/>
      <c r="M81" s="202"/>
      <c r="N81" s="202"/>
      <c r="O81" s="202"/>
      <c r="P81" s="202"/>
      <c r="Q81" s="202"/>
      <c r="R81" s="202"/>
      <c r="S81" s="202"/>
      <c r="T81" s="202"/>
    </row>
    <row r="82" spans="3:21" x14ac:dyDescent="0.25">
      <c r="C82" s="202"/>
      <c r="D82" s="202"/>
      <c r="E82" s="202"/>
      <c r="F82" s="202"/>
      <c r="G82" s="382" t="s">
        <v>40</v>
      </c>
      <c r="H82" s="382"/>
      <c r="I82" s="202"/>
      <c r="J82" s="202"/>
      <c r="K82" s="202"/>
      <c r="L82" s="202"/>
      <c r="M82" s="202"/>
      <c r="N82" s="202"/>
      <c r="O82" s="202"/>
      <c r="P82" s="202"/>
      <c r="Q82" s="202"/>
      <c r="R82" s="202"/>
      <c r="S82" s="202"/>
      <c r="T82" s="202"/>
      <c r="U82" s="202"/>
    </row>
    <row r="83" spans="3:21" x14ac:dyDescent="0.25">
      <c r="C83" s="202"/>
      <c r="D83" s="202"/>
      <c r="E83" s="202"/>
      <c r="F83" s="202"/>
      <c r="G83" s="382" t="s">
        <v>41</v>
      </c>
      <c r="H83" s="202"/>
      <c r="I83" s="202"/>
      <c r="J83" s="202"/>
      <c r="K83" s="202"/>
      <c r="L83" s="202"/>
      <c r="M83" s="202"/>
      <c r="N83" s="202"/>
      <c r="O83" s="202"/>
      <c r="P83" s="202"/>
      <c r="Q83" s="202"/>
      <c r="R83" s="202"/>
      <c r="S83" s="202"/>
      <c r="T83" s="202"/>
      <c r="U83" s="202"/>
    </row>
    <row r="84" spans="3:21" x14ac:dyDescent="0.25">
      <c r="C84" s="202"/>
      <c r="D84" s="202"/>
      <c r="E84" s="202"/>
      <c r="F84" s="202"/>
      <c r="G84" s="202"/>
      <c r="H84" s="202"/>
      <c r="I84" s="202"/>
      <c r="J84" s="202"/>
      <c r="K84" s="202"/>
      <c r="L84" s="202"/>
      <c r="M84" s="202"/>
      <c r="N84" s="202"/>
      <c r="O84" s="202"/>
      <c r="P84" s="202"/>
      <c r="Q84" s="202"/>
      <c r="R84" s="202"/>
      <c r="S84" s="202"/>
      <c r="T84" s="202"/>
      <c r="U84" s="202"/>
    </row>
    <row r="85" spans="3:21" x14ac:dyDescent="0.25">
      <c r="C85" s="202"/>
      <c r="D85" s="202"/>
      <c r="E85" s="202"/>
      <c r="F85" s="202"/>
      <c r="G85" s="202"/>
      <c r="H85" s="202"/>
      <c r="I85" s="202"/>
      <c r="J85" s="202"/>
      <c r="K85" s="202"/>
      <c r="L85" s="202"/>
      <c r="M85" s="202"/>
      <c r="N85" s="202"/>
      <c r="O85" s="202"/>
      <c r="P85" s="202"/>
      <c r="Q85" s="202"/>
      <c r="R85" s="202"/>
      <c r="S85" s="202"/>
      <c r="T85" s="202"/>
      <c r="U85" s="202"/>
    </row>
    <row r="86" spans="3:21" x14ac:dyDescent="0.25">
      <c r="C86" s="202"/>
      <c r="D86" s="202"/>
      <c r="E86" s="202"/>
      <c r="F86" s="202"/>
      <c r="G86" s="202"/>
      <c r="H86" s="202"/>
      <c r="I86" s="202"/>
      <c r="J86" s="202"/>
      <c r="K86" s="202"/>
      <c r="L86" s="202"/>
      <c r="M86" s="202"/>
      <c r="N86" s="202"/>
      <c r="O86" s="202"/>
      <c r="P86" s="202"/>
      <c r="Q86" s="202"/>
      <c r="R86" s="202"/>
      <c r="S86" s="202"/>
      <c r="T86" s="202"/>
      <c r="U86" s="202"/>
    </row>
    <row r="91" spans="3:21" x14ac:dyDescent="0.25">
      <c r="C91" s="258">
        <v>345</v>
      </c>
      <c r="D91">
        <f>C91*$E$91</f>
        <v>155.25</v>
      </c>
      <c r="E91">
        <v>0.45</v>
      </c>
    </row>
    <row r="92" spans="3:21" x14ac:dyDescent="0.25">
      <c r="C92" s="258">
        <v>500</v>
      </c>
      <c r="D92">
        <f t="shared" ref="D92:D124" si="0">C92*$E$91</f>
        <v>225</v>
      </c>
    </row>
    <row r="93" spans="3:21" x14ac:dyDescent="0.25">
      <c r="C93" s="258">
        <v>1000</v>
      </c>
      <c r="D93">
        <f t="shared" si="0"/>
        <v>450</v>
      </c>
    </row>
    <row r="94" spans="3:21" x14ac:dyDescent="0.25">
      <c r="C94" s="258">
        <v>1500</v>
      </c>
      <c r="D94">
        <f t="shared" si="0"/>
        <v>675</v>
      </c>
    </row>
    <row r="95" spans="3:21" x14ac:dyDescent="0.25">
      <c r="C95" s="258">
        <v>2110</v>
      </c>
      <c r="D95">
        <f t="shared" si="0"/>
        <v>949.5</v>
      </c>
    </row>
    <row r="96" spans="3:21" x14ac:dyDescent="0.25">
      <c r="C96" s="258">
        <v>2500</v>
      </c>
      <c r="D96">
        <f t="shared" si="0"/>
        <v>1125</v>
      </c>
    </row>
    <row r="97" spans="3:4" x14ac:dyDescent="0.25">
      <c r="C97" s="258">
        <v>2600</v>
      </c>
      <c r="D97">
        <f t="shared" si="0"/>
        <v>1170</v>
      </c>
    </row>
    <row r="98" spans="3:4" x14ac:dyDescent="0.25">
      <c r="C98" s="258">
        <v>3200</v>
      </c>
      <c r="D98">
        <f t="shared" si="0"/>
        <v>1440</v>
      </c>
    </row>
    <row r="99" spans="3:4" x14ac:dyDescent="0.25">
      <c r="C99" s="258">
        <v>4000</v>
      </c>
      <c r="D99">
        <f t="shared" si="0"/>
        <v>1800</v>
      </c>
    </row>
    <row r="100" spans="3:4" x14ac:dyDescent="0.25">
      <c r="C100" s="258">
        <v>4200</v>
      </c>
      <c r="D100">
        <f t="shared" si="0"/>
        <v>1890</v>
      </c>
    </row>
    <row r="101" spans="3:4" x14ac:dyDescent="0.25">
      <c r="C101" s="258">
        <v>5000</v>
      </c>
      <c r="D101">
        <f t="shared" si="0"/>
        <v>2250</v>
      </c>
    </row>
    <row r="102" spans="3:4" x14ac:dyDescent="0.25">
      <c r="C102" s="258">
        <v>6000</v>
      </c>
      <c r="D102">
        <f t="shared" si="0"/>
        <v>2700</v>
      </c>
    </row>
    <row r="103" spans="3:4" x14ac:dyDescent="0.25">
      <c r="C103" s="258">
        <v>7000</v>
      </c>
      <c r="D103">
        <f t="shared" si="0"/>
        <v>3150</v>
      </c>
    </row>
    <row r="104" spans="3:4" x14ac:dyDescent="0.25">
      <c r="C104" s="258">
        <v>8000</v>
      </c>
      <c r="D104">
        <f t="shared" si="0"/>
        <v>3600</v>
      </c>
    </row>
    <row r="105" spans="3:4" x14ac:dyDescent="0.25">
      <c r="C105" s="258">
        <v>8100</v>
      </c>
      <c r="D105">
        <f t="shared" si="0"/>
        <v>3645</v>
      </c>
    </row>
    <row r="106" spans="3:4" x14ac:dyDescent="0.25">
      <c r="C106" s="258">
        <v>8150</v>
      </c>
      <c r="D106">
        <f t="shared" si="0"/>
        <v>3667.5</v>
      </c>
    </row>
    <row r="107" spans="3:4" x14ac:dyDescent="0.25">
      <c r="C107" s="258">
        <v>8200</v>
      </c>
      <c r="D107">
        <f t="shared" si="0"/>
        <v>3690</v>
      </c>
    </row>
    <row r="108" spans="3:4" x14ac:dyDescent="0.25">
      <c r="C108" s="258">
        <v>8250</v>
      </c>
      <c r="D108">
        <f t="shared" si="0"/>
        <v>3712.5</v>
      </c>
    </row>
    <row r="109" spans="3:4" x14ac:dyDescent="0.25">
      <c r="C109" s="258">
        <v>8300</v>
      </c>
      <c r="D109">
        <f t="shared" si="0"/>
        <v>3735</v>
      </c>
    </row>
    <row r="110" spans="3:4" x14ac:dyDescent="0.25">
      <c r="C110" s="258">
        <v>8350</v>
      </c>
      <c r="D110">
        <f t="shared" si="0"/>
        <v>3757.5</v>
      </c>
    </row>
    <row r="111" spans="3:4" x14ac:dyDescent="0.25">
      <c r="C111" s="258">
        <v>8400</v>
      </c>
      <c r="D111">
        <f t="shared" si="0"/>
        <v>3780</v>
      </c>
    </row>
    <row r="112" spans="3:4" x14ac:dyDescent="0.25">
      <c r="C112" s="258">
        <v>8450</v>
      </c>
      <c r="D112">
        <f t="shared" si="0"/>
        <v>3802.5</v>
      </c>
    </row>
    <row r="113" spans="3:4" x14ac:dyDescent="0.25">
      <c r="C113" s="258">
        <v>8460</v>
      </c>
      <c r="D113">
        <f t="shared" si="0"/>
        <v>3807</v>
      </c>
    </row>
    <row r="114" spans="3:4" x14ac:dyDescent="0.25">
      <c r="C114" s="258">
        <v>8500</v>
      </c>
      <c r="D114">
        <f t="shared" si="0"/>
        <v>3825</v>
      </c>
    </row>
    <row r="115" spans="3:4" x14ac:dyDescent="0.25">
      <c r="C115" s="258">
        <v>8550</v>
      </c>
      <c r="D115">
        <f t="shared" si="0"/>
        <v>3847.5</v>
      </c>
    </row>
    <row r="116" spans="3:4" x14ac:dyDescent="0.25">
      <c r="C116" s="258">
        <v>8600</v>
      </c>
      <c r="D116">
        <f t="shared" si="0"/>
        <v>3870</v>
      </c>
    </row>
    <row r="117" spans="3:4" x14ac:dyDescent="0.25">
      <c r="C117" s="258">
        <v>8650</v>
      </c>
      <c r="D117">
        <f t="shared" si="0"/>
        <v>3892.5</v>
      </c>
    </row>
    <row r="118" spans="3:4" x14ac:dyDescent="0.25">
      <c r="C118" s="258">
        <v>8700</v>
      </c>
      <c r="D118">
        <f t="shared" si="0"/>
        <v>3915</v>
      </c>
    </row>
    <row r="119" spans="3:4" x14ac:dyDescent="0.25">
      <c r="C119" s="258">
        <v>8750</v>
      </c>
      <c r="D119">
        <f t="shared" si="0"/>
        <v>3937.5</v>
      </c>
    </row>
    <row r="120" spans="3:4" x14ac:dyDescent="0.25">
      <c r="C120" s="258">
        <v>8800</v>
      </c>
      <c r="D120">
        <f t="shared" si="0"/>
        <v>3960</v>
      </c>
    </row>
    <row r="121" spans="3:4" x14ac:dyDescent="0.25">
      <c r="C121" s="258">
        <v>8850</v>
      </c>
      <c r="D121">
        <f t="shared" si="0"/>
        <v>3982.5</v>
      </c>
    </row>
    <row r="122" spans="3:4" x14ac:dyDescent="0.25">
      <c r="C122" s="258">
        <v>8900</v>
      </c>
      <c r="D122">
        <f t="shared" si="0"/>
        <v>4005</v>
      </c>
    </row>
    <row r="123" spans="3:4" x14ac:dyDescent="0.25">
      <c r="C123" s="258">
        <v>8950</v>
      </c>
      <c r="D123">
        <f t="shared" si="0"/>
        <v>4027.5</v>
      </c>
    </row>
    <row r="124" spans="3:4" x14ac:dyDescent="0.25">
      <c r="C124" s="258">
        <v>9000</v>
      </c>
      <c r="D124">
        <f t="shared" si="0"/>
        <v>4050</v>
      </c>
    </row>
    <row r="181" spans="5:6" ht="15.75" x14ac:dyDescent="0.25">
      <c r="E181" s="544" t="s">
        <v>42</v>
      </c>
      <c r="F181" s="544" t="s">
        <v>43</v>
      </c>
    </row>
    <row r="182" spans="5:6" ht="15.75" x14ac:dyDescent="0.25">
      <c r="E182" s="545" t="s">
        <v>44</v>
      </c>
      <c r="F182" s="545" t="s">
        <v>45</v>
      </c>
    </row>
    <row r="183" spans="5:6" ht="15.75" x14ac:dyDescent="0.25">
      <c r="E183" s="545" t="s">
        <v>46</v>
      </c>
      <c r="F183" s="545" t="s">
        <v>47</v>
      </c>
    </row>
    <row r="184" spans="5:6" ht="15.75" x14ac:dyDescent="0.25">
      <c r="E184" s="545" t="s">
        <v>48</v>
      </c>
      <c r="F184" s="545" t="s">
        <v>49</v>
      </c>
    </row>
    <row r="185" spans="5:6" ht="15.75" x14ac:dyDescent="0.25">
      <c r="E185" s="545" t="s">
        <v>50</v>
      </c>
      <c r="F185" s="545" t="s">
        <v>51</v>
      </c>
    </row>
    <row r="186" spans="5:6" ht="15.75" x14ac:dyDescent="0.25">
      <c r="E186" s="545" t="s">
        <v>52</v>
      </c>
      <c r="F186" s="545" t="s">
        <v>53</v>
      </c>
    </row>
    <row r="187" spans="5:6" ht="15.75" x14ac:dyDescent="0.25">
      <c r="E187" s="545" t="s">
        <v>54</v>
      </c>
      <c r="F187" s="545" t="s">
        <v>55</v>
      </c>
    </row>
    <row r="188" spans="5:6" ht="15.75" x14ac:dyDescent="0.25">
      <c r="E188" s="545" t="s">
        <v>56</v>
      </c>
      <c r="F188" s="545" t="s">
        <v>57</v>
      </c>
    </row>
    <row r="189" spans="5:6" ht="15.75" x14ac:dyDescent="0.25">
      <c r="E189" s="545" t="s">
        <v>58</v>
      </c>
      <c r="F189" s="546" t="s">
        <v>59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AD18E-FC6C-4033-8BEB-E4775A838ECF}">
  <sheetPr codeName="Sheet1"/>
  <dimension ref="A1:AI200"/>
  <sheetViews>
    <sheetView topLeftCell="A277" zoomScale="80" zoomScaleNormal="80" workbookViewId="0">
      <selection activeCell="B39" sqref="B39:M39"/>
    </sheetView>
  </sheetViews>
  <sheetFormatPr defaultRowHeight="15" x14ac:dyDescent="0.25"/>
  <cols>
    <col min="1" max="1" width="15" customWidth="1"/>
    <col min="4" max="4" width="18.42578125" customWidth="1"/>
    <col min="5" max="5" width="10.7109375" customWidth="1"/>
    <col min="6" max="6" width="24" customWidth="1"/>
    <col min="7" max="7" width="22.5703125" customWidth="1"/>
    <col min="8" max="8" width="23.5703125" customWidth="1"/>
    <col min="9" max="9" width="27" customWidth="1"/>
    <col min="10" max="10" width="32.7109375" customWidth="1"/>
    <col min="11" max="11" width="29.28515625" customWidth="1"/>
    <col min="12" max="12" width="19.5703125" customWidth="1"/>
    <col min="13" max="14" width="23.85546875" customWidth="1"/>
    <col min="15" max="15" width="22.85546875" customWidth="1"/>
    <col min="16" max="16" width="25.7109375" customWidth="1"/>
    <col min="17" max="18" width="24.42578125" customWidth="1"/>
    <col min="19" max="21" width="22.140625" customWidth="1"/>
    <col min="22" max="22" width="22.42578125" customWidth="1"/>
    <col min="23" max="23" width="11.140625" customWidth="1"/>
    <col min="24" max="24" width="9.28515625" customWidth="1"/>
    <col min="25" max="25" width="9.140625" customWidth="1"/>
    <col min="26" max="27" width="10.42578125" customWidth="1"/>
    <col min="28" max="28" width="25.28515625" customWidth="1"/>
    <col min="29" max="30" width="20" customWidth="1"/>
    <col min="31" max="31" width="11.140625" customWidth="1"/>
    <col min="32" max="32" width="10.7109375" customWidth="1"/>
  </cols>
  <sheetData>
    <row r="1" spans="1:31" x14ac:dyDescent="0.25">
      <c r="AA1">
        <v>2</v>
      </c>
    </row>
    <row r="2" spans="1:31" x14ac:dyDescent="0.25">
      <c r="D2" t="s">
        <v>60</v>
      </c>
      <c r="AE2">
        <v>5.1999999999999998E-2</v>
      </c>
    </row>
    <row r="3" spans="1:31" x14ac:dyDescent="0.25">
      <c r="C3" s="1" t="s">
        <v>61</v>
      </c>
      <c r="E3">
        <v>5.1999999999999998E-2</v>
      </c>
      <c r="H3">
        <f>0.5</f>
        <v>0.5</v>
      </c>
      <c r="J3">
        <v>0.45</v>
      </c>
      <c r="N3">
        <v>5.1999999999999998E-2</v>
      </c>
      <c r="Q3">
        <v>5.1999999999999998E-2</v>
      </c>
      <c r="S3">
        <v>0.5</v>
      </c>
      <c r="U3">
        <v>150</v>
      </c>
      <c r="X3">
        <v>100</v>
      </c>
      <c r="Y3">
        <v>150</v>
      </c>
    </row>
    <row r="4" spans="1:31" x14ac:dyDescent="0.25">
      <c r="B4" s="1" t="s">
        <v>2</v>
      </c>
      <c r="C4" s="1">
        <v>1</v>
      </c>
      <c r="D4" s="1" t="s">
        <v>62</v>
      </c>
      <c r="E4" s="1" t="s">
        <v>63</v>
      </c>
      <c r="F4" s="1" t="s">
        <v>64</v>
      </c>
      <c r="G4" s="1" t="s">
        <v>65</v>
      </c>
      <c r="H4" s="1" t="s">
        <v>66</v>
      </c>
      <c r="I4" s="14" t="s">
        <v>67</v>
      </c>
      <c r="J4" s="1" t="s">
        <v>68</v>
      </c>
      <c r="K4" s="1" t="s">
        <v>69</v>
      </c>
      <c r="L4" s="1" t="s">
        <v>70</v>
      </c>
      <c r="M4" s="1" t="s">
        <v>71</v>
      </c>
      <c r="N4" s="1" t="s">
        <v>72</v>
      </c>
      <c r="O4" s="213" t="s">
        <v>73</v>
      </c>
      <c r="P4" s="1" t="s">
        <v>74</v>
      </c>
      <c r="Q4" s="1" t="s">
        <v>75</v>
      </c>
      <c r="R4" s="1"/>
      <c r="V4" t="s">
        <v>76</v>
      </c>
      <c r="W4" t="s">
        <v>77</v>
      </c>
      <c r="X4" t="s">
        <v>78</v>
      </c>
      <c r="Y4">
        <v>0.5</v>
      </c>
      <c r="Z4" s="1" t="s">
        <v>79</v>
      </c>
    </row>
    <row r="5" spans="1:31" x14ac:dyDescent="0.25">
      <c r="A5" s="48"/>
      <c r="B5">
        <v>345</v>
      </c>
      <c r="C5">
        <v>345</v>
      </c>
      <c r="D5">
        <v>8.5</v>
      </c>
      <c r="E5">
        <f>D5*B5*$E$3</f>
        <v>152.48999999999998</v>
      </c>
      <c r="F5" s="2">
        <f>G5*B5*$AE$2</f>
        <v>161.45999999999998</v>
      </c>
      <c r="G5" s="2">
        <f>$H$3+D5</f>
        <v>9</v>
      </c>
      <c r="H5" s="44">
        <f>E5/B5</f>
        <v>0.44199999999999995</v>
      </c>
      <c r="I5">
        <f t="shared" ref="I5:I39" si="0">B5*$J$3</f>
        <v>155.25</v>
      </c>
      <c r="J5">
        <v>11</v>
      </c>
      <c r="K5" s="44">
        <f>J5*$N$3</f>
        <v>0.57199999999999995</v>
      </c>
      <c r="L5">
        <f>J5*B5*0.052</f>
        <v>197.34</v>
      </c>
      <c r="M5" s="3">
        <f xml:space="preserve"> ((1-H5)*($S$7)) + H5</f>
        <v>0.68114285714285716</v>
      </c>
      <c r="N5" s="3">
        <f>M5/$N$3</f>
        <v>13.0989010989011</v>
      </c>
      <c r="O5" s="214">
        <f>M5*B5</f>
        <v>234.99428571428572</v>
      </c>
      <c r="P5" s="2">
        <f t="shared" ref="P5:P39" si="1">Q5*$Q$3*B5</f>
        <v>188.36999999999998</v>
      </c>
      <c r="Q5" s="42">
        <f>J5-$S$3</f>
        <v>10.5</v>
      </c>
      <c r="R5" s="44">
        <f>P5/B5</f>
        <v>0.54599999999999993</v>
      </c>
      <c r="T5" s="4"/>
      <c r="U5" s="9">
        <f>(((C5-E5)/B5)* ($S$7)) +H5</f>
        <v>0.68114285714285716</v>
      </c>
      <c r="V5" s="9">
        <f>W5*B5*$AE$2</f>
        <v>161.45999999999998</v>
      </c>
      <c r="W5" s="9">
        <v>9</v>
      </c>
      <c r="X5" s="9">
        <f>D5+$Y$4</f>
        <v>9</v>
      </c>
      <c r="Y5" s="45"/>
      <c r="Z5" s="19">
        <v>100</v>
      </c>
      <c r="AA5" s="19">
        <v>0.48</v>
      </c>
      <c r="AB5" s="19">
        <f t="shared" ref="AB5:AB27" si="2">AA5*Z5</f>
        <v>48</v>
      </c>
      <c r="AC5" s="19">
        <f>((1-AA5)*$U$5)+AA5</f>
        <v>0.83419428571428567</v>
      </c>
      <c r="AD5" s="19">
        <f>AC5*Z5</f>
        <v>83.419428571428568</v>
      </c>
    </row>
    <row r="6" spans="1:31" x14ac:dyDescent="0.25">
      <c r="A6" s="48"/>
      <c r="B6">
        <v>500</v>
      </c>
      <c r="C6">
        <v>500</v>
      </c>
      <c r="D6">
        <v>8.5</v>
      </c>
      <c r="E6">
        <f t="shared" ref="E6:E41" si="3">D6*B6*$E$3</f>
        <v>221</v>
      </c>
      <c r="F6" s="2">
        <f t="shared" ref="F6:F16" si="4">G6*B6*$AE$2</f>
        <v>234</v>
      </c>
      <c r="G6" s="2">
        <f t="shared" ref="G6:G13" si="5">$H$3+D6</f>
        <v>9</v>
      </c>
      <c r="H6" s="44">
        <f t="shared" ref="H6:H20" si="6">E6/B6</f>
        <v>0.442</v>
      </c>
      <c r="I6">
        <f t="shared" si="0"/>
        <v>225</v>
      </c>
      <c r="J6">
        <v>11</v>
      </c>
      <c r="K6" s="44">
        <f t="shared" ref="K6:K39" si="7">J6*$N$3</f>
        <v>0.57199999999999995</v>
      </c>
      <c r="L6">
        <f t="shared" ref="L6:L20" si="8">J6*B6*0.052</f>
        <v>286</v>
      </c>
      <c r="M6" s="3">
        <f t="shared" ref="M6:M25" si="9" xml:space="preserve"> ((1-H6)*($S$7)) + H6</f>
        <v>0.68114285714285716</v>
      </c>
      <c r="N6" s="3">
        <f t="shared" ref="N6:N35" si="10">M6/$N$3</f>
        <v>13.0989010989011</v>
      </c>
      <c r="O6" s="214">
        <f t="shared" ref="O6:O19" si="11">M6*B6</f>
        <v>340.57142857142856</v>
      </c>
      <c r="P6" s="2">
        <f t="shared" si="1"/>
        <v>272.99999999999994</v>
      </c>
      <c r="Q6" s="42">
        <f t="shared" ref="Q6:Q15" si="12">J6-$S$3</f>
        <v>10.5</v>
      </c>
      <c r="R6" s="44">
        <f t="shared" ref="R6:R41" si="13">P6/B6</f>
        <v>0.54599999999999993</v>
      </c>
      <c r="S6" s="15" t="s">
        <v>80</v>
      </c>
      <c r="T6" s="4"/>
      <c r="U6" s="9">
        <f>(((C6-E6)/B6)* ($S$7)) +H6</f>
        <v>0.68114285714285716</v>
      </c>
      <c r="V6" s="9">
        <f>W6*B6*$AE$2</f>
        <v>234</v>
      </c>
      <c r="W6" s="9">
        <v>9</v>
      </c>
      <c r="X6" s="9">
        <f>D6+$Y$4</f>
        <v>9</v>
      </c>
      <c r="Y6" s="45"/>
      <c r="Z6" s="19">
        <v>500</v>
      </c>
      <c r="AA6" s="19">
        <v>0.48</v>
      </c>
      <c r="AB6" s="19">
        <f t="shared" si="2"/>
        <v>240</v>
      </c>
      <c r="AC6" s="19">
        <f>((1-AA6)*$U$5)+AA6</f>
        <v>0.83419428571428567</v>
      </c>
      <c r="AD6" s="19">
        <f t="shared" ref="AD6:AI40" si="14">AC6*Z6</f>
        <v>417.09714285714284</v>
      </c>
    </row>
    <row r="7" spans="1:31" x14ac:dyDescent="0.25">
      <c r="A7" s="48" t="s">
        <v>81</v>
      </c>
      <c r="B7">
        <v>1000</v>
      </c>
      <c r="C7">
        <v>1000</v>
      </c>
      <c r="D7">
        <v>8.5</v>
      </c>
      <c r="E7">
        <f t="shared" si="3"/>
        <v>442</v>
      </c>
      <c r="F7" s="2">
        <f t="shared" si="4"/>
        <v>468</v>
      </c>
      <c r="G7" s="2">
        <f t="shared" si="5"/>
        <v>9</v>
      </c>
      <c r="H7" s="44">
        <f t="shared" si="6"/>
        <v>0.442</v>
      </c>
      <c r="I7">
        <f t="shared" si="0"/>
        <v>450</v>
      </c>
      <c r="J7">
        <v>11</v>
      </c>
      <c r="K7" s="44">
        <f t="shared" si="7"/>
        <v>0.57199999999999995</v>
      </c>
      <c r="L7">
        <f t="shared" si="8"/>
        <v>572</v>
      </c>
      <c r="M7" s="3">
        <f t="shared" si="9"/>
        <v>0.68114285714285716</v>
      </c>
      <c r="N7" s="3">
        <f t="shared" si="10"/>
        <v>13.0989010989011</v>
      </c>
      <c r="O7" s="214">
        <f t="shared" si="11"/>
        <v>681.14285714285711</v>
      </c>
      <c r="P7" s="2">
        <f t="shared" si="1"/>
        <v>545.99999999999989</v>
      </c>
      <c r="Q7" s="42">
        <f t="shared" si="12"/>
        <v>10.5</v>
      </c>
      <c r="R7" s="44">
        <f t="shared" si="13"/>
        <v>0.54599999999999993</v>
      </c>
      <c r="S7" s="4">
        <f>T7/(1-T7)</f>
        <v>0.4285714285714286</v>
      </c>
      <c r="T7" s="4">
        <v>0.3</v>
      </c>
      <c r="U7" s="9">
        <f>(((C7-E7)/B7)* ($S$7)) +H7</f>
        <v>0.68114285714285716</v>
      </c>
      <c r="V7" s="9">
        <f>W7*B7*$AE$2</f>
        <v>468</v>
      </c>
      <c r="W7" s="9">
        <v>9</v>
      </c>
      <c r="X7" s="9">
        <f>D7+$Y$4</f>
        <v>9</v>
      </c>
      <c r="Y7" s="45" t="s">
        <v>82</v>
      </c>
      <c r="Z7" s="19">
        <v>1000</v>
      </c>
      <c r="AA7" s="19">
        <v>0.48</v>
      </c>
      <c r="AB7" s="19">
        <f t="shared" si="2"/>
        <v>480</v>
      </c>
      <c r="AC7" s="19">
        <f>((1-AA7)*$U$5)+AA7</f>
        <v>0.83419428571428567</v>
      </c>
      <c r="AD7" s="19">
        <f t="shared" si="14"/>
        <v>834.19428571428568</v>
      </c>
    </row>
    <row r="8" spans="1:31" x14ac:dyDescent="0.25">
      <c r="A8" s="48" t="s">
        <v>83</v>
      </c>
      <c r="B8">
        <v>1500</v>
      </c>
      <c r="C8">
        <v>1500</v>
      </c>
      <c r="D8">
        <v>8.5</v>
      </c>
      <c r="E8">
        <f t="shared" si="3"/>
        <v>663</v>
      </c>
      <c r="F8" s="2">
        <f t="shared" si="4"/>
        <v>702</v>
      </c>
      <c r="G8" s="2">
        <f t="shared" si="5"/>
        <v>9</v>
      </c>
      <c r="H8" s="44">
        <f t="shared" si="6"/>
        <v>0.442</v>
      </c>
      <c r="I8">
        <f t="shared" si="0"/>
        <v>675</v>
      </c>
      <c r="J8">
        <v>11</v>
      </c>
      <c r="K8" s="44">
        <f t="shared" si="7"/>
        <v>0.57199999999999995</v>
      </c>
      <c r="L8">
        <f t="shared" si="8"/>
        <v>858</v>
      </c>
      <c r="M8" s="3">
        <f t="shared" si="9"/>
        <v>0.68114285714285716</v>
      </c>
      <c r="N8" s="3">
        <f t="shared" si="10"/>
        <v>13.0989010989011</v>
      </c>
      <c r="O8" s="214">
        <f t="shared" si="11"/>
        <v>1021.7142857142858</v>
      </c>
      <c r="P8" s="2">
        <f t="shared" si="1"/>
        <v>818.99999999999989</v>
      </c>
      <c r="Q8" s="42">
        <f t="shared" si="12"/>
        <v>10.5</v>
      </c>
      <c r="R8" s="44">
        <f t="shared" si="13"/>
        <v>0.54599999999999993</v>
      </c>
      <c r="S8" s="4"/>
      <c r="T8" s="4"/>
      <c r="U8" s="9">
        <f>(((C8-E8)/B8)* ($S$7)) +H8</f>
        <v>0.68114285714285716</v>
      </c>
      <c r="V8" s="9">
        <f>W8*B8*$AE$2</f>
        <v>702</v>
      </c>
      <c r="W8" s="9">
        <v>9</v>
      </c>
      <c r="X8" s="9">
        <f>D8+$Y$4</f>
        <v>9</v>
      </c>
      <c r="Y8" s="45"/>
      <c r="Z8" s="19">
        <v>1500</v>
      </c>
      <c r="AA8" s="19">
        <v>0.48</v>
      </c>
      <c r="AB8" s="19">
        <f t="shared" si="2"/>
        <v>720</v>
      </c>
      <c r="AC8" s="19">
        <f>((1-AA8)*$U$5)+AA8</f>
        <v>0.83419428571428567</v>
      </c>
      <c r="AD8" s="19">
        <f t="shared" si="14"/>
        <v>1251.2914285714285</v>
      </c>
    </row>
    <row r="9" spans="1:31" x14ac:dyDescent="0.25">
      <c r="A9" s="48"/>
      <c r="B9">
        <v>2110</v>
      </c>
      <c r="C9">
        <v>2110</v>
      </c>
      <c r="D9">
        <v>8.5</v>
      </c>
      <c r="E9">
        <f t="shared" si="3"/>
        <v>932.62</v>
      </c>
      <c r="F9" s="2">
        <f t="shared" si="4"/>
        <v>987.4799999999999</v>
      </c>
      <c r="G9" s="2">
        <f t="shared" si="5"/>
        <v>9</v>
      </c>
      <c r="H9" s="44">
        <f t="shared" si="6"/>
        <v>0.442</v>
      </c>
      <c r="I9">
        <f t="shared" si="0"/>
        <v>949.5</v>
      </c>
      <c r="J9">
        <v>11</v>
      </c>
      <c r="K9" s="44">
        <f t="shared" si="7"/>
        <v>0.57199999999999995</v>
      </c>
      <c r="L9">
        <f t="shared" si="8"/>
        <v>1206.9199999999998</v>
      </c>
      <c r="M9" s="3">
        <f t="shared" si="9"/>
        <v>0.68114285714285716</v>
      </c>
      <c r="N9" s="3">
        <f t="shared" si="10"/>
        <v>13.0989010989011</v>
      </c>
      <c r="O9" s="214">
        <f t="shared" si="11"/>
        <v>1437.2114285714285</v>
      </c>
      <c r="P9" s="2">
        <f t="shared" si="1"/>
        <v>1152.06</v>
      </c>
      <c r="Q9" s="42">
        <f t="shared" si="12"/>
        <v>10.5</v>
      </c>
      <c r="R9" s="44">
        <f t="shared" si="13"/>
        <v>0.54599999999999993</v>
      </c>
      <c r="S9" s="4"/>
      <c r="T9" s="4"/>
      <c r="U9" s="9"/>
      <c r="V9" s="9"/>
      <c r="W9" s="9"/>
      <c r="X9" s="9"/>
      <c r="Y9" s="45"/>
      <c r="Z9" s="19"/>
      <c r="AA9" s="19"/>
      <c r="AB9" s="19"/>
      <c r="AC9" s="19"/>
      <c r="AD9" s="19"/>
    </row>
    <row r="10" spans="1:31" x14ac:dyDescent="0.25">
      <c r="A10" s="48"/>
      <c r="B10" s="49">
        <v>2500</v>
      </c>
      <c r="C10" s="49">
        <v>2500</v>
      </c>
      <c r="D10">
        <v>8.6999999999999993</v>
      </c>
      <c r="E10">
        <f t="shared" si="3"/>
        <v>1131</v>
      </c>
      <c r="F10" s="2">
        <f t="shared" si="4"/>
        <v>1196</v>
      </c>
      <c r="G10" s="2">
        <f t="shared" si="5"/>
        <v>9.1999999999999993</v>
      </c>
      <c r="H10" s="44">
        <f t="shared" si="6"/>
        <v>0.45240000000000002</v>
      </c>
      <c r="I10" s="49">
        <f t="shared" si="0"/>
        <v>1125</v>
      </c>
      <c r="J10">
        <v>11</v>
      </c>
      <c r="K10" s="44">
        <f t="shared" si="7"/>
        <v>0.57199999999999995</v>
      </c>
      <c r="L10">
        <f t="shared" si="8"/>
        <v>1430</v>
      </c>
      <c r="M10" s="3">
        <f t="shared" si="9"/>
        <v>0.6870857142857143</v>
      </c>
      <c r="N10" s="3">
        <f t="shared" si="10"/>
        <v>13.213186813186814</v>
      </c>
      <c r="O10" s="214">
        <f t="shared" si="11"/>
        <v>1717.7142857142858</v>
      </c>
      <c r="P10" s="2">
        <f t="shared" si="1"/>
        <v>1364.9999999999998</v>
      </c>
      <c r="Q10" s="42">
        <f t="shared" si="12"/>
        <v>10.5</v>
      </c>
      <c r="R10" s="44">
        <f t="shared" si="13"/>
        <v>0.54599999999999993</v>
      </c>
      <c r="S10" s="4"/>
      <c r="T10" s="4"/>
      <c r="U10" s="9">
        <f>(((C10-E10)/B10)* ($S$7)) +H10</f>
        <v>0.6870857142857143</v>
      </c>
      <c r="V10" s="9">
        <f>W10*B10*$AE$2</f>
        <v>1170</v>
      </c>
      <c r="W10" s="9">
        <v>9</v>
      </c>
      <c r="X10" s="9">
        <f>D10+$Y$4</f>
        <v>9.1999999999999993</v>
      </c>
      <c r="Y10" s="45"/>
      <c r="Z10" s="19">
        <v>2500</v>
      </c>
      <c r="AA10" s="19">
        <v>0.47</v>
      </c>
      <c r="AB10" s="19">
        <f t="shared" si="2"/>
        <v>1175</v>
      </c>
      <c r="AC10" s="19">
        <f>((1-AA10)*$U$5)+AA10</f>
        <v>0.83100571428571435</v>
      </c>
      <c r="AD10" s="19">
        <f t="shared" si="14"/>
        <v>2077.514285714286</v>
      </c>
    </row>
    <row r="11" spans="1:31" x14ac:dyDescent="0.25">
      <c r="A11" s="48"/>
      <c r="B11" s="49">
        <v>2600</v>
      </c>
      <c r="C11" s="49">
        <v>2600</v>
      </c>
      <c r="D11">
        <v>8.6999999999999993</v>
      </c>
      <c r="E11">
        <f t="shared" si="3"/>
        <v>1176.2399999999998</v>
      </c>
      <c r="F11" s="2">
        <f t="shared" si="4"/>
        <v>1243.8399999999997</v>
      </c>
      <c r="G11" s="2">
        <f t="shared" si="5"/>
        <v>9.1999999999999993</v>
      </c>
      <c r="H11" s="44">
        <f t="shared" si="6"/>
        <v>0.45239999999999991</v>
      </c>
      <c r="I11" s="49">
        <f t="shared" si="0"/>
        <v>1170</v>
      </c>
      <c r="J11" s="49">
        <v>12</v>
      </c>
      <c r="K11" s="44">
        <f t="shared" si="7"/>
        <v>0.624</v>
      </c>
      <c r="L11">
        <f t="shared" si="8"/>
        <v>1622.3999999999999</v>
      </c>
      <c r="M11" s="3">
        <f t="shared" si="9"/>
        <v>0.6870857142857143</v>
      </c>
      <c r="N11" s="3">
        <f t="shared" si="10"/>
        <v>13.213186813186814</v>
      </c>
      <c r="O11" s="214">
        <f t="shared" si="11"/>
        <v>1786.4228571428571</v>
      </c>
      <c r="P11" s="2">
        <f t="shared" si="1"/>
        <v>1554.8</v>
      </c>
      <c r="Q11" s="42">
        <f t="shared" si="12"/>
        <v>11.5</v>
      </c>
      <c r="R11" s="44">
        <f t="shared" si="13"/>
        <v>0.59799999999999998</v>
      </c>
      <c r="S11" s="4"/>
      <c r="T11" s="4"/>
      <c r="U11" s="9"/>
      <c r="V11" s="9"/>
      <c r="W11" s="9"/>
      <c r="X11" s="9"/>
      <c r="Y11" s="45"/>
      <c r="Z11" s="19"/>
      <c r="AA11" s="19"/>
      <c r="AB11" s="19"/>
      <c r="AC11" s="19"/>
      <c r="AD11" s="19"/>
    </row>
    <row r="12" spans="1:31" x14ac:dyDescent="0.25">
      <c r="A12" s="48"/>
      <c r="B12">
        <v>3300</v>
      </c>
      <c r="C12">
        <f>B12</f>
        <v>3300</v>
      </c>
      <c r="D12">
        <v>8.6999999999999993</v>
      </c>
      <c r="E12">
        <f t="shared" si="3"/>
        <v>1492.9199999999998</v>
      </c>
      <c r="F12" s="2">
        <f>G12*B12*$AE$2</f>
        <v>1578.7199999999998</v>
      </c>
      <c r="G12" s="2">
        <f t="shared" si="5"/>
        <v>9.1999999999999993</v>
      </c>
      <c r="H12" s="44">
        <f t="shared" si="6"/>
        <v>0.45239999999999997</v>
      </c>
      <c r="I12">
        <f t="shared" si="0"/>
        <v>1485</v>
      </c>
      <c r="J12" s="49">
        <v>12</v>
      </c>
      <c r="K12" s="44">
        <f t="shared" si="7"/>
        <v>0.624</v>
      </c>
      <c r="L12">
        <f t="shared" si="8"/>
        <v>2059.1999999999998</v>
      </c>
      <c r="M12" s="3">
        <f t="shared" si="9"/>
        <v>0.6870857142857143</v>
      </c>
      <c r="N12" s="3">
        <f t="shared" si="10"/>
        <v>13.213186813186814</v>
      </c>
      <c r="O12" s="214">
        <f t="shared" si="11"/>
        <v>2267.3828571428571</v>
      </c>
      <c r="P12" s="2">
        <f t="shared" si="1"/>
        <v>1973.3999999999999</v>
      </c>
      <c r="Q12" s="42">
        <f t="shared" si="12"/>
        <v>11.5</v>
      </c>
      <c r="R12" s="44">
        <f t="shared" si="13"/>
        <v>0.59799999999999998</v>
      </c>
      <c r="S12" s="4"/>
      <c r="T12" s="4"/>
      <c r="U12" s="9">
        <f>(((C12-E12)/B12)* ($S$7)) +H12</f>
        <v>0.6870857142857143</v>
      </c>
      <c r="V12" s="9">
        <f>W12*B12*$AE$2</f>
        <v>1544.3999999999999</v>
      </c>
      <c r="W12" s="9">
        <v>9</v>
      </c>
      <c r="X12" s="43">
        <f>D12+$Y$4</f>
        <v>9.1999999999999993</v>
      </c>
      <c r="Y12" s="46"/>
      <c r="Z12" s="19">
        <v>3000</v>
      </c>
      <c r="AA12" s="19">
        <v>0.47</v>
      </c>
      <c r="AB12" s="19">
        <f t="shared" si="2"/>
        <v>1410</v>
      </c>
      <c r="AC12" s="19">
        <f>((1-AA12)*$U$5)+AA12</f>
        <v>0.83100571428571435</v>
      </c>
      <c r="AD12" s="19">
        <f t="shared" si="14"/>
        <v>2493.017142857143</v>
      </c>
    </row>
    <row r="13" spans="1:31" x14ac:dyDescent="0.25">
      <c r="A13" s="5"/>
      <c r="B13" s="49">
        <v>4000</v>
      </c>
      <c r="C13" s="49">
        <v>4000</v>
      </c>
      <c r="D13">
        <v>8.6999999999999993</v>
      </c>
      <c r="E13">
        <f t="shared" si="3"/>
        <v>1809.6</v>
      </c>
      <c r="F13" s="2">
        <f t="shared" si="4"/>
        <v>1913.6</v>
      </c>
      <c r="G13" s="2">
        <f t="shared" si="5"/>
        <v>9.1999999999999993</v>
      </c>
      <c r="H13" s="44">
        <f t="shared" si="6"/>
        <v>0.45239999999999997</v>
      </c>
      <c r="I13" s="49">
        <f t="shared" si="0"/>
        <v>1800</v>
      </c>
      <c r="J13">
        <v>13.5</v>
      </c>
      <c r="K13" s="44">
        <f t="shared" si="7"/>
        <v>0.70199999999999996</v>
      </c>
      <c r="L13">
        <f t="shared" si="8"/>
        <v>2808</v>
      </c>
      <c r="M13" s="3">
        <f t="shared" si="9"/>
        <v>0.6870857142857143</v>
      </c>
      <c r="N13" s="3">
        <f t="shared" si="10"/>
        <v>13.213186813186814</v>
      </c>
      <c r="O13" s="214">
        <f t="shared" si="11"/>
        <v>2748.3428571428572</v>
      </c>
      <c r="P13" s="2">
        <f t="shared" si="1"/>
        <v>2703.9999999999995</v>
      </c>
      <c r="Q13" s="42">
        <f t="shared" si="12"/>
        <v>13</v>
      </c>
      <c r="R13" s="44">
        <f t="shared" si="13"/>
        <v>0.67599999999999993</v>
      </c>
      <c r="S13" s="14" t="s">
        <v>84</v>
      </c>
      <c r="T13" s="5"/>
      <c r="V13">
        <f>E13+$Y$3</f>
        <v>1959.6</v>
      </c>
      <c r="W13" s="3">
        <f xml:space="preserve"> ((V13)/(B13*$AE$2))</f>
        <v>9.421153846153846</v>
      </c>
      <c r="X13" s="43">
        <f>D13+$Y$4</f>
        <v>9.1999999999999993</v>
      </c>
      <c r="Y13" s="46"/>
      <c r="Z13" s="19">
        <v>4000</v>
      </c>
      <c r="AA13" s="19">
        <v>0.46</v>
      </c>
      <c r="AB13" s="19">
        <f t="shared" si="2"/>
        <v>1840</v>
      </c>
      <c r="AC13" s="19">
        <f xml:space="preserve"> ((1 - AA13)* ($S$16))+AA13</f>
        <v>0.6914285714285715</v>
      </c>
      <c r="AD13" s="19">
        <f t="shared" si="14"/>
        <v>2765.7142857142862</v>
      </c>
    </row>
    <row r="14" spans="1:31" x14ac:dyDescent="0.25">
      <c r="A14" s="5"/>
      <c r="B14" s="49">
        <v>4100</v>
      </c>
      <c r="C14" s="49">
        <v>4100</v>
      </c>
      <c r="D14">
        <v>9</v>
      </c>
      <c r="E14">
        <f t="shared" si="3"/>
        <v>1918.8</v>
      </c>
      <c r="F14" s="2">
        <f t="shared" si="4"/>
        <v>2025.3999999999999</v>
      </c>
      <c r="G14" s="2">
        <f t="shared" ref="G14:G39" si="15">$H$3+D14</f>
        <v>9.5</v>
      </c>
      <c r="H14" s="44">
        <f t="shared" si="6"/>
        <v>0.46799999999999997</v>
      </c>
      <c r="I14" s="49">
        <f t="shared" si="0"/>
        <v>1845</v>
      </c>
      <c r="J14">
        <v>13.5</v>
      </c>
      <c r="K14" s="44">
        <f t="shared" si="7"/>
        <v>0.70199999999999996</v>
      </c>
      <c r="L14">
        <f t="shared" si="8"/>
        <v>2878.2</v>
      </c>
      <c r="M14" s="3">
        <f t="shared" si="9"/>
        <v>0.69599999999999995</v>
      </c>
      <c r="N14" s="3">
        <f t="shared" si="10"/>
        <v>13.384615384615385</v>
      </c>
      <c r="O14" s="214">
        <f t="shared" si="11"/>
        <v>2853.6</v>
      </c>
      <c r="P14" s="2">
        <f t="shared" si="1"/>
        <v>2771.6</v>
      </c>
      <c r="Q14" s="42">
        <f t="shared" si="12"/>
        <v>13</v>
      </c>
      <c r="R14" s="44">
        <f t="shared" si="13"/>
        <v>0.67599999999999993</v>
      </c>
      <c r="S14" s="14"/>
      <c r="T14" s="5"/>
      <c r="W14" s="3"/>
      <c r="X14" s="43"/>
      <c r="Y14" s="46"/>
      <c r="Z14" s="19"/>
      <c r="AA14" s="19"/>
      <c r="AB14" s="19"/>
      <c r="AC14" s="19"/>
      <c r="AD14" s="19"/>
    </row>
    <row r="15" spans="1:31" x14ac:dyDescent="0.25">
      <c r="A15" s="5"/>
      <c r="B15">
        <v>5000</v>
      </c>
      <c r="C15">
        <v>5000</v>
      </c>
      <c r="D15">
        <v>9</v>
      </c>
      <c r="E15">
        <f t="shared" si="3"/>
        <v>2340</v>
      </c>
      <c r="F15" s="2">
        <f t="shared" si="4"/>
        <v>2470</v>
      </c>
      <c r="G15" s="2">
        <f t="shared" si="15"/>
        <v>9.5</v>
      </c>
      <c r="H15" s="44">
        <f t="shared" si="6"/>
        <v>0.46800000000000003</v>
      </c>
      <c r="I15" s="5">
        <f t="shared" si="0"/>
        <v>2250</v>
      </c>
      <c r="J15">
        <v>14</v>
      </c>
      <c r="K15" s="44">
        <f t="shared" si="7"/>
        <v>0.72799999999999998</v>
      </c>
      <c r="L15">
        <f t="shared" si="8"/>
        <v>3640</v>
      </c>
      <c r="M15" s="3">
        <f t="shared" si="9"/>
        <v>0.69600000000000006</v>
      </c>
      <c r="N15" s="3">
        <f t="shared" si="10"/>
        <v>13.384615384615387</v>
      </c>
      <c r="O15" s="214">
        <f t="shared" si="11"/>
        <v>3480.0000000000005</v>
      </c>
      <c r="P15" s="2">
        <f t="shared" si="1"/>
        <v>3510</v>
      </c>
      <c r="Q15" s="42">
        <f t="shared" si="12"/>
        <v>13.5</v>
      </c>
      <c r="R15" s="44">
        <f t="shared" si="13"/>
        <v>0.70199999999999996</v>
      </c>
      <c r="S15" s="5"/>
      <c r="T15" s="5"/>
      <c r="V15">
        <f t="shared" ref="V15:V39" si="16">E15+$Y$3</f>
        <v>2490</v>
      </c>
      <c r="W15" s="3">
        <f t="shared" ref="W15:W39" si="17" xml:space="preserve"> ((V15)/(B15*$AE$2))</f>
        <v>9.5769230769230766</v>
      </c>
      <c r="X15" s="43">
        <f t="shared" ref="X15:X26" si="18">D15+$Y$4</f>
        <v>9.5</v>
      </c>
      <c r="Y15" s="47"/>
      <c r="Z15" s="19">
        <v>5000</v>
      </c>
      <c r="AA15" s="19">
        <v>0.45</v>
      </c>
      <c r="AB15" s="19">
        <f t="shared" si="2"/>
        <v>2250</v>
      </c>
      <c r="AC15" s="19">
        <f xml:space="preserve"> ((1 - AA15)* ($S$16))+AA15</f>
        <v>0.68571428571428572</v>
      </c>
      <c r="AD15" s="19">
        <f t="shared" si="14"/>
        <v>3428.5714285714284</v>
      </c>
    </row>
    <row r="16" spans="1:31" x14ac:dyDescent="0.25">
      <c r="A16" s="5"/>
      <c r="B16">
        <v>6000</v>
      </c>
      <c r="C16">
        <v>6000</v>
      </c>
      <c r="D16">
        <v>9</v>
      </c>
      <c r="E16">
        <f t="shared" si="3"/>
        <v>2808</v>
      </c>
      <c r="F16" s="2">
        <f t="shared" si="4"/>
        <v>2964</v>
      </c>
      <c r="G16" s="2">
        <f t="shared" si="15"/>
        <v>9.5</v>
      </c>
      <c r="H16" s="44">
        <f t="shared" si="6"/>
        <v>0.46800000000000003</v>
      </c>
      <c r="I16" s="5">
        <f t="shared" si="0"/>
        <v>2700</v>
      </c>
      <c r="J16">
        <v>14.5</v>
      </c>
      <c r="K16" s="44">
        <f t="shared" si="7"/>
        <v>0.754</v>
      </c>
      <c r="L16">
        <f t="shared" si="8"/>
        <v>4524</v>
      </c>
      <c r="M16" s="3">
        <f t="shared" si="9"/>
        <v>0.69600000000000006</v>
      </c>
      <c r="N16" s="3">
        <f t="shared" si="10"/>
        <v>13.384615384615387</v>
      </c>
      <c r="O16" s="214">
        <f t="shared" si="11"/>
        <v>4176</v>
      </c>
      <c r="P16" s="2">
        <f t="shared" si="1"/>
        <v>4368</v>
      </c>
      <c r="Q16" s="42">
        <f t="shared" ref="Q16:Q23" si="19">J16-$S$3</f>
        <v>14</v>
      </c>
      <c r="R16" s="44">
        <f t="shared" si="13"/>
        <v>0.72799999999999998</v>
      </c>
      <c r="S16" s="5">
        <f>T16/(1-T16)</f>
        <v>0.4285714285714286</v>
      </c>
      <c r="T16" s="5">
        <v>0.3</v>
      </c>
      <c r="V16">
        <f t="shared" si="16"/>
        <v>2958</v>
      </c>
      <c r="W16" s="3">
        <f t="shared" si="17"/>
        <v>9.4807692307692299</v>
      </c>
      <c r="X16" s="43">
        <f t="shared" si="18"/>
        <v>9.5</v>
      </c>
      <c r="Y16" s="47" t="s">
        <v>85</v>
      </c>
      <c r="Z16" s="19">
        <v>6000</v>
      </c>
      <c r="AA16" s="19">
        <v>0.45</v>
      </c>
      <c r="AB16" s="19">
        <f t="shared" si="2"/>
        <v>2700</v>
      </c>
      <c r="AC16" s="19">
        <f xml:space="preserve"> ((1 - AA16)* ($S$16))+AA16</f>
        <v>0.68571428571428572</v>
      </c>
      <c r="AD16" s="19">
        <f t="shared" si="14"/>
        <v>4114.2857142857147</v>
      </c>
    </row>
    <row r="17" spans="1:30" x14ac:dyDescent="0.25">
      <c r="A17" s="5"/>
      <c r="B17">
        <v>7000</v>
      </c>
      <c r="C17">
        <v>7000</v>
      </c>
      <c r="D17">
        <v>9</v>
      </c>
      <c r="E17">
        <f t="shared" si="3"/>
        <v>3276</v>
      </c>
      <c r="F17" s="2">
        <f t="shared" ref="F17:F39" si="20">G17*B17*$AE$2</f>
        <v>3458</v>
      </c>
      <c r="G17" s="2">
        <f t="shared" si="15"/>
        <v>9.5</v>
      </c>
      <c r="H17" s="44">
        <f t="shared" si="6"/>
        <v>0.46800000000000003</v>
      </c>
      <c r="I17" s="5">
        <f t="shared" si="0"/>
        <v>3150</v>
      </c>
      <c r="J17">
        <v>15</v>
      </c>
      <c r="K17" s="44">
        <f t="shared" si="7"/>
        <v>0.77999999999999992</v>
      </c>
      <c r="L17">
        <f t="shared" si="8"/>
        <v>5460</v>
      </c>
      <c r="M17" s="3">
        <f t="shared" si="9"/>
        <v>0.69600000000000006</v>
      </c>
      <c r="N17" s="3">
        <f t="shared" si="10"/>
        <v>13.384615384615387</v>
      </c>
      <c r="O17" s="214">
        <f t="shared" si="11"/>
        <v>4872</v>
      </c>
      <c r="P17" s="2">
        <f t="shared" si="1"/>
        <v>5278</v>
      </c>
      <c r="Q17" s="42">
        <f t="shared" si="19"/>
        <v>14.5</v>
      </c>
      <c r="R17" s="44">
        <f t="shared" si="13"/>
        <v>0.754</v>
      </c>
      <c r="S17" s="5"/>
      <c r="T17" s="5"/>
      <c r="V17">
        <f t="shared" si="16"/>
        <v>3426</v>
      </c>
      <c r="W17" s="3">
        <f t="shared" si="17"/>
        <v>9.4120879120879124</v>
      </c>
      <c r="X17" s="43">
        <f t="shared" si="18"/>
        <v>9.5</v>
      </c>
      <c r="Y17" s="47"/>
      <c r="Z17" s="19">
        <v>7000</v>
      </c>
      <c r="AA17" s="19">
        <v>0.45</v>
      </c>
      <c r="AB17" s="19">
        <f t="shared" si="2"/>
        <v>3150</v>
      </c>
      <c r="AC17" s="19">
        <f xml:space="preserve"> ((1 - AA17)* ($S$16))+AA17</f>
        <v>0.68571428571428572</v>
      </c>
      <c r="AD17" s="19">
        <f t="shared" si="14"/>
        <v>4800</v>
      </c>
    </row>
    <row r="18" spans="1:30" x14ac:dyDescent="0.25">
      <c r="A18" s="5"/>
      <c r="B18">
        <v>7700</v>
      </c>
      <c r="C18">
        <v>7700</v>
      </c>
      <c r="D18">
        <v>9</v>
      </c>
      <c r="E18">
        <f t="shared" si="3"/>
        <v>3603.6</v>
      </c>
      <c r="F18" s="2">
        <f t="shared" si="20"/>
        <v>3803.7999999999997</v>
      </c>
      <c r="G18" s="2">
        <f t="shared" si="15"/>
        <v>9.5</v>
      </c>
      <c r="H18" s="44">
        <f t="shared" si="6"/>
        <v>0.46799999999999997</v>
      </c>
      <c r="I18" s="5">
        <f t="shared" si="0"/>
        <v>3465</v>
      </c>
      <c r="J18">
        <v>15</v>
      </c>
      <c r="K18" s="44">
        <f t="shared" si="7"/>
        <v>0.77999999999999992</v>
      </c>
      <c r="L18">
        <f t="shared" si="8"/>
        <v>6006</v>
      </c>
      <c r="M18" s="3">
        <f t="shared" si="9"/>
        <v>0.69599999999999995</v>
      </c>
      <c r="N18" s="3">
        <f t="shared" si="10"/>
        <v>13.384615384615385</v>
      </c>
      <c r="O18" s="214">
        <f t="shared" si="11"/>
        <v>5359.2</v>
      </c>
      <c r="P18" s="2">
        <f t="shared" si="1"/>
        <v>5805.8</v>
      </c>
      <c r="Q18" s="42">
        <f t="shared" si="19"/>
        <v>14.5</v>
      </c>
      <c r="R18" s="44">
        <f t="shared" si="13"/>
        <v>0.754</v>
      </c>
      <c r="S18" s="5"/>
      <c r="T18" s="5"/>
      <c r="W18" s="3"/>
      <c r="X18" s="43"/>
      <c r="Y18" s="47"/>
      <c r="Z18" s="19"/>
      <c r="AA18" s="19"/>
      <c r="AB18" s="19"/>
      <c r="AC18" s="19"/>
      <c r="AD18" s="19"/>
    </row>
    <row r="19" spans="1:30" x14ac:dyDescent="0.25">
      <c r="A19" s="5"/>
      <c r="B19">
        <v>8000</v>
      </c>
      <c r="C19">
        <v>8000</v>
      </c>
      <c r="D19" s="42">
        <v>9.5</v>
      </c>
      <c r="E19">
        <f t="shared" si="3"/>
        <v>3952</v>
      </c>
      <c r="F19" s="2">
        <f t="shared" si="20"/>
        <v>4160</v>
      </c>
      <c r="G19" s="2">
        <f t="shared" si="15"/>
        <v>10</v>
      </c>
      <c r="H19" s="44">
        <f t="shared" si="6"/>
        <v>0.49399999999999999</v>
      </c>
      <c r="I19" s="5">
        <f t="shared" si="0"/>
        <v>3600</v>
      </c>
      <c r="J19">
        <v>15.7</v>
      </c>
      <c r="K19" s="44">
        <f t="shared" si="7"/>
        <v>0.8163999999999999</v>
      </c>
      <c r="L19">
        <f t="shared" si="8"/>
        <v>6531.2</v>
      </c>
      <c r="M19" s="3">
        <f t="shared" si="9"/>
        <v>0.71085714285714285</v>
      </c>
      <c r="N19" s="3">
        <f t="shared" si="10"/>
        <v>13.670329670329672</v>
      </c>
      <c r="O19" s="214">
        <f t="shared" si="11"/>
        <v>5686.8571428571431</v>
      </c>
      <c r="P19" s="2">
        <f t="shared" si="1"/>
        <v>6323.1999999999989</v>
      </c>
      <c r="Q19" s="42">
        <f t="shared" si="19"/>
        <v>15.2</v>
      </c>
      <c r="R19" s="44">
        <f t="shared" si="13"/>
        <v>0.79039999999999988</v>
      </c>
      <c r="S19" s="5"/>
      <c r="T19" s="5"/>
      <c r="V19">
        <f t="shared" si="16"/>
        <v>4102</v>
      </c>
      <c r="W19" s="3">
        <f t="shared" si="17"/>
        <v>9.8605769230769234</v>
      </c>
      <c r="X19" s="43">
        <f t="shared" si="18"/>
        <v>10</v>
      </c>
      <c r="Y19" s="47"/>
      <c r="Z19" s="19">
        <v>8000</v>
      </c>
      <c r="AA19" s="19">
        <v>0.45</v>
      </c>
      <c r="AB19" s="19">
        <f t="shared" si="2"/>
        <v>3600</v>
      </c>
      <c r="AC19" s="19">
        <f xml:space="preserve"> ((1 - AA19)* ($S$16))+AA19</f>
        <v>0.68571428571428572</v>
      </c>
      <c r="AD19" s="19">
        <f t="shared" si="14"/>
        <v>5485.7142857142853</v>
      </c>
    </row>
    <row r="20" spans="1:30" x14ac:dyDescent="0.25">
      <c r="A20" s="5" t="s">
        <v>86</v>
      </c>
      <c r="B20" s="315">
        <v>8100</v>
      </c>
      <c r="C20" s="315">
        <v>8100</v>
      </c>
      <c r="D20" s="335">
        <v>9.5</v>
      </c>
      <c r="E20" s="315">
        <f t="shared" si="3"/>
        <v>4001.3999999999996</v>
      </c>
      <c r="F20" s="336">
        <f t="shared" si="20"/>
        <v>4212</v>
      </c>
      <c r="G20" s="336">
        <f t="shared" si="15"/>
        <v>10</v>
      </c>
      <c r="H20" s="337">
        <f t="shared" si="6"/>
        <v>0.49399999999999994</v>
      </c>
      <c r="I20" s="315">
        <f t="shared" si="0"/>
        <v>3645</v>
      </c>
      <c r="J20" s="315">
        <v>15.7</v>
      </c>
      <c r="K20" s="337">
        <f t="shared" si="7"/>
        <v>0.8163999999999999</v>
      </c>
      <c r="L20" s="315">
        <f t="shared" si="8"/>
        <v>6612.84</v>
      </c>
      <c r="M20" s="338">
        <f t="shared" si="9"/>
        <v>0.71085714285714285</v>
      </c>
      <c r="N20" s="338">
        <f t="shared" si="10"/>
        <v>13.670329670329672</v>
      </c>
      <c r="O20" s="336">
        <f t="shared" ref="O20" si="21">M20*B20</f>
        <v>5757.9428571428571</v>
      </c>
      <c r="P20" s="336">
        <f t="shared" si="1"/>
        <v>6402.2399999999989</v>
      </c>
      <c r="Q20" s="335">
        <f t="shared" si="19"/>
        <v>15.2</v>
      </c>
      <c r="R20" s="337">
        <f>P20/B20</f>
        <v>0.79039999999999988</v>
      </c>
      <c r="S20" s="6"/>
      <c r="T20" s="6"/>
      <c r="V20">
        <f t="shared" si="16"/>
        <v>4151.3999999999996</v>
      </c>
      <c r="W20" s="3">
        <f t="shared" si="17"/>
        <v>9.8561253561253555</v>
      </c>
      <c r="X20" s="43">
        <f t="shared" si="18"/>
        <v>10</v>
      </c>
      <c r="Y20" s="47"/>
      <c r="Z20" s="19">
        <v>8100</v>
      </c>
      <c r="AA20" s="19">
        <v>0.44800000000000001</v>
      </c>
      <c r="AB20" s="19">
        <f t="shared" si="2"/>
        <v>3628.8</v>
      </c>
      <c r="AC20" s="19">
        <f t="shared" ref="AC20:AC25" si="22">((1-AA20)*$S$23)+AA20</f>
        <v>0.74523076923076925</v>
      </c>
      <c r="AD20" s="19">
        <f t="shared" si="14"/>
        <v>6036.3692307692309</v>
      </c>
    </row>
    <row r="21" spans="1:30" x14ac:dyDescent="0.25">
      <c r="A21" s="5"/>
      <c r="B21" s="315">
        <v>8150</v>
      </c>
      <c r="C21" s="315">
        <v>8150</v>
      </c>
      <c r="D21" s="335">
        <v>9.5</v>
      </c>
      <c r="E21" s="315">
        <f t="shared" si="3"/>
        <v>4026.1</v>
      </c>
      <c r="F21" s="336">
        <f t="shared" si="20"/>
        <v>4238</v>
      </c>
      <c r="G21" s="336">
        <f t="shared" si="15"/>
        <v>10</v>
      </c>
      <c r="H21" s="337">
        <f t="shared" ref="H21:H39" si="23">E21/B21</f>
        <v>0.49399999999999999</v>
      </c>
      <c r="I21" s="315">
        <f t="shared" si="0"/>
        <v>3667.5</v>
      </c>
      <c r="J21" s="315">
        <v>15.7</v>
      </c>
      <c r="K21" s="337">
        <f t="shared" si="7"/>
        <v>0.8163999999999999</v>
      </c>
      <c r="L21" s="315">
        <f t="shared" ref="L21:L39" si="24">J21*B21*0.052</f>
        <v>6653.66</v>
      </c>
      <c r="M21" s="338">
        <f t="shared" si="9"/>
        <v>0.71085714285714285</v>
      </c>
      <c r="N21" s="338">
        <f t="shared" si="10"/>
        <v>13.670329670329672</v>
      </c>
      <c r="O21" s="336">
        <f t="shared" ref="O21:O39" si="25">M21*B21</f>
        <v>5793.4857142857145</v>
      </c>
      <c r="P21" s="336">
        <f t="shared" si="1"/>
        <v>6441.7599999999993</v>
      </c>
      <c r="Q21" s="335">
        <f t="shared" si="19"/>
        <v>15.2</v>
      </c>
      <c r="R21" s="337">
        <f t="shared" si="13"/>
        <v>0.79039999999999988</v>
      </c>
      <c r="S21" s="16" t="s">
        <v>87</v>
      </c>
      <c r="T21" s="6"/>
      <c r="V21">
        <f t="shared" si="16"/>
        <v>4176.1000000000004</v>
      </c>
      <c r="W21" s="3">
        <f t="shared" si="17"/>
        <v>9.8539405379896188</v>
      </c>
      <c r="X21" s="43">
        <f t="shared" si="18"/>
        <v>10</v>
      </c>
      <c r="Y21" s="47" t="s">
        <v>88</v>
      </c>
      <c r="Z21" s="19">
        <v>8150</v>
      </c>
      <c r="AA21" s="19">
        <v>0.44800000000000001</v>
      </c>
      <c r="AB21" s="19">
        <f t="shared" si="2"/>
        <v>3651.2000000000003</v>
      </c>
      <c r="AC21" s="19">
        <f t="shared" si="22"/>
        <v>0.74523076923076925</v>
      </c>
      <c r="AD21" s="19">
        <f t="shared" si="14"/>
        <v>6073.6307692307691</v>
      </c>
    </row>
    <row r="22" spans="1:30" x14ac:dyDescent="0.25">
      <c r="A22" s="5"/>
      <c r="B22" s="315">
        <v>8200</v>
      </c>
      <c r="C22" s="315">
        <v>8200</v>
      </c>
      <c r="D22" s="335">
        <v>9.5</v>
      </c>
      <c r="E22" s="315">
        <f t="shared" si="3"/>
        <v>4050.7999999999997</v>
      </c>
      <c r="F22" s="336">
        <f t="shared" si="20"/>
        <v>4264</v>
      </c>
      <c r="G22" s="336">
        <f t="shared" si="15"/>
        <v>10</v>
      </c>
      <c r="H22" s="337">
        <f t="shared" si="23"/>
        <v>0.49399999999999994</v>
      </c>
      <c r="I22" s="315">
        <f t="shared" si="0"/>
        <v>3690</v>
      </c>
      <c r="J22" s="315">
        <v>15.7</v>
      </c>
      <c r="K22" s="337">
        <f t="shared" si="7"/>
        <v>0.8163999999999999</v>
      </c>
      <c r="L22" s="315">
        <f t="shared" si="24"/>
        <v>6694.48</v>
      </c>
      <c r="M22" s="338">
        <f t="shared" si="9"/>
        <v>0.71085714285714285</v>
      </c>
      <c r="N22" s="338">
        <f t="shared" si="10"/>
        <v>13.670329670329672</v>
      </c>
      <c r="O22" s="336">
        <f t="shared" si="25"/>
        <v>5829.028571428571</v>
      </c>
      <c r="P22" s="336">
        <f t="shared" si="1"/>
        <v>6481.2799999999988</v>
      </c>
      <c r="Q22" s="335">
        <f t="shared" si="19"/>
        <v>15.2</v>
      </c>
      <c r="R22" s="337">
        <f t="shared" si="13"/>
        <v>0.79039999999999988</v>
      </c>
      <c r="S22" s="6"/>
      <c r="T22" s="6"/>
      <c r="V22">
        <f t="shared" si="16"/>
        <v>4200.7999999999993</v>
      </c>
      <c r="W22" s="3">
        <f t="shared" si="17"/>
        <v>9.8517823639774846</v>
      </c>
      <c r="X22" s="43">
        <f t="shared" si="18"/>
        <v>10</v>
      </c>
      <c r="Y22" s="47"/>
      <c r="Z22" s="19">
        <v>8200</v>
      </c>
      <c r="AA22" s="19">
        <v>0.44800000000000001</v>
      </c>
      <c r="AB22" s="19">
        <f t="shared" si="2"/>
        <v>3673.6</v>
      </c>
      <c r="AC22" s="19">
        <f t="shared" si="22"/>
        <v>0.74523076923076925</v>
      </c>
      <c r="AD22" s="19">
        <f t="shared" si="14"/>
        <v>6110.8923076923074</v>
      </c>
    </row>
    <row r="23" spans="1:30" x14ac:dyDescent="0.25">
      <c r="A23" s="5"/>
      <c r="B23" s="315">
        <v>8250</v>
      </c>
      <c r="C23" s="315">
        <v>8250</v>
      </c>
      <c r="D23" s="335">
        <v>9.5</v>
      </c>
      <c r="E23" s="315">
        <f t="shared" si="3"/>
        <v>4075.5</v>
      </c>
      <c r="F23" s="336">
        <f t="shared" si="20"/>
        <v>4290</v>
      </c>
      <c r="G23" s="336">
        <f t="shared" si="15"/>
        <v>10</v>
      </c>
      <c r="H23" s="337">
        <f t="shared" si="23"/>
        <v>0.49399999999999999</v>
      </c>
      <c r="I23" s="315">
        <f t="shared" si="0"/>
        <v>3712.5</v>
      </c>
      <c r="J23" s="315">
        <v>15.7</v>
      </c>
      <c r="K23" s="337">
        <f t="shared" si="7"/>
        <v>0.8163999999999999</v>
      </c>
      <c r="L23" s="315">
        <f t="shared" si="24"/>
        <v>6735.2999999999993</v>
      </c>
      <c r="M23" s="338">
        <f t="shared" si="9"/>
        <v>0.71085714285714285</v>
      </c>
      <c r="N23" s="338">
        <f t="shared" si="10"/>
        <v>13.670329670329672</v>
      </c>
      <c r="O23" s="336">
        <f t="shared" si="25"/>
        <v>5864.5714285714284</v>
      </c>
      <c r="P23" s="336">
        <f t="shared" si="1"/>
        <v>6520.7999999999993</v>
      </c>
      <c r="Q23" s="335">
        <f t="shared" si="19"/>
        <v>15.2</v>
      </c>
      <c r="R23" s="337">
        <f t="shared" si="13"/>
        <v>0.79039999999999988</v>
      </c>
      <c r="S23" s="6">
        <f>T23/(1-T23)</f>
        <v>0.53846153846153844</v>
      </c>
      <c r="T23" s="6">
        <v>0.35</v>
      </c>
      <c r="V23">
        <f t="shared" si="16"/>
        <v>4225.5</v>
      </c>
      <c r="W23" s="3">
        <f t="shared" si="17"/>
        <v>9.84965034965035</v>
      </c>
      <c r="X23" s="43">
        <f t="shared" si="18"/>
        <v>10</v>
      </c>
      <c r="Y23" s="47"/>
      <c r="Z23" s="19">
        <v>8250</v>
      </c>
      <c r="AA23" s="19">
        <v>0.44800000000000001</v>
      </c>
      <c r="AB23" s="19">
        <f t="shared" si="2"/>
        <v>3696</v>
      </c>
      <c r="AC23" s="19">
        <f t="shared" si="22"/>
        <v>0.74523076923076925</v>
      </c>
      <c r="AD23" s="19">
        <f t="shared" si="14"/>
        <v>6148.1538461538466</v>
      </c>
    </row>
    <row r="24" spans="1:30" x14ac:dyDescent="0.25">
      <c r="A24" s="5"/>
      <c r="B24" s="315">
        <v>8300</v>
      </c>
      <c r="C24" s="315">
        <v>8300</v>
      </c>
      <c r="D24" s="335">
        <v>9.5</v>
      </c>
      <c r="E24" s="315">
        <f t="shared" si="3"/>
        <v>4100.2</v>
      </c>
      <c r="F24" s="336">
        <f t="shared" si="20"/>
        <v>4316</v>
      </c>
      <c r="G24" s="336">
        <f t="shared" si="15"/>
        <v>10</v>
      </c>
      <c r="H24" s="337">
        <f t="shared" si="23"/>
        <v>0.49399999999999999</v>
      </c>
      <c r="I24" s="315">
        <f t="shared" si="0"/>
        <v>3735</v>
      </c>
      <c r="J24" s="315">
        <v>15.7</v>
      </c>
      <c r="K24" s="337">
        <f t="shared" si="7"/>
        <v>0.8163999999999999</v>
      </c>
      <c r="L24" s="315">
        <f t="shared" si="24"/>
        <v>6776.12</v>
      </c>
      <c r="M24" s="338">
        <f t="shared" si="9"/>
        <v>0.71085714285714285</v>
      </c>
      <c r="N24" s="338">
        <f t="shared" si="10"/>
        <v>13.670329670329672</v>
      </c>
      <c r="O24" s="336">
        <f t="shared" si="25"/>
        <v>5900.1142857142859</v>
      </c>
      <c r="P24" s="336">
        <f t="shared" si="1"/>
        <v>6560.3199999999988</v>
      </c>
      <c r="Q24" s="335">
        <f t="shared" ref="Q24:Q39" si="26">J24-$S$3</f>
        <v>15.2</v>
      </c>
      <c r="R24" s="337">
        <f t="shared" si="13"/>
        <v>0.79039999999999988</v>
      </c>
      <c r="S24" s="6"/>
      <c r="T24" s="6"/>
      <c r="V24">
        <f t="shared" si="16"/>
        <v>4250.2</v>
      </c>
      <c r="W24" s="3">
        <f t="shared" si="17"/>
        <v>9.8475440222428183</v>
      </c>
      <c r="X24" s="43">
        <f t="shared" si="18"/>
        <v>10</v>
      </c>
      <c r="Y24" s="47"/>
      <c r="Z24" s="19">
        <v>8300</v>
      </c>
      <c r="AA24" s="19">
        <v>0.44600000000000001</v>
      </c>
      <c r="AB24" s="19">
        <f t="shared" si="2"/>
        <v>3701.8</v>
      </c>
      <c r="AC24" s="19">
        <f t="shared" si="22"/>
        <v>0.74430769230769234</v>
      </c>
      <c r="AD24" s="19">
        <f t="shared" si="14"/>
        <v>6177.7538461538461</v>
      </c>
    </row>
    <row r="25" spans="1:30" x14ac:dyDescent="0.25">
      <c r="A25" s="5"/>
      <c r="B25" s="315">
        <v>8350</v>
      </c>
      <c r="C25" s="315">
        <v>8350</v>
      </c>
      <c r="D25" s="335">
        <v>9.5</v>
      </c>
      <c r="E25" s="315">
        <f t="shared" si="3"/>
        <v>4124.8999999999996</v>
      </c>
      <c r="F25" s="336">
        <f t="shared" si="20"/>
        <v>4342</v>
      </c>
      <c r="G25" s="336">
        <f t="shared" si="15"/>
        <v>10</v>
      </c>
      <c r="H25" s="337">
        <f t="shared" si="23"/>
        <v>0.49399999999999994</v>
      </c>
      <c r="I25" s="315">
        <f t="shared" si="0"/>
        <v>3757.5</v>
      </c>
      <c r="J25" s="315">
        <v>15.7</v>
      </c>
      <c r="K25" s="337">
        <f t="shared" si="7"/>
        <v>0.8163999999999999</v>
      </c>
      <c r="L25" s="315">
        <f t="shared" si="24"/>
        <v>6816.94</v>
      </c>
      <c r="M25" s="338">
        <f t="shared" si="9"/>
        <v>0.71085714285714285</v>
      </c>
      <c r="N25" s="338">
        <f t="shared" si="10"/>
        <v>13.670329670329672</v>
      </c>
      <c r="O25" s="336">
        <f t="shared" si="25"/>
        <v>5935.6571428571424</v>
      </c>
      <c r="P25" s="336">
        <f t="shared" si="1"/>
        <v>6599.8399999999992</v>
      </c>
      <c r="Q25" s="335">
        <f t="shared" si="26"/>
        <v>15.2</v>
      </c>
      <c r="R25" s="337">
        <f t="shared" si="13"/>
        <v>0.79039999999999988</v>
      </c>
      <c r="S25" s="6"/>
      <c r="T25" s="6"/>
      <c r="V25">
        <f t="shared" si="16"/>
        <v>4274.8999999999996</v>
      </c>
      <c r="W25" s="3">
        <f t="shared" si="17"/>
        <v>9.8454629203132189</v>
      </c>
      <c r="X25" s="43">
        <f t="shared" si="18"/>
        <v>10</v>
      </c>
      <c r="Y25" s="47"/>
      <c r="Z25" s="19">
        <v>8350</v>
      </c>
      <c r="AA25" s="19">
        <v>0.44600000000000001</v>
      </c>
      <c r="AB25" s="19">
        <f t="shared" si="2"/>
        <v>3724.1</v>
      </c>
      <c r="AC25" s="19">
        <f t="shared" si="22"/>
        <v>0.74430769230769234</v>
      </c>
      <c r="AD25" s="19">
        <f t="shared" si="14"/>
        <v>6214.9692307692312</v>
      </c>
    </row>
    <row r="26" spans="1:30" x14ac:dyDescent="0.25">
      <c r="A26" s="5"/>
      <c r="B26" s="315">
        <v>8400</v>
      </c>
      <c r="C26" s="315">
        <v>8400</v>
      </c>
      <c r="D26" s="335">
        <v>9.5</v>
      </c>
      <c r="E26" s="315">
        <f t="shared" si="3"/>
        <v>4149.5999999999995</v>
      </c>
      <c r="F26" s="336">
        <f t="shared" si="20"/>
        <v>4368</v>
      </c>
      <c r="G26" s="336">
        <f t="shared" si="15"/>
        <v>10</v>
      </c>
      <c r="H26" s="337">
        <f t="shared" si="23"/>
        <v>0.49399999999999994</v>
      </c>
      <c r="I26" s="315">
        <f t="shared" si="0"/>
        <v>3780</v>
      </c>
      <c r="J26" s="315">
        <v>15.7</v>
      </c>
      <c r="K26" s="337">
        <f t="shared" si="7"/>
        <v>0.8163999999999999</v>
      </c>
      <c r="L26" s="315">
        <f t="shared" si="24"/>
        <v>6857.7599999999993</v>
      </c>
      <c r="M26" s="338">
        <f t="shared" ref="M26:M27" si="27" xml:space="preserve"> ((1-H26)*($S$7)) + H26</f>
        <v>0.71085714285714285</v>
      </c>
      <c r="N26" s="338">
        <f t="shared" si="10"/>
        <v>13.670329670329672</v>
      </c>
      <c r="O26" s="336">
        <f t="shared" si="25"/>
        <v>5971.2</v>
      </c>
      <c r="P26" s="336">
        <f t="shared" si="1"/>
        <v>6639.3599999999988</v>
      </c>
      <c r="Q26" s="335">
        <f t="shared" si="26"/>
        <v>15.2</v>
      </c>
      <c r="R26" s="337">
        <f t="shared" si="13"/>
        <v>0.79039999999999988</v>
      </c>
      <c r="S26" s="17" t="s">
        <v>89</v>
      </c>
      <c r="T26" s="7">
        <v>0.35</v>
      </c>
      <c r="V26">
        <f t="shared" si="16"/>
        <v>4299.5999999999995</v>
      </c>
      <c r="W26" s="3">
        <f t="shared" si="17"/>
        <v>9.8434065934065931</v>
      </c>
      <c r="X26" s="43">
        <f t="shared" si="18"/>
        <v>10</v>
      </c>
      <c r="Y26" s="47"/>
      <c r="Z26" s="19">
        <v>8400</v>
      </c>
      <c r="AA26" s="19">
        <v>0.44600000000000001</v>
      </c>
      <c r="AB26" s="19">
        <f t="shared" si="2"/>
        <v>3746.4</v>
      </c>
      <c r="AC26" s="19">
        <f>((1 -AA26)*$S$27)+AA26</f>
        <v>0.74430769230769234</v>
      </c>
      <c r="AD26" s="19">
        <f t="shared" si="14"/>
        <v>6252.1846153846154</v>
      </c>
    </row>
    <row r="27" spans="1:30" x14ac:dyDescent="0.25">
      <c r="B27" s="315">
        <v>8450</v>
      </c>
      <c r="C27" s="315">
        <v>8450</v>
      </c>
      <c r="D27" s="335">
        <v>9.5</v>
      </c>
      <c r="E27" s="315">
        <f t="shared" si="3"/>
        <v>4174.3</v>
      </c>
      <c r="F27" s="336">
        <f t="shared" si="20"/>
        <v>4394</v>
      </c>
      <c r="G27" s="336">
        <f t="shared" si="15"/>
        <v>10</v>
      </c>
      <c r="H27" s="337">
        <f t="shared" si="23"/>
        <v>0.49399999999999999</v>
      </c>
      <c r="I27" s="315">
        <f t="shared" si="0"/>
        <v>3802.5</v>
      </c>
      <c r="J27" s="315">
        <v>15.7</v>
      </c>
      <c r="K27" s="337">
        <f t="shared" si="7"/>
        <v>0.8163999999999999</v>
      </c>
      <c r="L27" s="315">
        <f t="shared" si="24"/>
        <v>6898.58</v>
      </c>
      <c r="M27" s="338">
        <f t="shared" si="27"/>
        <v>0.71085714285714285</v>
      </c>
      <c r="N27" s="338">
        <f t="shared" si="10"/>
        <v>13.670329670329672</v>
      </c>
      <c r="O27" s="336">
        <f t="shared" si="25"/>
        <v>6006.7428571428572</v>
      </c>
      <c r="P27" s="336">
        <f t="shared" si="1"/>
        <v>6678.8799999999992</v>
      </c>
      <c r="Q27" s="335">
        <f t="shared" si="26"/>
        <v>15.2</v>
      </c>
      <c r="R27" s="337">
        <f t="shared" si="13"/>
        <v>0.79039999999999988</v>
      </c>
      <c r="S27" s="7">
        <f>T26/(1-T26)</f>
        <v>0.53846153846153844</v>
      </c>
      <c r="T27" s="7"/>
      <c r="V27">
        <f t="shared" si="16"/>
        <v>4324.3</v>
      </c>
      <c r="W27" s="3">
        <f t="shared" si="17"/>
        <v>9.8413746017296315</v>
      </c>
      <c r="X27" s="3"/>
      <c r="Y27" s="3"/>
      <c r="Z27" s="19">
        <v>8450</v>
      </c>
      <c r="AA27" s="19">
        <v>0.44600000000000001</v>
      </c>
      <c r="AB27" s="19">
        <f t="shared" si="2"/>
        <v>3768.7000000000003</v>
      </c>
      <c r="AC27" s="19">
        <f>((1 -AA27)*$S$27)+AA27</f>
        <v>0.74430769230769234</v>
      </c>
      <c r="AD27" s="19">
        <f t="shared" si="14"/>
        <v>6289.4000000000005</v>
      </c>
    </row>
    <row r="28" spans="1:30" x14ac:dyDescent="0.25">
      <c r="B28" s="13">
        <v>8460</v>
      </c>
      <c r="C28">
        <v>8460</v>
      </c>
      <c r="D28" s="42">
        <v>9.5</v>
      </c>
      <c r="E28">
        <f t="shared" si="3"/>
        <v>4179.24</v>
      </c>
      <c r="F28" s="2">
        <f t="shared" si="20"/>
        <v>4399.2</v>
      </c>
      <c r="G28" s="2">
        <f t="shared" si="15"/>
        <v>10</v>
      </c>
      <c r="H28" s="44">
        <f t="shared" si="23"/>
        <v>0.49399999999999999</v>
      </c>
      <c r="I28" s="5">
        <f t="shared" si="0"/>
        <v>3807</v>
      </c>
      <c r="J28">
        <v>15.7</v>
      </c>
      <c r="K28" s="44">
        <f t="shared" si="7"/>
        <v>0.8163999999999999</v>
      </c>
      <c r="L28">
        <f t="shared" si="24"/>
        <v>6906.7439999999997</v>
      </c>
      <c r="M28" s="3">
        <v>0.75</v>
      </c>
      <c r="N28" s="3">
        <f t="shared" si="10"/>
        <v>14.423076923076923</v>
      </c>
      <c r="O28" s="214">
        <f t="shared" si="25"/>
        <v>6345</v>
      </c>
      <c r="P28" s="2">
        <f t="shared" si="1"/>
        <v>6686.7839999999987</v>
      </c>
      <c r="Q28" s="42">
        <f t="shared" si="26"/>
        <v>15.2</v>
      </c>
      <c r="R28" s="44">
        <f t="shared" si="13"/>
        <v>0.79039999999999988</v>
      </c>
      <c r="S28" s="7"/>
      <c r="T28" s="7"/>
      <c r="V28">
        <f t="shared" si="16"/>
        <v>4329.24</v>
      </c>
      <c r="W28" s="3">
        <f t="shared" si="17"/>
        <v>9.8409710856519368</v>
      </c>
      <c r="X28" s="3"/>
      <c r="Y28" s="3"/>
      <c r="Z28" s="19"/>
      <c r="AA28" s="19"/>
      <c r="AB28" s="19"/>
      <c r="AC28" s="19"/>
      <c r="AD28" s="19"/>
    </row>
    <row r="29" spans="1:30" x14ac:dyDescent="0.25">
      <c r="B29">
        <v>8500</v>
      </c>
      <c r="C29">
        <v>8500</v>
      </c>
      <c r="D29" s="42">
        <v>9.5</v>
      </c>
      <c r="E29">
        <f t="shared" si="3"/>
        <v>4199</v>
      </c>
      <c r="F29" s="2">
        <f t="shared" si="20"/>
        <v>4420</v>
      </c>
      <c r="G29" s="2">
        <f t="shared" si="15"/>
        <v>10</v>
      </c>
      <c r="H29" s="44">
        <f t="shared" si="23"/>
        <v>0.49399999999999999</v>
      </c>
      <c r="I29" s="5">
        <f t="shared" si="0"/>
        <v>3825</v>
      </c>
      <c r="J29">
        <v>15.7</v>
      </c>
      <c r="K29" s="44">
        <f t="shared" si="7"/>
        <v>0.8163999999999999</v>
      </c>
      <c r="L29">
        <f t="shared" si="24"/>
        <v>6939.4</v>
      </c>
      <c r="M29" s="3">
        <f xml:space="preserve"> (( 1 - H29) * ($S$31)) + H29</f>
        <v>0.76646153846153853</v>
      </c>
      <c r="N29" s="3">
        <f t="shared" si="10"/>
        <v>14.739644970414203</v>
      </c>
      <c r="O29" s="214">
        <f t="shared" si="25"/>
        <v>6514.9230769230771</v>
      </c>
      <c r="P29" s="2">
        <f t="shared" si="1"/>
        <v>6718.3999999999987</v>
      </c>
      <c r="Q29" s="42">
        <f t="shared" si="26"/>
        <v>15.2</v>
      </c>
      <c r="R29" s="44">
        <f t="shared" si="13"/>
        <v>0.79039999999999988</v>
      </c>
      <c r="S29" s="8"/>
      <c r="T29" s="8"/>
      <c r="V29">
        <f t="shared" si="16"/>
        <v>4349</v>
      </c>
      <c r="W29" s="3">
        <f t="shared" si="17"/>
        <v>9.8393665158371046</v>
      </c>
      <c r="X29" s="3"/>
      <c r="Y29" s="3"/>
      <c r="Z29" s="19">
        <v>8463</v>
      </c>
      <c r="AA29" s="20">
        <f>AB29/Z29</f>
        <v>0.4466501240694789</v>
      </c>
      <c r="AB29" s="19">
        <v>3780</v>
      </c>
      <c r="AC29" s="19">
        <f>((1-AA29)*$S$31)+AA29</f>
        <v>0.74460774957052878</v>
      </c>
      <c r="AD29" s="19">
        <f t="shared" si="14"/>
        <v>6301.6153846153848</v>
      </c>
    </row>
    <row r="30" spans="1:30" x14ac:dyDescent="0.25">
      <c r="B30">
        <v>8550</v>
      </c>
      <c r="C30">
        <v>8550</v>
      </c>
      <c r="D30" s="42">
        <v>9.5</v>
      </c>
      <c r="E30">
        <f t="shared" si="3"/>
        <v>4223.7</v>
      </c>
      <c r="F30" s="2">
        <f t="shared" si="20"/>
        <v>4446</v>
      </c>
      <c r="G30" s="2">
        <f t="shared" si="15"/>
        <v>10</v>
      </c>
      <c r="H30" s="44">
        <f t="shared" si="23"/>
        <v>0.49399999999999999</v>
      </c>
      <c r="I30" s="5">
        <f t="shared" si="0"/>
        <v>3847.5</v>
      </c>
      <c r="J30">
        <v>15.7</v>
      </c>
      <c r="K30" s="44">
        <f t="shared" si="7"/>
        <v>0.8163999999999999</v>
      </c>
      <c r="L30">
        <f t="shared" si="24"/>
        <v>6980.2199999999993</v>
      </c>
      <c r="M30" s="3">
        <f xml:space="preserve"> (( 1 - H30) * ($S$31)) + H30</f>
        <v>0.76646153846153853</v>
      </c>
      <c r="N30" s="3">
        <f t="shared" si="10"/>
        <v>14.739644970414203</v>
      </c>
      <c r="O30" s="214">
        <f t="shared" si="25"/>
        <v>6553.2461538461548</v>
      </c>
      <c r="P30" s="2">
        <f t="shared" si="1"/>
        <v>6757.9199999999992</v>
      </c>
      <c r="Q30" s="42">
        <f t="shared" si="26"/>
        <v>15.2</v>
      </c>
      <c r="R30" s="44">
        <f t="shared" si="13"/>
        <v>0.79039999999999988</v>
      </c>
      <c r="S30" s="18" t="s">
        <v>90</v>
      </c>
      <c r="T30" s="8">
        <v>0.35</v>
      </c>
      <c r="V30">
        <f t="shared" si="16"/>
        <v>4373.7</v>
      </c>
      <c r="W30" s="3">
        <f t="shared" si="17"/>
        <v>9.837381916329285</v>
      </c>
      <c r="X30" s="3"/>
      <c r="Y30" s="3"/>
      <c r="Z30" s="19">
        <v>8500</v>
      </c>
      <c r="AA30" s="20">
        <f>AB30/Z30</f>
        <v>0.44588235294117645</v>
      </c>
      <c r="AB30" s="19">
        <v>3790</v>
      </c>
      <c r="AC30" s="19">
        <f>((1-AA30)*$S$31)+AA30</f>
        <v>0.7442533936651583</v>
      </c>
      <c r="AD30" s="19">
        <f t="shared" si="14"/>
        <v>6326.1538461538457</v>
      </c>
    </row>
    <row r="31" spans="1:30" x14ac:dyDescent="0.25">
      <c r="B31">
        <v>8600</v>
      </c>
      <c r="C31">
        <v>8600</v>
      </c>
      <c r="D31" s="42">
        <v>9.5</v>
      </c>
      <c r="E31">
        <f t="shared" si="3"/>
        <v>4248.3999999999996</v>
      </c>
      <c r="F31" s="2">
        <f t="shared" si="20"/>
        <v>4472</v>
      </c>
      <c r="G31" s="2">
        <f t="shared" si="15"/>
        <v>10</v>
      </c>
      <c r="H31" s="44">
        <f t="shared" si="23"/>
        <v>0.49399999999999994</v>
      </c>
      <c r="I31" s="5">
        <f t="shared" si="0"/>
        <v>3870</v>
      </c>
      <c r="J31">
        <v>15.7</v>
      </c>
      <c r="K31" s="44">
        <f t="shared" si="7"/>
        <v>0.8163999999999999</v>
      </c>
      <c r="L31">
        <f t="shared" si="24"/>
        <v>7021.04</v>
      </c>
      <c r="M31" s="3">
        <f xml:space="preserve"> (( 1 - H31) * ($S$31)) + H31</f>
        <v>0.76646153846153842</v>
      </c>
      <c r="N31" s="3">
        <f t="shared" si="10"/>
        <v>14.739644970414201</v>
      </c>
      <c r="O31" s="214">
        <f t="shared" si="25"/>
        <v>6591.5692307692307</v>
      </c>
      <c r="P31" s="2">
        <f t="shared" si="1"/>
        <v>6797.4399999999987</v>
      </c>
      <c r="Q31" s="42">
        <f t="shared" si="26"/>
        <v>15.2</v>
      </c>
      <c r="R31" s="44">
        <f t="shared" si="13"/>
        <v>0.79039999999999988</v>
      </c>
      <c r="S31" s="8">
        <f xml:space="preserve"> T30/(1-T30)</f>
        <v>0.53846153846153844</v>
      </c>
      <c r="T31" s="8"/>
      <c r="V31">
        <f t="shared" si="16"/>
        <v>4398.3999999999996</v>
      </c>
      <c r="W31" s="3">
        <f t="shared" si="17"/>
        <v>9.8354203935599287</v>
      </c>
      <c r="X31" s="3"/>
      <c r="Y31" s="3"/>
      <c r="Z31" s="19">
        <v>8576</v>
      </c>
      <c r="AA31" s="20">
        <f>AB31/Z31</f>
        <v>0.44402985074626866</v>
      </c>
      <c r="AB31" s="19">
        <v>3808</v>
      </c>
      <c r="AC31" s="19">
        <f>((1-AA31)*$S$31)+AA31</f>
        <v>0.74339839265212393</v>
      </c>
      <c r="AD31" s="19">
        <f t="shared" si="14"/>
        <v>6375.3846153846152</v>
      </c>
    </row>
    <row r="32" spans="1:30" x14ac:dyDescent="0.25">
      <c r="B32" s="49">
        <v>8650</v>
      </c>
      <c r="C32" s="49">
        <v>8650</v>
      </c>
      <c r="D32" s="42">
        <v>9.5</v>
      </c>
      <c r="E32">
        <f t="shared" si="3"/>
        <v>4273.0999999999995</v>
      </c>
      <c r="F32" s="50">
        <f t="shared" si="20"/>
        <v>4498</v>
      </c>
      <c r="G32" s="2">
        <f t="shared" si="15"/>
        <v>10</v>
      </c>
      <c r="H32" s="51">
        <f t="shared" si="23"/>
        <v>0.49399999999999994</v>
      </c>
      <c r="I32" s="49">
        <f t="shared" si="0"/>
        <v>3892.5</v>
      </c>
      <c r="J32">
        <v>15.7</v>
      </c>
      <c r="K32" s="44">
        <f t="shared" si="7"/>
        <v>0.8163999999999999</v>
      </c>
      <c r="L32" s="49">
        <f t="shared" si="24"/>
        <v>7061.86</v>
      </c>
      <c r="M32" s="52">
        <f xml:space="preserve"> (( 1 - H32) * ($S$31)) + H32</f>
        <v>0.76646153846153842</v>
      </c>
      <c r="N32" s="3">
        <f t="shared" si="10"/>
        <v>14.739644970414201</v>
      </c>
      <c r="O32" s="214">
        <f t="shared" si="25"/>
        <v>6629.8923076923074</v>
      </c>
      <c r="P32" s="2">
        <f t="shared" si="1"/>
        <v>6836.9599999999991</v>
      </c>
      <c r="Q32" s="42">
        <f t="shared" si="26"/>
        <v>15.2</v>
      </c>
      <c r="R32" s="44">
        <f t="shared" si="13"/>
        <v>0.79039999999999988</v>
      </c>
      <c r="S32" s="49"/>
      <c r="T32" s="49"/>
      <c r="U32" s="49"/>
      <c r="V32" s="49">
        <f t="shared" si="16"/>
        <v>4423.0999999999995</v>
      </c>
      <c r="W32" s="3">
        <f t="shared" si="17"/>
        <v>9.8334815473543795</v>
      </c>
      <c r="X32" s="3"/>
      <c r="Y32" s="3"/>
      <c r="Z32" s="19">
        <v>8638</v>
      </c>
      <c r="AA32" s="20">
        <f>AB32/Z32</f>
        <v>0.44628386200509379</v>
      </c>
      <c r="AB32" s="19">
        <v>3855</v>
      </c>
      <c r="AC32" s="19">
        <f>((1-AA32)*$S$31)+AA32</f>
        <v>0.7444387055408126</v>
      </c>
      <c r="AD32" s="19">
        <f t="shared" si="14"/>
        <v>6430.461538461539</v>
      </c>
    </row>
    <row r="33" spans="2:35" x14ac:dyDescent="0.25">
      <c r="B33">
        <v>8700</v>
      </c>
      <c r="C33">
        <v>8700</v>
      </c>
      <c r="D33" s="42">
        <v>9.5</v>
      </c>
      <c r="E33">
        <f t="shared" si="3"/>
        <v>4297.8</v>
      </c>
      <c r="F33" s="2">
        <f t="shared" si="20"/>
        <v>4524</v>
      </c>
      <c r="G33" s="2">
        <f t="shared" si="15"/>
        <v>10</v>
      </c>
      <c r="H33" s="44">
        <f t="shared" si="23"/>
        <v>0.49399999999999999</v>
      </c>
      <c r="I33" s="5">
        <f t="shared" si="0"/>
        <v>3915</v>
      </c>
      <c r="J33">
        <v>15.7</v>
      </c>
      <c r="K33" s="44">
        <f t="shared" si="7"/>
        <v>0.8163999999999999</v>
      </c>
      <c r="L33">
        <f t="shared" si="24"/>
        <v>7102.6799999999994</v>
      </c>
      <c r="M33" s="3">
        <f xml:space="preserve"> (( 1 -H33) * ($S$34)) + H33</f>
        <v>0.76646153846153853</v>
      </c>
      <c r="N33" s="3">
        <f t="shared" si="10"/>
        <v>14.739644970414203</v>
      </c>
      <c r="O33" s="214">
        <f t="shared" si="25"/>
        <v>6668.2153846153851</v>
      </c>
      <c r="P33" s="2">
        <f t="shared" si="1"/>
        <v>6876.4799999999987</v>
      </c>
      <c r="Q33" s="42">
        <f t="shared" si="26"/>
        <v>15.2</v>
      </c>
      <c r="R33" s="44">
        <f t="shared" si="13"/>
        <v>0.79039999999999988</v>
      </c>
      <c r="S33" s="15" t="s">
        <v>89</v>
      </c>
      <c r="T33" s="4">
        <f>T26</f>
        <v>0.35</v>
      </c>
      <c r="V33">
        <f t="shared" si="16"/>
        <v>4447.8</v>
      </c>
      <c r="W33" s="3">
        <f t="shared" si="17"/>
        <v>9.8315649867374013</v>
      </c>
      <c r="X33" s="3"/>
      <c r="Y33" s="3"/>
      <c r="Z33" s="19">
        <v>8650</v>
      </c>
      <c r="AA33" s="19">
        <v>0.44500000000000001</v>
      </c>
      <c r="AB33" s="19">
        <f t="shared" ref="AB33:AG40" si="28">AA33*Z33</f>
        <v>3849.25</v>
      </c>
      <c r="AC33" s="19">
        <f>((1-AA33)*$S$34)+(AA33)</f>
        <v>0.74384615384615382</v>
      </c>
      <c r="AD33" s="19">
        <f t="shared" si="14"/>
        <v>6434.2692307692305</v>
      </c>
    </row>
    <row r="34" spans="2:35" x14ac:dyDescent="0.25">
      <c r="B34">
        <v>8750</v>
      </c>
      <c r="C34">
        <v>8750</v>
      </c>
      <c r="D34" s="42">
        <v>9.5</v>
      </c>
      <c r="E34">
        <f t="shared" si="3"/>
        <v>4322.5</v>
      </c>
      <c r="F34" s="2">
        <f t="shared" si="20"/>
        <v>4550</v>
      </c>
      <c r="G34" s="2">
        <f t="shared" si="15"/>
        <v>10</v>
      </c>
      <c r="H34" s="44">
        <f t="shared" si="23"/>
        <v>0.49399999999999999</v>
      </c>
      <c r="I34" s="5">
        <f t="shared" si="0"/>
        <v>3937.5</v>
      </c>
      <c r="J34">
        <v>15.7</v>
      </c>
      <c r="K34" s="44">
        <f t="shared" si="7"/>
        <v>0.8163999999999999</v>
      </c>
      <c r="L34">
        <f t="shared" si="24"/>
        <v>7143.5</v>
      </c>
      <c r="M34" s="3">
        <f xml:space="preserve"> (( 1 -H34) * ($S$34)) + H34</f>
        <v>0.76646153846153853</v>
      </c>
      <c r="N34" s="3">
        <f t="shared" si="10"/>
        <v>14.739644970414203</v>
      </c>
      <c r="O34" s="214">
        <f t="shared" si="25"/>
        <v>6706.5384615384619</v>
      </c>
      <c r="P34" s="2">
        <f t="shared" si="1"/>
        <v>6915.9999999999991</v>
      </c>
      <c r="Q34" s="42">
        <f t="shared" si="26"/>
        <v>15.2</v>
      </c>
      <c r="R34" s="44">
        <f t="shared" si="13"/>
        <v>0.79039999999999988</v>
      </c>
      <c r="S34" s="4">
        <f>S27</f>
        <v>0.53846153846153844</v>
      </c>
      <c r="T34" s="4"/>
      <c r="V34">
        <f t="shared" si="16"/>
        <v>4472.5</v>
      </c>
      <c r="W34" s="3">
        <f t="shared" si="17"/>
        <v>9.8296703296703303</v>
      </c>
      <c r="X34" s="3"/>
      <c r="Y34" s="3"/>
      <c r="Z34" s="19">
        <v>8700</v>
      </c>
      <c r="AA34" s="19">
        <v>0.44500000000000001</v>
      </c>
      <c r="AB34" s="19">
        <f t="shared" si="28"/>
        <v>3871.5</v>
      </c>
      <c r="AC34" s="19">
        <f>((1-AA34)*$S$34)+(AA34)</f>
        <v>0.74384615384615382</v>
      </c>
      <c r="AD34" s="19">
        <f t="shared" si="14"/>
        <v>6471.4615384615381</v>
      </c>
    </row>
    <row r="35" spans="2:35" x14ac:dyDescent="0.25">
      <c r="B35">
        <v>8800</v>
      </c>
      <c r="C35">
        <v>8800</v>
      </c>
      <c r="D35" s="42">
        <v>9.5</v>
      </c>
      <c r="E35">
        <f t="shared" si="3"/>
        <v>4347.2</v>
      </c>
      <c r="F35" s="2">
        <f t="shared" si="20"/>
        <v>4576</v>
      </c>
      <c r="G35" s="2">
        <f t="shared" si="15"/>
        <v>10</v>
      </c>
      <c r="H35" s="44">
        <f t="shared" si="23"/>
        <v>0.49399999999999999</v>
      </c>
      <c r="I35" s="5">
        <f t="shared" si="0"/>
        <v>3960</v>
      </c>
      <c r="J35">
        <v>15.7</v>
      </c>
      <c r="K35" s="44">
        <f t="shared" si="7"/>
        <v>0.8163999999999999</v>
      </c>
      <c r="L35">
        <f t="shared" si="24"/>
        <v>7184.32</v>
      </c>
      <c r="M35" s="3">
        <f xml:space="preserve"> (( 1 -H35) * (U35)) + H35</f>
        <v>0.7911746031746032</v>
      </c>
      <c r="N35" s="3">
        <f t="shared" si="10"/>
        <v>15.214896214896216</v>
      </c>
      <c r="O35" s="214">
        <f t="shared" si="25"/>
        <v>6962.3365079365085</v>
      </c>
      <c r="P35" s="2">
        <f t="shared" si="1"/>
        <v>6955.5199999999986</v>
      </c>
      <c r="Q35" s="42">
        <f t="shared" si="26"/>
        <v>15.2</v>
      </c>
      <c r="R35" s="44">
        <f t="shared" si="13"/>
        <v>0.79039999999999988</v>
      </c>
      <c r="S35" s="14" t="s">
        <v>90</v>
      </c>
      <c r="T35" s="5">
        <v>0.37</v>
      </c>
      <c r="U35">
        <f>T35/(1-T35)</f>
        <v>0.58730158730158732</v>
      </c>
      <c r="V35">
        <f t="shared" si="16"/>
        <v>4497.2</v>
      </c>
      <c r="W35" s="3">
        <f t="shared" si="17"/>
        <v>9.8277972027972034</v>
      </c>
      <c r="X35" s="3"/>
      <c r="Y35" s="3"/>
      <c r="Z35" s="19">
        <v>8750</v>
      </c>
      <c r="AA35" s="19">
        <v>0.44500000000000001</v>
      </c>
      <c r="AB35" s="19">
        <f t="shared" si="28"/>
        <v>3893.75</v>
      </c>
      <c r="AC35" s="19">
        <f>((1-AA35)*U35)+AA35</f>
        <v>0.77095238095238094</v>
      </c>
      <c r="AD35" s="19">
        <f t="shared" si="14"/>
        <v>6745.833333333333</v>
      </c>
    </row>
    <row r="36" spans="2:35" x14ac:dyDescent="0.25">
      <c r="B36">
        <v>8850</v>
      </c>
      <c r="C36">
        <v>8850</v>
      </c>
      <c r="D36" s="42">
        <v>9.5</v>
      </c>
      <c r="E36">
        <f t="shared" si="3"/>
        <v>4371.8999999999996</v>
      </c>
      <c r="F36" s="2">
        <f t="shared" si="20"/>
        <v>4602</v>
      </c>
      <c r="G36" s="2">
        <f t="shared" si="15"/>
        <v>10</v>
      </c>
      <c r="H36" s="44">
        <f t="shared" si="23"/>
        <v>0.49399999999999994</v>
      </c>
      <c r="I36" s="5">
        <f t="shared" si="0"/>
        <v>3982.5</v>
      </c>
      <c r="J36">
        <v>15.7</v>
      </c>
      <c r="K36" s="44">
        <f t="shared" si="7"/>
        <v>0.8163999999999999</v>
      </c>
      <c r="L36">
        <f t="shared" si="24"/>
        <v>7225.1399999999994</v>
      </c>
      <c r="M36" s="3">
        <f xml:space="preserve"> (( 1 -H36) * (U36)) + H36</f>
        <v>0.83133333333333326</v>
      </c>
      <c r="N36" s="3">
        <f t="shared" ref="N36:N39" si="29">M36/$N$3</f>
        <v>15.987179487179487</v>
      </c>
      <c r="O36" s="214">
        <f t="shared" si="25"/>
        <v>7357.2999999999993</v>
      </c>
      <c r="P36" s="2">
        <f t="shared" si="1"/>
        <v>6995.0399999999991</v>
      </c>
      <c r="Q36" s="42">
        <f t="shared" si="26"/>
        <v>15.2</v>
      </c>
      <c r="R36" s="44">
        <f t="shared" si="13"/>
        <v>0.79039999999999988</v>
      </c>
      <c r="S36" s="16" t="s">
        <v>91</v>
      </c>
      <c r="T36" s="6">
        <v>0.4</v>
      </c>
      <c r="U36">
        <f>T36/(1-T36)</f>
        <v>0.66666666666666674</v>
      </c>
      <c r="V36">
        <f t="shared" si="16"/>
        <v>4521.8999999999996</v>
      </c>
      <c r="W36" s="3">
        <f t="shared" si="17"/>
        <v>9.8259452411994772</v>
      </c>
      <c r="X36" s="3"/>
      <c r="Y36" s="3"/>
      <c r="Z36" s="19">
        <v>8800</v>
      </c>
      <c r="AA36" s="19">
        <v>0.44400000000000001</v>
      </c>
      <c r="AB36" s="19">
        <f t="shared" si="28"/>
        <v>3907.2000000000003</v>
      </c>
      <c r="AC36" s="19">
        <f>((1-AA36)*U36)+(AA36)</f>
        <v>0.81466666666666676</v>
      </c>
      <c r="AD36" s="19">
        <f t="shared" si="14"/>
        <v>7169.0666666666675</v>
      </c>
    </row>
    <row r="37" spans="2:35" x14ac:dyDescent="0.25">
      <c r="B37">
        <v>8900</v>
      </c>
      <c r="C37">
        <v>8900</v>
      </c>
      <c r="D37" s="42">
        <v>9.5</v>
      </c>
      <c r="E37">
        <f t="shared" si="3"/>
        <v>4396.5999999999995</v>
      </c>
      <c r="F37" s="2">
        <f t="shared" si="20"/>
        <v>4628</v>
      </c>
      <c r="G37" s="2">
        <f t="shared" si="15"/>
        <v>10</v>
      </c>
      <c r="H37" s="44">
        <f t="shared" si="23"/>
        <v>0.49399999999999994</v>
      </c>
      <c r="I37" s="5">
        <f t="shared" si="0"/>
        <v>4005</v>
      </c>
      <c r="J37">
        <v>15.7</v>
      </c>
      <c r="K37" s="44">
        <f t="shared" si="7"/>
        <v>0.8163999999999999</v>
      </c>
      <c r="L37">
        <f t="shared" si="24"/>
        <v>7265.96</v>
      </c>
      <c r="M37" s="3">
        <f xml:space="preserve"> (( 1 -H37) * ($U$38)) + H37</f>
        <v>0.83133333333333326</v>
      </c>
      <c r="N37" s="3">
        <f t="shared" si="29"/>
        <v>15.987179487179487</v>
      </c>
      <c r="O37" s="214">
        <f t="shared" si="25"/>
        <v>7398.8666666666659</v>
      </c>
      <c r="P37" s="2">
        <f t="shared" si="1"/>
        <v>7034.5599999999986</v>
      </c>
      <c r="Q37" s="42">
        <f t="shared" si="26"/>
        <v>15.2</v>
      </c>
      <c r="R37" s="44">
        <f t="shared" si="13"/>
        <v>0.79039999999999988</v>
      </c>
      <c r="S37" s="17" t="s">
        <v>92</v>
      </c>
      <c r="T37" s="7"/>
      <c r="V37">
        <f t="shared" si="16"/>
        <v>4546.5999999999995</v>
      </c>
      <c r="W37" s="3">
        <f t="shared" si="17"/>
        <v>9.8241140881590319</v>
      </c>
      <c r="X37" s="3"/>
      <c r="Y37" s="3"/>
      <c r="Z37" s="19">
        <v>8850</v>
      </c>
      <c r="AA37" s="19">
        <v>0.44400000000000001</v>
      </c>
      <c r="AB37" s="19">
        <f t="shared" si="28"/>
        <v>3929.4</v>
      </c>
      <c r="AC37" s="19">
        <f>((1-AA37)*$U$38)+AA37</f>
        <v>0.81466666666666676</v>
      </c>
      <c r="AD37" s="19">
        <f t="shared" si="14"/>
        <v>7209.8000000000011</v>
      </c>
    </row>
    <row r="38" spans="2:35" x14ac:dyDescent="0.25">
      <c r="B38">
        <v>8950</v>
      </c>
      <c r="C38">
        <v>8950</v>
      </c>
      <c r="D38" s="42">
        <v>9.5</v>
      </c>
      <c r="E38">
        <f t="shared" si="3"/>
        <v>4421.3</v>
      </c>
      <c r="F38" s="2">
        <f t="shared" si="20"/>
        <v>4654</v>
      </c>
      <c r="G38" s="2">
        <f t="shared" si="15"/>
        <v>10</v>
      </c>
      <c r="H38" s="44">
        <f t="shared" si="23"/>
        <v>0.49399999999999999</v>
      </c>
      <c r="I38" s="5">
        <f t="shared" si="0"/>
        <v>4027.5</v>
      </c>
      <c r="J38">
        <v>15.7</v>
      </c>
      <c r="K38" s="44">
        <f t="shared" si="7"/>
        <v>0.8163999999999999</v>
      </c>
      <c r="L38">
        <f t="shared" si="24"/>
        <v>7306.78</v>
      </c>
      <c r="M38" s="3">
        <f xml:space="preserve"> (( 1 -H38) * ($U$38)) + H38</f>
        <v>0.83133333333333337</v>
      </c>
      <c r="N38" s="3">
        <f t="shared" si="29"/>
        <v>15.987179487179489</v>
      </c>
      <c r="O38" s="214">
        <f t="shared" si="25"/>
        <v>7440.4333333333334</v>
      </c>
      <c r="P38" s="2">
        <f t="shared" si="1"/>
        <v>7074.079999999999</v>
      </c>
      <c r="Q38" s="42">
        <f t="shared" si="26"/>
        <v>15.2</v>
      </c>
      <c r="R38" s="44">
        <f t="shared" si="13"/>
        <v>0.79039999999999988</v>
      </c>
      <c r="S38" s="7"/>
      <c r="T38" s="7">
        <v>0.4</v>
      </c>
      <c r="U38">
        <f>(T38/(1-T38))</f>
        <v>0.66666666666666674</v>
      </c>
      <c r="V38">
        <f t="shared" si="16"/>
        <v>4571.3</v>
      </c>
      <c r="W38" s="3">
        <f t="shared" si="17"/>
        <v>9.8223033949290937</v>
      </c>
      <c r="X38" s="3"/>
      <c r="Y38" s="3"/>
      <c r="Z38" s="19">
        <v>8900</v>
      </c>
      <c r="AA38" s="19">
        <v>0.44400000000000001</v>
      </c>
      <c r="AB38" s="19">
        <f t="shared" si="28"/>
        <v>3951.6</v>
      </c>
      <c r="AC38" s="19">
        <f>((1-AA38)*$U$38)+AA38</f>
        <v>0.81466666666666676</v>
      </c>
      <c r="AD38" s="19">
        <f t="shared" si="14"/>
        <v>7250.5333333333338</v>
      </c>
    </row>
    <row r="39" spans="2:35" x14ac:dyDescent="0.25">
      <c r="B39">
        <v>9000</v>
      </c>
      <c r="C39">
        <v>9000</v>
      </c>
      <c r="D39" s="42">
        <v>9.5</v>
      </c>
      <c r="E39">
        <f t="shared" si="3"/>
        <v>4446</v>
      </c>
      <c r="F39" s="2">
        <f t="shared" si="20"/>
        <v>4680</v>
      </c>
      <c r="G39" s="2">
        <f t="shared" si="15"/>
        <v>10</v>
      </c>
      <c r="H39" s="44">
        <f t="shared" si="23"/>
        <v>0.49399999999999999</v>
      </c>
      <c r="I39" s="5">
        <f t="shared" si="0"/>
        <v>4050</v>
      </c>
      <c r="J39">
        <v>15.7</v>
      </c>
      <c r="K39" s="44">
        <f t="shared" si="7"/>
        <v>0.8163999999999999</v>
      </c>
      <c r="L39">
        <f t="shared" si="24"/>
        <v>7347.5999999999995</v>
      </c>
      <c r="M39" s="3">
        <f xml:space="preserve"> (( 1 -H39) * ($U$38)) + H39</f>
        <v>0.83133333333333337</v>
      </c>
      <c r="N39" s="3">
        <f t="shared" si="29"/>
        <v>15.987179487179489</v>
      </c>
      <c r="O39" s="316">
        <f t="shared" si="25"/>
        <v>7482</v>
      </c>
      <c r="P39" s="2">
        <f t="shared" si="1"/>
        <v>7113.5999999999985</v>
      </c>
      <c r="Q39" s="42">
        <f t="shared" si="26"/>
        <v>15.2</v>
      </c>
      <c r="R39" s="44">
        <f t="shared" si="13"/>
        <v>0.79039999999999988</v>
      </c>
      <c r="S39" s="7"/>
      <c r="T39" s="7"/>
      <c r="V39">
        <f t="shared" si="16"/>
        <v>4596</v>
      </c>
      <c r="W39" s="3">
        <f t="shared" si="17"/>
        <v>9.8205128205128212</v>
      </c>
      <c r="X39" s="3"/>
      <c r="Y39" s="3"/>
      <c r="Z39" s="19">
        <v>8950</v>
      </c>
      <c r="AA39" s="19">
        <v>0.44400000000000001</v>
      </c>
      <c r="AB39" s="19">
        <f t="shared" si="28"/>
        <v>3973.8</v>
      </c>
      <c r="AC39" s="19">
        <f>((1-AA39)*$U$38)+AA39</f>
        <v>0.81466666666666676</v>
      </c>
      <c r="AD39" s="19">
        <f t="shared" si="14"/>
        <v>7291.2666666666673</v>
      </c>
    </row>
    <row r="40" spans="2:35" x14ac:dyDescent="0.25">
      <c r="B40">
        <v>10000</v>
      </c>
      <c r="C40">
        <f t="shared" ref="C40:C41" si="30">B40*$C$4</f>
        <v>10000</v>
      </c>
      <c r="D40" s="42">
        <v>9.5</v>
      </c>
      <c r="E40">
        <f t="shared" si="3"/>
        <v>4940</v>
      </c>
      <c r="F40" s="2">
        <f t="shared" ref="F40:F41" si="31">G40*B40*$AE$2</f>
        <v>5200</v>
      </c>
      <c r="G40" s="2">
        <f t="shared" ref="G40:G41" si="32">$H$3+D40</f>
        <v>10</v>
      </c>
      <c r="H40" s="44">
        <f t="shared" ref="H40:H41" si="33">E40/B40</f>
        <v>0.49399999999999999</v>
      </c>
      <c r="I40" s="5">
        <f t="shared" ref="I40:I41" si="34">B40*$J$3</f>
        <v>4500</v>
      </c>
      <c r="J40">
        <v>16.7</v>
      </c>
      <c r="K40" s="44">
        <f t="shared" ref="K40:K41" si="35">J40*$N$3</f>
        <v>0.86839999999999995</v>
      </c>
      <c r="L40">
        <f t="shared" ref="L40:L41" si="36">J40*B40*0.052</f>
        <v>8684</v>
      </c>
      <c r="M40" s="3">
        <f t="shared" ref="M40:M41" si="37" xml:space="preserve"> (( 1 -H40) * ($U$38)) + H40</f>
        <v>0.83133333333333337</v>
      </c>
      <c r="N40" s="3">
        <f t="shared" ref="N40:N41" si="38">M40/$N$3</f>
        <v>15.987179487179489</v>
      </c>
      <c r="O40" s="316">
        <f t="shared" ref="O40:O41" si="39">M40*B40</f>
        <v>8313.3333333333339</v>
      </c>
      <c r="P40" s="2">
        <f t="shared" ref="P40:P41" si="40">Q40*$Q$3*B40</f>
        <v>8424</v>
      </c>
      <c r="Q40" s="42">
        <f t="shared" ref="Q40:Q41" si="41">J40-$S$3</f>
        <v>16.2</v>
      </c>
      <c r="R40" s="44">
        <f t="shared" si="13"/>
        <v>0.84240000000000004</v>
      </c>
      <c r="AE40" s="19">
        <v>9000</v>
      </c>
      <c r="AF40" s="19">
        <v>0.44400000000000001</v>
      </c>
      <c r="AG40" s="19">
        <f t="shared" si="28"/>
        <v>3996</v>
      </c>
      <c r="AH40" s="19">
        <f>((1-AF40)*$U$38)+AF40</f>
        <v>0.81466666666666676</v>
      </c>
      <c r="AI40" s="19">
        <f t="shared" si="14"/>
        <v>7332.0000000000009</v>
      </c>
    </row>
    <row r="41" spans="2:35" x14ac:dyDescent="0.25">
      <c r="B41">
        <v>10500</v>
      </c>
      <c r="C41">
        <f t="shared" si="30"/>
        <v>10500</v>
      </c>
      <c r="D41" s="42">
        <v>9.5</v>
      </c>
      <c r="E41">
        <f t="shared" si="3"/>
        <v>5187</v>
      </c>
      <c r="F41" s="2">
        <f t="shared" si="31"/>
        <v>5460</v>
      </c>
      <c r="G41" s="2">
        <f t="shared" si="32"/>
        <v>10</v>
      </c>
      <c r="H41" s="44">
        <f t="shared" si="33"/>
        <v>0.49399999999999999</v>
      </c>
      <c r="I41" s="5">
        <f t="shared" si="34"/>
        <v>4725</v>
      </c>
      <c r="J41">
        <v>17.7</v>
      </c>
      <c r="K41" s="44">
        <f t="shared" si="35"/>
        <v>0.92039999999999988</v>
      </c>
      <c r="L41">
        <f t="shared" si="36"/>
        <v>9664.1999999999989</v>
      </c>
      <c r="M41" s="3">
        <f t="shared" si="37"/>
        <v>0.83133333333333337</v>
      </c>
      <c r="N41" s="3">
        <f t="shared" si="38"/>
        <v>15.987179487179489</v>
      </c>
      <c r="O41" s="316">
        <f t="shared" si="39"/>
        <v>8729</v>
      </c>
      <c r="P41" s="2">
        <f t="shared" si="40"/>
        <v>9391.1999999999989</v>
      </c>
      <c r="Q41" s="42">
        <f t="shared" si="41"/>
        <v>17.2</v>
      </c>
      <c r="R41" s="44">
        <f t="shared" si="13"/>
        <v>0.89439999999999986</v>
      </c>
    </row>
    <row r="43" spans="2:35" x14ac:dyDescent="0.25">
      <c r="H43" s="44"/>
    </row>
    <row r="77" spans="4:12" x14ac:dyDescent="0.25">
      <c r="D77" t="s">
        <v>93</v>
      </c>
    </row>
    <row r="80" spans="4:12" x14ac:dyDescent="0.25">
      <c r="D80" s="19"/>
      <c r="E80" s="19"/>
      <c r="F80" s="22" t="s">
        <v>94</v>
      </c>
      <c r="G80" s="19"/>
      <c r="H80" s="19"/>
      <c r="I80" s="19"/>
      <c r="J80" s="19"/>
      <c r="K80" s="19">
        <v>5.1999999999999998E-2</v>
      </c>
      <c r="L80" s="22" t="s">
        <v>94</v>
      </c>
    </row>
    <row r="81" spans="4:12" x14ac:dyDescent="0.25">
      <c r="D81" s="216" t="s">
        <v>62</v>
      </c>
      <c r="E81" s="216" t="s">
        <v>63</v>
      </c>
      <c r="F81" s="215" t="s">
        <v>65</v>
      </c>
      <c r="G81" s="217" t="s">
        <v>68</v>
      </c>
      <c r="H81" s="217" t="s">
        <v>69</v>
      </c>
      <c r="I81" s="215" t="s">
        <v>71</v>
      </c>
      <c r="J81" s="215" t="s">
        <v>95</v>
      </c>
      <c r="K81" s="216" t="s">
        <v>96</v>
      </c>
      <c r="L81" s="216" t="s">
        <v>97</v>
      </c>
    </row>
    <row r="82" spans="4:12" x14ac:dyDescent="0.25">
      <c r="D82" s="218">
        <v>8.5</v>
      </c>
      <c r="E82" s="218">
        <v>0.44199999999999995</v>
      </c>
      <c r="F82" s="219">
        <v>9</v>
      </c>
      <c r="G82" s="220">
        <v>11</v>
      </c>
      <c r="H82" s="221">
        <v>0.57199999999999995</v>
      </c>
      <c r="I82" s="222">
        <v>0.68114285714285716</v>
      </c>
      <c r="J82" s="223">
        <v>13.0989010989011</v>
      </c>
      <c r="K82" s="224">
        <f>L82*$K$80</f>
        <v>0.54599999999999993</v>
      </c>
      <c r="L82" s="218">
        <v>10.5</v>
      </c>
    </row>
    <row r="83" spans="4:12" x14ac:dyDescent="0.25">
      <c r="D83" s="218">
        <v>8.5</v>
      </c>
      <c r="E83" s="218">
        <v>0.442</v>
      </c>
      <c r="F83" s="219">
        <v>9</v>
      </c>
      <c r="G83" s="220">
        <v>11</v>
      </c>
      <c r="H83" s="221">
        <v>0.57199999999999995</v>
      </c>
      <c r="I83" s="222">
        <v>0.68114285714285716</v>
      </c>
      <c r="J83" s="223">
        <v>13.0989010989011</v>
      </c>
      <c r="K83" s="224">
        <f t="shared" ref="K83:K115" si="42">L83*$K$80</f>
        <v>0.54599999999999993</v>
      </c>
      <c r="L83" s="218">
        <v>10.5</v>
      </c>
    </row>
    <row r="84" spans="4:12" x14ac:dyDescent="0.25">
      <c r="D84" s="218">
        <v>8.5</v>
      </c>
      <c r="E84" s="218">
        <v>0.442</v>
      </c>
      <c r="F84" s="219">
        <v>9</v>
      </c>
      <c r="G84" s="220">
        <v>11</v>
      </c>
      <c r="H84" s="221">
        <v>0.57199999999999995</v>
      </c>
      <c r="I84" s="222">
        <v>0.68114285714285716</v>
      </c>
      <c r="J84" s="223">
        <v>13.0989010989011</v>
      </c>
      <c r="K84" s="224">
        <f t="shared" si="42"/>
        <v>0.54599999999999993</v>
      </c>
      <c r="L84" s="218">
        <v>10.5</v>
      </c>
    </row>
    <row r="85" spans="4:12" x14ac:dyDescent="0.25">
      <c r="D85" s="218">
        <v>8.5</v>
      </c>
      <c r="E85" s="218">
        <v>0.442</v>
      </c>
      <c r="F85" s="219">
        <v>9</v>
      </c>
      <c r="G85" s="220">
        <v>11</v>
      </c>
      <c r="H85" s="221">
        <v>0.57199999999999995</v>
      </c>
      <c r="I85" s="222">
        <v>0.68114285714285716</v>
      </c>
      <c r="J85" s="223">
        <v>13.0989010989011</v>
      </c>
      <c r="K85" s="224">
        <f t="shared" si="42"/>
        <v>0.54599999999999993</v>
      </c>
      <c r="L85" s="218">
        <v>10.5</v>
      </c>
    </row>
    <row r="86" spans="4:12" x14ac:dyDescent="0.25">
      <c r="D86" s="218">
        <v>8.5</v>
      </c>
      <c r="E86" s="218">
        <v>0.442</v>
      </c>
      <c r="F86" s="219">
        <v>9</v>
      </c>
      <c r="G86" s="220">
        <v>11</v>
      </c>
      <c r="H86" s="221">
        <v>0.57199999999999995</v>
      </c>
      <c r="I86" s="222">
        <v>0.68114285714285716</v>
      </c>
      <c r="J86" s="223">
        <v>13.0989010989011</v>
      </c>
      <c r="K86" s="224">
        <f t="shared" si="42"/>
        <v>0.54599999999999993</v>
      </c>
      <c r="L86" s="218">
        <v>10.5</v>
      </c>
    </row>
    <row r="87" spans="4:12" x14ac:dyDescent="0.25">
      <c r="D87" s="218">
        <v>8.5</v>
      </c>
      <c r="E87" s="218">
        <v>0.442</v>
      </c>
      <c r="F87" s="219">
        <v>9</v>
      </c>
      <c r="G87" s="220">
        <v>11</v>
      </c>
      <c r="H87" s="221">
        <v>0.57199999999999995</v>
      </c>
      <c r="I87" s="222">
        <v>0.68114285714285716</v>
      </c>
      <c r="J87" s="223">
        <v>13.0989010989011</v>
      </c>
      <c r="K87" s="224">
        <f t="shared" si="42"/>
        <v>0.54599999999999993</v>
      </c>
      <c r="L87" s="218">
        <v>10.5</v>
      </c>
    </row>
    <row r="88" spans="4:12" x14ac:dyDescent="0.25">
      <c r="D88" s="218">
        <v>8.5</v>
      </c>
      <c r="E88" s="218">
        <v>0.442</v>
      </c>
      <c r="F88" s="219">
        <v>9</v>
      </c>
      <c r="G88" s="220">
        <v>12</v>
      </c>
      <c r="H88" s="221">
        <v>0.624</v>
      </c>
      <c r="I88" s="222">
        <v>0.68114285714285716</v>
      </c>
      <c r="J88" s="223">
        <v>13.0989010989011</v>
      </c>
      <c r="K88" s="224">
        <f t="shared" si="42"/>
        <v>0.59799999999999998</v>
      </c>
      <c r="L88" s="218">
        <v>11.5</v>
      </c>
    </row>
    <row r="89" spans="4:12" x14ac:dyDescent="0.25">
      <c r="D89" s="218">
        <v>8.5</v>
      </c>
      <c r="E89" s="218">
        <v>0.442</v>
      </c>
      <c r="F89" s="219">
        <v>9</v>
      </c>
      <c r="G89" s="220">
        <v>12</v>
      </c>
      <c r="H89" s="221">
        <v>0.624</v>
      </c>
      <c r="I89" s="222">
        <v>0.68114285714285716</v>
      </c>
      <c r="J89" s="223">
        <v>13.0989010989011</v>
      </c>
      <c r="K89" s="224">
        <f t="shared" si="42"/>
        <v>0.59799999999999998</v>
      </c>
      <c r="L89" s="218">
        <v>11.5</v>
      </c>
    </row>
    <row r="90" spans="4:12" x14ac:dyDescent="0.25">
      <c r="D90" s="218">
        <v>8.5</v>
      </c>
      <c r="E90" s="218">
        <v>0.442</v>
      </c>
      <c r="F90" s="219">
        <v>9</v>
      </c>
      <c r="G90" s="220">
        <v>13.5</v>
      </c>
      <c r="H90" s="221">
        <v>0.70199999999999996</v>
      </c>
      <c r="I90" s="222">
        <v>0.68114285714285716</v>
      </c>
      <c r="J90" s="223">
        <v>13.0989010989011</v>
      </c>
      <c r="K90" s="224">
        <f t="shared" si="42"/>
        <v>0.67599999999999993</v>
      </c>
      <c r="L90" s="218">
        <v>13</v>
      </c>
    </row>
    <row r="91" spans="4:12" x14ac:dyDescent="0.25">
      <c r="D91" s="218">
        <v>9</v>
      </c>
      <c r="E91" s="218">
        <v>0.46799999999999997</v>
      </c>
      <c r="F91" s="219">
        <v>9.5</v>
      </c>
      <c r="G91" s="220">
        <v>13.5</v>
      </c>
      <c r="H91" s="221">
        <v>0.70199999999999996</v>
      </c>
      <c r="I91" s="222">
        <v>0.69599999999999995</v>
      </c>
      <c r="J91" s="223">
        <v>13.384615384615385</v>
      </c>
      <c r="K91" s="224">
        <f t="shared" si="42"/>
        <v>0.67599999999999993</v>
      </c>
      <c r="L91" s="218">
        <v>13</v>
      </c>
    </row>
    <row r="92" spans="4:12" x14ac:dyDescent="0.25">
      <c r="D92" s="218">
        <v>9</v>
      </c>
      <c r="E92" s="218">
        <v>0.46800000000000003</v>
      </c>
      <c r="F92" s="219">
        <v>9.5</v>
      </c>
      <c r="G92" s="220">
        <v>14</v>
      </c>
      <c r="H92" s="221">
        <v>0.72799999999999998</v>
      </c>
      <c r="I92" s="222">
        <v>0.69600000000000006</v>
      </c>
      <c r="J92" s="223">
        <v>13.384615384615387</v>
      </c>
      <c r="K92" s="224">
        <f t="shared" si="42"/>
        <v>0.70199999999999996</v>
      </c>
      <c r="L92" s="218">
        <v>13.5</v>
      </c>
    </row>
    <row r="93" spans="4:12" x14ac:dyDescent="0.25">
      <c r="D93" s="218">
        <v>9</v>
      </c>
      <c r="E93" s="218">
        <v>0.46800000000000003</v>
      </c>
      <c r="F93" s="219">
        <v>9.5</v>
      </c>
      <c r="G93" s="220">
        <v>14.5</v>
      </c>
      <c r="H93" s="221">
        <v>0.754</v>
      </c>
      <c r="I93" s="222">
        <v>0.69600000000000006</v>
      </c>
      <c r="J93" s="223">
        <v>13.384615384615387</v>
      </c>
      <c r="K93" s="224">
        <f t="shared" si="42"/>
        <v>0.72799999999999998</v>
      </c>
      <c r="L93" s="218">
        <v>14</v>
      </c>
    </row>
    <row r="94" spans="4:12" x14ac:dyDescent="0.25">
      <c r="D94" s="218">
        <v>9</v>
      </c>
      <c r="E94" s="218">
        <v>0.46800000000000003</v>
      </c>
      <c r="F94" s="219">
        <v>9.5</v>
      </c>
      <c r="G94" s="220">
        <v>15</v>
      </c>
      <c r="H94" s="221">
        <v>0.77999999999999992</v>
      </c>
      <c r="I94" s="222">
        <v>0.69600000000000006</v>
      </c>
      <c r="J94" s="223">
        <v>13.384615384615387</v>
      </c>
      <c r="K94" s="224">
        <f t="shared" si="42"/>
        <v>0.754</v>
      </c>
      <c r="L94" s="218">
        <v>14.5</v>
      </c>
    </row>
    <row r="95" spans="4:12" x14ac:dyDescent="0.25">
      <c r="D95" s="218">
        <v>9.5</v>
      </c>
      <c r="E95" s="218">
        <v>0.49399999999999999</v>
      </c>
      <c r="F95" s="219">
        <v>10</v>
      </c>
      <c r="G95" s="220">
        <v>15.7</v>
      </c>
      <c r="H95" s="221">
        <v>0.8163999999999999</v>
      </c>
      <c r="I95" s="222">
        <v>0.71085714285714285</v>
      </c>
      <c r="J95" s="223">
        <v>13.670329670329672</v>
      </c>
      <c r="K95" s="224">
        <f t="shared" si="42"/>
        <v>0.79039999999999988</v>
      </c>
      <c r="L95" s="218">
        <v>15.2</v>
      </c>
    </row>
    <row r="96" spans="4:12" x14ac:dyDescent="0.25">
      <c r="D96" s="218">
        <v>9.5</v>
      </c>
      <c r="E96" s="218">
        <v>0.49399999999999994</v>
      </c>
      <c r="F96" s="219">
        <v>10</v>
      </c>
      <c r="G96" s="220">
        <v>15.7</v>
      </c>
      <c r="H96" s="221">
        <v>0.8163999999999999</v>
      </c>
      <c r="I96" s="222">
        <v>0.76646153846153842</v>
      </c>
      <c r="J96" s="223">
        <v>14.739644970414201</v>
      </c>
      <c r="K96" s="224">
        <f t="shared" si="42"/>
        <v>0.79039999999999988</v>
      </c>
      <c r="L96" s="218">
        <v>15.2</v>
      </c>
    </row>
    <row r="97" spans="4:12" x14ac:dyDescent="0.25">
      <c r="D97" s="218">
        <v>9.5</v>
      </c>
      <c r="E97" s="218">
        <v>0.49399999999999999</v>
      </c>
      <c r="F97" s="219">
        <v>10</v>
      </c>
      <c r="G97" s="220">
        <v>15.7</v>
      </c>
      <c r="H97" s="221">
        <v>0.8163999999999999</v>
      </c>
      <c r="I97" s="222">
        <v>0.76646153846153853</v>
      </c>
      <c r="J97" s="223">
        <v>14.739644970414203</v>
      </c>
      <c r="K97" s="224">
        <f t="shared" si="42"/>
        <v>0.79039999999999988</v>
      </c>
      <c r="L97" s="218">
        <v>15.2</v>
      </c>
    </row>
    <row r="98" spans="4:12" x14ac:dyDescent="0.25">
      <c r="D98" s="218">
        <v>9.5</v>
      </c>
      <c r="E98" s="218">
        <v>0.49399999999999994</v>
      </c>
      <c r="F98" s="219">
        <v>10</v>
      </c>
      <c r="G98" s="220">
        <v>15.7</v>
      </c>
      <c r="H98" s="221">
        <v>0.8163999999999999</v>
      </c>
      <c r="I98" s="222">
        <v>0.76646153846153842</v>
      </c>
      <c r="J98" s="223">
        <v>14.739644970414201</v>
      </c>
      <c r="K98" s="224">
        <f t="shared" si="42"/>
        <v>0.79039999999999988</v>
      </c>
      <c r="L98" s="218">
        <v>15.2</v>
      </c>
    </row>
    <row r="99" spans="4:12" x14ac:dyDescent="0.25">
      <c r="D99" s="218">
        <v>9.5</v>
      </c>
      <c r="E99" s="218">
        <v>0.49399999999999999</v>
      </c>
      <c r="F99" s="219">
        <v>10</v>
      </c>
      <c r="G99" s="220">
        <v>15.7</v>
      </c>
      <c r="H99" s="221">
        <v>0.8163999999999999</v>
      </c>
      <c r="I99" s="222">
        <v>0.76646153846153853</v>
      </c>
      <c r="J99" s="223">
        <v>14.739644970414203</v>
      </c>
      <c r="K99" s="224">
        <f t="shared" si="42"/>
        <v>0.79039999999999988</v>
      </c>
      <c r="L99" s="218">
        <v>15.2</v>
      </c>
    </row>
    <row r="100" spans="4:12" x14ac:dyDescent="0.25">
      <c r="D100" s="218">
        <v>9.5</v>
      </c>
      <c r="E100" s="218">
        <v>0.49399999999999999</v>
      </c>
      <c r="F100" s="219">
        <v>10</v>
      </c>
      <c r="G100" s="220">
        <v>15.7</v>
      </c>
      <c r="H100" s="221">
        <v>0.8163999999999999</v>
      </c>
      <c r="I100" s="222">
        <v>0.76646153846153853</v>
      </c>
      <c r="J100" s="223">
        <v>14.739644970414203</v>
      </c>
      <c r="K100" s="224">
        <f t="shared" si="42"/>
        <v>0.79039999999999988</v>
      </c>
      <c r="L100" s="218">
        <v>15.2</v>
      </c>
    </row>
    <row r="101" spans="4:12" x14ac:dyDescent="0.25">
      <c r="D101" s="218">
        <v>9.5</v>
      </c>
      <c r="E101" s="218">
        <v>0.49399999999999994</v>
      </c>
      <c r="F101" s="219">
        <v>10</v>
      </c>
      <c r="G101" s="220">
        <v>15.7</v>
      </c>
      <c r="H101" s="221">
        <v>0.8163999999999999</v>
      </c>
      <c r="I101" s="222">
        <v>0.76646153846153842</v>
      </c>
      <c r="J101" s="223">
        <v>14.739644970414201</v>
      </c>
      <c r="K101" s="224">
        <f t="shared" si="42"/>
        <v>0.79039999999999988</v>
      </c>
      <c r="L101" s="218">
        <v>15.2</v>
      </c>
    </row>
    <row r="102" spans="4:12" x14ac:dyDescent="0.25">
      <c r="D102" s="218">
        <v>9.5</v>
      </c>
      <c r="E102" s="218">
        <v>0.49399999999999994</v>
      </c>
      <c r="F102" s="219">
        <v>10</v>
      </c>
      <c r="G102" s="220">
        <v>15.7</v>
      </c>
      <c r="H102" s="221">
        <v>0.8163999999999999</v>
      </c>
      <c r="I102" s="222">
        <v>0.76646153846153842</v>
      </c>
      <c r="J102" s="223">
        <v>14.739644970414201</v>
      </c>
      <c r="K102" s="224">
        <f t="shared" si="42"/>
        <v>0.79039999999999988</v>
      </c>
      <c r="L102" s="218">
        <v>15.2</v>
      </c>
    </row>
    <row r="103" spans="4:12" x14ac:dyDescent="0.25">
      <c r="D103" s="218">
        <v>9.5</v>
      </c>
      <c r="E103" s="218">
        <v>0.49399999999999999</v>
      </c>
      <c r="F103" s="219">
        <v>10</v>
      </c>
      <c r="G103" s="220">
        <v>15.7</v>
      </c>
      <c r="H103" s="221">
        <v>0.8163999999999999</v>
      </c>
      <c r="I103" s="222">
        <v>0.76646153846153853</v>
      </c>
      <c r="J103" s="223">
        <v>14.739644970414203</v>
      </c>
      <c r="K103" s="224">
        <f t="shared" si="42"/>
        <v>0.79039999999999988</v>
      </c>
      <c r="L103" s="218">
        <v>15.2</v>
      </c>
    </row>
    <row r="104" spans="4:12" x14ac:dyDescent="0.25">
      <c r="D104" s="218">
        <v>9.5</v>
      </c>
      <c r="E104" s="218">
        <v>0.49399999999999999</v>
      </c>
      <c r="F104" s="219">
        <v>10</v>
      </c>
      <c r="G104" s="220">
        <v>15.7</v>
      </c>
      <c r="H104" s="221">
        <v>0.8163999999999999</v>
      </c>
      <c r="I104" s="222">
        <v>0.75</v>
      </c>
      <c r="J104" s="223">
        <v>14.423076923076923</v>
      </c>
      <c r="K104" s="224">
        <f t="shared" si="42"/>
        <v>0.79039999999999988</v>
      </c>
      <c r="L104" s="218">
        <v>15.2</v>
      </c>
    </row>
    <row r="105" spans="4:12" x14ac:dyDescent="0.25">
      <c r="D105" s="218">
        <v>9.5</v>
      </c>
      <c r="E105" s="218">
        <v>0.49399999999999999</v>
      </c>
      <c r="F105" s="219">
        <v>10</v>
      </c>
      <c r="G105" s="220">
        <v>15.7</v>
      </c>
      <c r="H105" s="221">
        <v>0.8163999999999999</v>
      </c>
      <c r="I105" s="222">
        <v>0.76646153846153853</v>
      </c>
      <c r="J105" s="223">
        <v>14.739644970414203</v>
      </c>
      <c r="K105" s="224">
        <f t="shared" si="42"/>
        <v>0.79039999999999988</v>
      </c>
      <c r="L105" s="218">
        <v>15.2</v>
      </c>
    </row>
    <row r="106" spans="4:12" x14ac:dyDescent="0.25">
      <c r="D106" s="218">
        <v>9.5</v>
      </c>
      <c r="E106" s="218">
        <v>0.49399999999999999</v>
      </c>
      <c r="F106" s="219">
        <v>10</v>
      </c>
      <c r="G106" s="220">
        <v>15.7</v>
      </c>
      <c r="H106" s="221">
        <v>0.8163999999999999</v>
      </c>
      <c r="I106" s="222">
        <v>0.76646153846153853</v>
      </c>
      <c r="J106" s="223">
        <v>14.739644970414203</v>
      </c>
      <c r="K106" s="224">
        <f t="shared" si="42"/>
        <v>0.79039999999999988</v>
      </c>
      <c r="L106" s="218">
        <v>15.2</v>
      </c>
    </row>
    <row r="107" spans="4:12" x14ac:dyDescent="0.25">
      <c r="D107" s="218">
        <v>9.5</v>
      </c>
      <c r="E107" s="218">
        <v>0.49399999999999994</v>
      </c>
      <c r="F107" s="219">
        <v>10</v>
      </c>
      <c r="G107" s="220">
        <v>15.7</v>
      </c>
      <c r="H107" s="221">
        <v>0.8163999999999999</v>
      </c>
      <c r="I107" s="222">
        <v>0.76646153846153842</v>
      </c>
      <c r="J107" s="223">
        <v>14.739644970414201</v>
      </c>
      <c r="K107" s="224">
        <f t="shared" si="42"/>
        <v>0.79039999999999988</v>
      </c>
      <c r="L107" s="218">
        <v>15.2</v>
      </c>
    </row>
    <row r="108" spans="4:12" x14ac:dyDescent="0.25">
      <c r="D108" s="218">
        <v>9.5</v>
      </c>
      <c r="E108" s="218">
        <v>0.49399999999999994</v>
      </c>
      <c r="F108" s="219">
        <v>10</v>
      </c>
      <c r="G108" s="220">
        <v>15.7</v>
      </c>
      <c r="H108" s="221">
        <v>0.8163999999999999</v>
      </c>
      <c r="I108" s="222">
        <v>0.76646153846153842</v>
      </c>
      <c r="J108" s="223">
        <v>14.739644970414201</v>
      </c>
      <c r="K108" s="224">
        <f t="shared" si="42"/>
        <v>0.79039999999999988</v>
      </c>
      <c r="L108" s="218">
        <v>15.2</v>
      </c>
    </row>
    <row r="109" spans="4:12" x14ac:dyDescent="0.25">
      <c r="D109" s="218">
        <v>9.5</v>
      </c>
      <c r="E109" s="218">
        <v>0.49399999999999999</v>
      </c>
      <c r="F109" s="219">
        <v>10</v>
      </c>
      <c r="G109" s="220">
        <v>15.7</v>
      </c>
      <c r="H109" s="221">
        <v>0.8163999999999999</v>
      </c>
      <c r="I109" s="222">
        <v>0.76646153846153853</v>
      </c>
      <c r="J109" s="223">
        <v>14.739644970414203</v>
      </c>
      <c r="K109" s="224">
        <f t="shared" si="42"/>
        <v>0.79039999999999988</v>
      </c>
      <c r="L109" s="218">
        <v>15.2</v>
      </c>
    </row>
    <row r="110" spans="4:12" x14ac:dyDescent="0.25">
      <c r="D110" s="218">
        <v>9.5</v>
      </c>
      <c r="E110" s="218">
        <v>0.49399999999999999</v>
      </c>
      <c r="F110" s="219">
        <v>10</v>
      </c>
      <c r="G110" s="220">
        <v>15.7</v>
      </c>
      <c r="H110" s="221">
        <v>0.8163999999999999</v>
      </c>
      <c r="I110" s="222">
        <v>0.76646153846153853</v>
      </c>
      <c r="J110" s="223">
        <v>14.739644970414203</v>
      </c>
      <c r="K110" s="224">
        <f t="shared" si="42"/>
        <v>0.79039999999999988</v>
      </c>
      <c r="L110" s="218">
        <v>15.2</v>
      </c>
    </row>
    <row r="111" spans="4:12" x14ac:dyDescent="0.25">
      <c r="D111" s="218">
        <v>9.5</v>
      </c>
      <c r="E111" s="218">
        <v>0.49399999999999999</v>
      </c>
      <c r="F111" s="219">
        <v>10</v>
      </c>
      <c r="G111" s="220">
        <v>15.7</v>
      </c>
      <c r="H111" s="221">
        <v>0.8163999999999999</v>
      </c>
      <c r="I111" s="222">
        <v>0.7911746031746032</v>
      </c>
      <c r="J111" s="223">
        <v>15.214896214896216</v>
      </c>
      <c r="K111" s="224">
        <f t="shared" si="42"/>
        <v>0.79039999999999988</v>
      </c>
      <c r="L111" s="218">
        <v>15.2</v>
      </c>
    </row>
    <row r="112" spans="4:12" x14ac:dyDescent="0.25">
      <c r="D112" s="218">
        <v>9.5</v>
      </c>
      <c r="E112" s="218">
        <v>0.49399999999999994</v>
      </c>
      <c r="F112" s="219">
        <v>10</v>
      </c>
      <c r="G112" s="220">
        <v>15.7</v>
      </c>
      <c r="H112" s="221">
        <v>0.8163999999999999</v>
      </c>
      <c r="I112" s="222">
        <v>0.83133333333333326</v>
      </c>
      <c r="J112" s="223">
        <v>15.987179487179487</v>
      </c>
      <c r="K112" s="224">
        <f t="shared" si="42"/>
        <v>0.79039999999999988</v>
      </c>
      <c r="L112" s="218">
        <v>15.2</v>
      </c>
    </row>
    <row r="113" spans="4:12" x14ac:dyDescent="0.25">
      <c r="D113" s="218">
        <v>9.5</v>
      </c>
      <c r="E113" s="218">
        <v>0.49399999999999994</v>
      </c>
      <c r="F113" s="219">
        <v>10</v>
      </c>
      <c r="G113" s="220">
        <v>15.7</v>
      </c>
      <c r="H113" s="221">
        <v>0.8163999999999999</v>
      </c>
      <c r="I113" s="222">
        <v>0.83133333333333326</v>
      </c>
      <c r="J113" s="223">
        <v>15.987179487179487</v>
      </c>
      <c r="K113" s="224">
        <f t="shared" si="42"/>
        <v>0.79039999999999988</v>
      </c>
      <c r="L113" s="218">
        <v>15.2</v>
      </c>
    </row>
    <row r="114" spans="4:12" x14ac:dyDescent="0.25">
      <c r="D114" s="218">
        <v>9.5</v>
      </c>
      <c r="E114" s="218">
        <v>0.49399999999999999</v>
      </c>
      <c r="F114" s="219">
        <v>10</v>
      </c>
      <c r="G114" s="220">
        <v>15.7</v>
      </c>
      <c r="H114" s="221">
        <v>0.8163999999999999</v>
      </c>
      <c r="I114" s="222">
        <v>0.83133333333333337</v>
      </c>
      <c r="J114" s="223">
        <v>15.987179487179489</v>
      </c>
      <c r="K114" s="224">
        <f t="shared" si="42"/>
        <v>0.79039999999999988</v>
      </c>
      <c r="L114" s="218">
        <v>15.2</v>
      </c>
    </row>
    <row r="115" spans="4:12" x14ac:dyDescent="0.25">
      <c r="D115" s="218">
        <v>9.5</v>
      </c>
      <c r="E115" s="218">
        <v>0.49399999999999999</v>
      </c>
      <c r="F115" s="219">
        <v>10</v>
      </c>
      <c r="G115" s="220">
        <v>15.7</v>
      </c>
      <c r="H115" s="221">
        <v>0.8163999999999999</v>
      </c>
      <c r="I115" s="222">
        <v>0.83133333333333337</v>
      </c>
      <c r="J115" s="223">
        <v>15.987179487179489</v>
      </c>
      <c r="K115" s="224">
        <f t="shared" si="42"/>
        <v>0.79039999999999988</v>
      </c>
      <c r="L115" s="218">
        <v>15.2</v>
      </c>
    </row>
    <row r="165" spans="5:12" x14ac:dyDescent="0.25">
      <c r="E165" s="22" t="s">
        <v>98</v>
      </c>
      <c r="F165" s="22" t="s">
        <v>99</v>
      </c>
      <c r="G165" s="22" t="s">
        <v>100</v>
      </c>
      <c r="H165" s="22" t="s">
        <v>101</v>
      </c>
      <c r="I165" s="22" t="s">
        <v>102</v>
      </c>
      <c r="J165" s="22" t="s">
        <v>103</v>
      </c>
      <c r="K165" s="22" t="s">
        <v>104</v>
      </c>
      <c r="L165" s="22" t="s">
        <v>105</v>
      </c>
    </row>
    <row r="166" spans="5:12" x14ac:dyDescent="0.25">
      <c r="E166" s="19">
        <v>345</v>
      </c>
      <c r="F166" s="19">
        <v>8.5</v>
      </c>
      <c r="G166" s="19">
        <v>152.48999999999998</v>
      </c>
      <c r="H166" s="19">
        <v>9</v>
      </c>
      <c r="I166" s="19">
        <v>161.45999999999998</v>
      </c>
      <c r="J166" s="463">
        <v>0.57199999999999995</v>
      </c>
      <c r="K166" s="463">
        <v>0.68114285714285716</v>
      </c>
      <c r="L166" s="19">
        <v>0.54599999999999993</v>
      </c>
    </row>
    <row r="167" spans="5:12" x14ac:dyDescent="0.25">
      <c r="E167" s="19">
        <v>500</v>
      </c>
      <c r="F167" s="19">
        <v>8.5</v>
      </c>
      <c r="G167" s="19">
        <v>221</v>
      </c>
      <c r="H167" s="19">
        <v>9</v>
      </c>
      <c r="I167" s="19">
        <v>234</v>
      </c>
      <c r="J167" s="463">
        <v>0.57199999999999995</v>
      </c>
      <c r="K167" s="463">
        <v>0.68114285714285716</v>
      </c>
      <c r="L167" s="19">
        <v>0.54599999999999993</v>
      </c>
    </row>
    <row r="168" spans="5:12" x14ac:dyDescent="0.25">
      <c r="E168" s="19">
        <v>1000</v>
      </c>
      <c r="F168" s="19">
        <v>8.5</v>
      </c>
      <c r="G168" s="19">
        <v>442</v>
      </c>
      <c r="H168" s="19">
        <v>9</v>
      </c>
      <c r="I168" s="19">
        <v>468</v>
      </c>
      <c r="J168" s="463">
        <v>0.57199999999999995</v>
      </c>
      <c r="K168" s="463">
        <v>0.68114285714285716</v>
      </c>
      <c r="L168" s="19">
        <v>0.54599999999999993</v>
      </c>
    </row>
    <row r="169" spans="5:12" x14ac:dyDescent="0.25">
      <c r="E169" s="19">
        <v>1500</v>
      </c>
      <c r="F169" s="19">
        <v>8.5</v>
      </c>
      <c r="G169" s="19">
        <v>663</v>
      </c>
      <c r="H169" s="19">
        <v>9</v>
      </c>
      <c r="I169" s="19">
        <v>702</v>
      </c>
      <c r="J169" s="463">
        <v>0.57199999999999995</v>
      </c>
      <c r="K169" s="463">
        <v>0.68114285714285716</v>
      </c>
      <c r="L169" s="19">
        <v>0.54599999999999993</v>
      </c>
    </row>
    <row r="170" spans="5:12" x14ac:dyDescent="0.25">
      <c r="E170" s="19">
        <v>2110</v>
      </c>
      <c r="F170" s="19">
        <v>8.5</v>
      </c>
      <c r="G170" s="19">
        <v>932.62</v>
      </c>
      <c r="H170" s="19">
        <v>9</v>
      </c>
      <c r="I170" s="19">
        <v>987.4799999999999</v>
      </c>
      <c r="J170" s="463">
        <v>0.57199999999999995</v>
      </c>
      <c r="K170" s="463">
        <v>0.68114285714285716</v>
      </c>
      <c r="L170" s="19">
        <v>0.54599999999999993</v>
      </c>
    </row>
    <row r="171" spans="5:12" x14ac:dyDescent="0.25">
      <c r="E171" s="19">
        <v>2500</v>
      </c>
      <c r="F171" s="19">
        <v>8.6999999999999993</v>
      </c>
      <c r="G171" s="19">
        <v>1131</v>
      </c>
      <c r="H171" s="19">
        <v>9.1999999999999993</v>
      </c>
      <c r="I171" s="19">
        <v>1196</v>
      </c>
      <c r="J171" s="463">
        <v>0.57199999999999995</v>
      </c>
      <c r="K171" s="463">
        <v>0.6870857142857143</v>
      </c>
      <c r="L171" s="19">
        <v>0.54599999999999993</v>
      </c>
    </row>
    <row r="172" spans="5:12" x14ac:dyDescent="0.25">
      <c r="E172" s="19">
        <v>2600</v>
      </c>
      <c r="F172" s="19">
        <v>8.6999999999999993</v>
      </c>
      <c r="G172" s="19">
        <v>1176.2399999999998</v>
      </c>
      <c r="H172" s="19">
        <v>9.1999999999999993</v>
      </c>
      <c r="I172" s="19">
        <v>1243.8399999999997</v>
      </c>
      <c r="J172" s="463">
        <v>0.624</v>
      </c>
      <c r="K172" s="463">
        <v>0.6870857142857143</v>
      </c>
      <c r="L172" s="19">
        <v>0.59799999999999998</v>
      </c>
    </row>
    <row r="173" spans="5:12" x14ac:dyDescent="0.25">
      <c r="E173" s="19">
        <v>3300</v>
      </c>
      <c r="F173" s="19">
        <v>8.6999999999999993</v>
      </c>
      <c r="G173" s="19">
        <v>1492.9199999999998</v>
      </c>
      <c r="H173" s="19">
        <v>9.1999999999999993</v>
      </c>
      <c r="I173" s="19">
        <v>1578.7199999999998</v>
      </c>
      <c r="J173" s="463">
        <v>0.624</v>
      </c>
      <c r="K173" s="463">
        <v>0.6870857142857143</v>
      </c>
      <c r="L173" s="19">
        <v>0.59799999999999998</v>
      </c>
    </row>
    <row r="174" spans="5:12" x14ac:dyDescent="0.25">
      <c r="E174" s="19">
        <v>4000</v>
      </c>
      <c r="F174" s="19">
        <v>8.6999999999999993</v>
      </c>
      <c r="G174" s="19">
        <v>1809.6</v>
      </c>
      <c r="H174" s="19">
        <v>9.1999999999999993</v>
      </c>
      <c r="I174" s="19">
        <v>1913.6</v>
      </c>
      <c r="J174" s="463">
        <v>0.70199999999999996</v>
      </c>
      <c r="K174" s="463">
        <v>0.6870857142857143</v>
      </c>
      <c r="L174" s="19">
        <v>0.67599999999999993</v>
      </c>
    </row>
    <row r="175" spans="5:12" x14ac:dyDescent="0.25">
      <c r="E175" s="19">
        <v>4100</v>
      </c>
      <c r="F175" s="19">
        <v>9</v>
      </c>
      <c r="G175" s="19">
        <v>1918.8</v>
      </c>
      <c r="H175" s="19">
        <v>9.5</v>
      </c>
      <c r="I175" s="19">
        <v>2025.3999999999999</v>
      </c>
      <c r="J175" s="463">
        <v>0.70199999999999996</v>
      </c>
      <c r="K175" s="463">
        <v>0.69599999999999995</v>
      </c>
      <c r="L175" s="19">
        <v>0.67599999999999993</v>
      </c>
    </row>
    <row r="176" spans="5:12" x14ac:dyDescent="0.25">
      <c r="E176" s="19">
        <v>5000</v>
      </c>
      <c r="F176" s="19">
        <v>9</v>
      </c>
      <c r="G176" s="19">
        <v>2340</v>
      </c>
      <c r="H176" s="19">
        <v>9.5</v>
      </c>
      <c r="I176" s="19">
        <v>2470</v>
      </c>
      <c r="J176" s="463">
        <v>0.72799999999999998</v>
      </c>
      <c r="K176" s="463">
        <v>0.69600000000000006</v>
      </c>
      <c r="L176" s="19">
        <v>0.70199999999999996</v>
      </c>
    </row>
    <row r="177" spans="5:12" x14ac:dyDescent="0.25">
      <c r="E177" s="19">
        <v>6000</v>
      </c>
      <c r="F177" s="19">
        <v>9</v>
      </c>
      <c r="G177" s="19">
        <v>2808</v>
      </c>
      <c r="H177" s="19">
        <v>9.5</v>
      </c>
      <c r="I177" s="19">
        <v>2964</v>
      </c>
      <c r="J177" s="463">
        <v>0.754</v>
      </c>
      <c r="K177" s="463">
        <v>0.69600000000000006</v>
      </c>
      <c r="L177" s="19">
        <v>0.72799999999999998</v>
      </c>
    </row>
    <row r="178" spans="5:12" x14ac:dyDescent="0.25">
      <c r="E178" s="19">
        <v>7000</v>
      </c>
      <c r="F178" s="19">
        <v>9</v>
      </c>
      <c r="G178" s="19">
        <v>3276</v>
      </c>
      <c r="H178" s="19">
        <v>9.5</v>
      </c>
      <c r="I178" s="19">
        <v>3458</v>
      </c>
      <c r="J178" s="463">
        <v>0.77999999999999992</v>
      </c>
      <c r="K178" s="463">
        <v>0.69600000000000006</v>
      </c>
      <c r="L178" s="19">
        <v>0.754</v>
      </c>
    </row>
    <row r="179" spans="5:12" x14ac:dyDescent="0.25">
      <c r="E179" s="19">
        <v>7700</v>
      </c>
      <c r="F179" s="19">
        <v>9</v>
      </c>
      <c r="G179" s="19">
        <v>3603.6</v>
      </c>
      <c r="H179" s="19">
        <v>9.5</v>
      </c>
      <c r="I179" s="19">
        <v>3803.7999999999997</v>
      </c>
      <c r="J179" s="463">
        <v>0.77999999999999992</v>
      </c>
      <c r="K179" s="463">
        <v>0.69599999999999995</v>
      </c>
      <c r="L179" s="19">
        <v>0.754</v>
      </c>
    </row>
    <row r="180" spans="5:12" x14ac:dyDescent="0.25">
      <c r="E180" s="19">
        <v>8000</v>
      </c>
      <c r="F180" s="19">
        <v>9.5</v>
      </c>
      <c r="G180" s="19">
        <v>3952</v>
      </c>
      <c r="H180" s="19">
        <v>10</v>
      </c>
      <c r="I180" s="19">
        <v>4160</v>
      </c>
      <c r="J180" s="463">
        <v>0.8163999999999999</v>
      </c>
      <c r="K180" s="463">
        <v>0.71085714285714285</v>
      </c>
      <c r="L180" s="19">
        <v>0.79039999999999988</v>
      </c>
    </row>
    <row r="181" spans="5:12" x14ac:dyDescent="0.25">
      <c r="E181" s="19">
        <v>8100</v>
      </c>
      <c r="F181" s="19">
        <v>9.5</v>
      </c>
      <c r="G181" s="19">
        <v>4001.3999999999996</v>
      </c>
      <c r="H181" s="19">
        <v>10</v>
      </c>
      <c r="I181" s="19">
        <v>4212</v>
      </c>
      <c r="J181" s="463">
        <v>0.8163999999999999</v>
      </c>
      <c r="K181" s="463">
        <v>0.71085714285714285</v>
      </c>
      <c r="L181" s="19">
        <v>0.79039999999999988</v>
      </c>
    </row>
    <row r="182" spans="5:12" x14ac:dyDescent="0.25">
      <c r="E182" s="19">
        <v>8150</v>
      </c>
      <c r="F182" s="19">
        <v>9.5</v>
      </c>
      <c r="G182" s="19">
        <v>4026.1</v>
      </c>
      <c r="H182" s="19">
        <v>10</v>
      </c>
      <c r="I182" s="19">
        <v>4238</v>
      </c>
      <c r="J182" s="463">
        <v>0.8163999999999999</v>
      </c>
      <c r="K182" s="463">
        <v>0.71085714285714285</v>
      </c>
      <c r="L182" s="19">
        <v>0.79039999999999988</v>
      </c>
    </row>
    <row r="183" spans="5:12" x14ac:dyDescent="0.25">
      <c r="E183" s="19">
        <v>8200</v>
      </c>
      <c r="F183" s="19">
        <v>9.5</v>
      </c>
      <c r="G183" s="19">
        <v>4050.7999999999997</v>
      </c>
      <c r="H183" s="19">
        <v>10</v>
      </c>
      <c r="I183" s="19">
        <v>4264</v>
      </c>
      <c r="J183" s="463">
        <v>0.8163999999999999</v>
      </c>
      <c r="K183" s="463">
        <v>0.71085714285714285</v>
      </c>
      <c r="L183" s="19">
        <v>0.79039999999999988</v>
      </c>
    </row>
    <row r="184" spans="5:12" x14ac:dyDescent="0.25">
      <c r="E184" s="19">
        <v>8250</v>
      </c>
      <c r="F184" s="19">
        <v>9.5</v>
      </c>
      <c r="G184" s="19">
        <v>4075.5</v>
      </c>
      <c r="H184" s="19">
        <v>10</v>
      </c>
      <c r="I184" s="19">
        <v>4290</v>
      </c>
      <c r="J184" s="463">
        <v>0.8163999999999999</v>
      </c>
      <c r="K184" s="463">
        <v>0.71085714285714285</v>
      </c>
      <c r="L184" s="19">
        <v>0.79039999999999988</v>
      </c>
    </row>
    <row r="185" spans="5:12" x14ac:dyDescent="0.25">
      <c r="E185" s="19">
        <v>8300</v>
      </c>
      <c r="F185" s="19">
        <v>9.5</v>
      </c>
      <c r="G185" s="19">
        <v>4100.2</v>
      </c>
      <c r="H185" s="19">
        <v>10</v>
      </c>
      <c r="I185" s="19">
        <v>4316</v>
      </c>
      <c r="J185" s="463">
        <v>0.8163999999999999</v>
      </c>
      <c r="K185" s="463">
        <v>0.71085714285714285</v>
      </c>
      <c r="L185" s="19">
        <v>0.79039999999999988</v>
      </c>
    </row>
    <row r="186" spans="5:12" x14ac:dyDescent="0.25">
      <c r="E186" s="19">
        <v>8350</v>
      </c>
      <c r="F186" s="19">
        <v>9.5</v>
      </c>
      <c r="G186" s="19">
        <v>4124.8999999999996</v>
      </c>
      <c r="H186" s="19">
        <v>10</v>
      </c>
      <c r="I186" s="19">
        <v>4342</v>
      </c>
      <c r="J186" s="463">
        <v>0.8163999999999999</v>
      </c>
      <c r="K186" s="463">
        <v>0.71085714285714285</v>
      </c>
      <c r="L186" s="19">
        <v>0.79039999999999988</v>
      </c>
    </row>
    <row r="187" spans="5:12" x14ac:dyDescent="0.25">
      <c r="E187" s="19">
        <v>8400</v>
      </c>
      <c r="F187" s="19">
        <v>9.5</v>
      </c>
      <c r="G187" s="19">
        <v>4149.5999999999995</v>
      </c>
      <c r="H187" s="19">
        <v>10</v>
      </c>
      <c r="I187" s="19">
        <v>4368</v>
      </c>
      <c r="J187" s="463">
        <v>0.8163999999999999</v>
      </c>
      <c r="K187" s="463">
        <v>0.71085714285714285</v>
      </c>
      <c r="L187" s="19">
        <v>0.79039999999999988</v>
      </c>
    </row>
    <row r="188" spans="5:12" x14ac:dyDescent="0.25">
      <c r="E188" s="19">
        <v>8450</v>
      </c>
      <c r="F188" s="19">
        <v>9.5</v>
      </c>
      <c r="G188" s="19">
        <v>4174.3</v>
      </c>
      <c r="H188" s="19">
        <v>10</v>
      </c>
      <c r="I188" s="19">
        <v>4394</v>
      </c>
      <c r="J188" s="463">
        <v>0.8163999999999999</v>
      </c>
      <c r="K188" s="463">
        <v>0.71085714285714285</v>
      </c>
      <c r="L188" s="19">
        <v>0.79039999999999988</v>
      </c>
    </row>
    <row r="189" spans="5:12" x14ac:dyDescent="0.25">
      <c r="E189" s="19">
        <v>8460</v>
      </c>
      <c r="F189" s="19">
        <v>9.5</v>
      </c>
      <c r="G189" s="19">
        <v>4179.24</v>
      </c>
      <c r="H189" s="19">
        <v>10</v>
      </c>
      <c r="I189" s="19">
        <v>4399.2</v>
      </c>
      <c r="J189" s="463">
        <v>0.8163999999999999</v>
      </c>
      <c r="K189" s="463">
        <v>0.75</v>
      </c>
      <c r="L189" s="19">
        <v>0.79039999999999988</v>
      </c>
    </row>
    <row r="190" spans="5:12" x14ac:dyDescent="0.25">
      <c r="E190" s="19">
        <v>8500</v>
      </c>
      <c r="F190" s="19">
        <v>9.5</v>
      </c>
      <c r="G190" s="19">
        <v>4199</v>
      </c>
      <c r="H190" s="19">
        <v>10</v>
      </c>
      <c r="I190" s="19">
        <v>4420</v>
      </c>
      <c r="J190" s="463">
        <v>0.8163999999999999</v>
      </c>
      <c r="K190" s="463">
        <v>0.76646153846153853</v>
      </c>
      <c r="L190" s="19">
        <v>0.79039999999999988</v>
      </c>
    </row>
    <row r="191" spans="5:12" x14ac:dyDescent="0.25">
      <c r="E191" s="19">
        <v>8550</v>
      </c>
      <c r="F191" s="19">
        <v>9.5</v>
      </c>
      <c r="G191" s="19">
        <v>4223.7</v>
      </c>
      <c r="H191" s="19">
        <v>10</v>
      </c>
      <c r="I191" s="19">
        <v>4446</v>
      </c>
      <c r="J191" s="463">
        <v>0.8163999999999999</v>
      </c>
      <c r="K191" s="463">
        <v>0.76646153846153853</v>
      </c>
      <c r="L191" s="19">
        <v>0.79039999999999988</v>
      </c>
    </row>
    <row r="192" spans="5:12" x14ac:dyDescent="0.25">
      <c r="E192" s="19">
        <v>8600</v>
      </c>
      <c r="F192" s="19">
        <v>9.5</v>
      </c>
      <c r="G192" s="19">
        <v>4248.3999999999996</v>
      </c>
      <c r="H192" s="19">
        <v>10</v>
      </c>
      <c r="I192" s="19">
        <v>4472</v>
      </c>
      <c r="J192" s="463">
        <v>0.8163999999999999</v>
      </c>
      <c r="K192" s="463">
        <v>0.76646153846153842</v>
      </c>
      <c r="L192" s="19">
        <v>0.79039999999999988</v>
      </c>
    </row>
    <row r="193" spans="5:12" x14ac:dyDescent="0.25">
      <c r="E193" s="19">
        <v>8650</v>
      </c>
      <c r="F193" s="19">
        <v>9.5</v>
      </c>
      <c r="G193" s="19">
        <v>4273.0999999999995</v>
      </c>
      <c r="H193" s="19">
        <v>10</v>
      </c>
      <c r="I193" s="19">
        <v>4498</v>
      </c>
      <c r="J193" s="463">
        <v>0.8163999999999999</v>
      </c>
      <c r="K193" s="463">
        <v>0.76646153846153842</v>
      </c>
      <c r="L193" s="19">
        <v>0.79039999999999988</v>
      </c>
    </row>
    <row r="194" spans="5:12" x14ac:dyDescent="0.25">
      <c r="E194" s="19">
        <v>8700</v>
      </c>
      <c r="F194" s="19">
        <v>9.5</v>
      </c>
      <c r="G194" s="19">
        <v>4297.8</v>
      </c>
      <c r="H194" s="19">
        <v>10</v>
      </c>
      <c r="I194" s="19">
        <v>4524</v>
      </c>
      <c r="J194" s="463">
        <v>0.8163999999999999</v>
      </c>
      <c r="K194" s="463">
        <v>0.76646153846153853</v>
      </c>
      <c r="L194" s="19">
        <v>0.79039999999999988</v>
      </c>
    </row>
    <row r="195" spans="5:12" x14ac:dyDescent="0.25">
      <c r="E195" s="19">
        <v>8750</v>
      </c>
      <c r="F195" s="19">
        <v>9.5</v>
      </c>
      <c r="G195" s="19">
        <v>4322.5</v>
      </c>
      <c r="H195" s="19">
        <v>10</v>
      </c>
      <c r="I195" s="19">
        <v>4550</v>
      </c>
      <c r="J195" s="463">
        <v>0.8163999999999999</v>
      </c>
      <c r="K195" s="463">
        <v>0.76646153846153853</v>
      </c>
      <c r="L195" s="19">
        <v>0.79039999999999988</v>
      </c>
    </row>
    <row r="196" spans="5:12" x14ac:dyDescent="0.25">
      <c r="E196" s="19">
        <v>8800</v>
      </c>
      <c r="F196" s="19">
        <v>9.5</v>
      </c>
      <c r="G196" s="19">
        <v>4347.2</v>
      </c>
      <c r="H196" s="19">
        <v>10</v>
      </c>
      <c r="I196" s="19">
        <v>4576</v>
      </c>
      <c r="J196" s="463">
        <v>0.8163999999999999</v>
      </c>
      <c r="K196" s="463">
        <v>0.7911746031746032</v>
      </c>
      <c r="L196" s="19">
        <v>0.79039999999999988</v>
      </c>
    </row>
    <row r="197" spans="5:12" x14ac:dyDescent="0.25">
      <c r="E197" s="19">
        <v>8850</v>
      </c>
      <c r="F197" s="19">
        <v>9.5</v>
      </c>
      <c r="G197" s="19">
        <v>4371.8999999999996</v>
      </c>
      <c r="H197" s="19">
        <v>10</v>
      </c>
      <c r="I197" s="19">
        <v>4602</v>
      </c>
      <c r="J197" s="463">
        <v>0.8163999999999999</v>
      </c>
      <c r="K197" s="463">
        <v>0.83133333333333326</v>
      </c>
      <c r="L197" s="19">
        <v>0.79039999999999988</v>
      </c>
    </row>
    <row r="198" spans="5:12" x14ac:dyDescent="0.25">
      <c r="E198" s="19">
        <v>8900</v>
      </c>
      <c r="F198" s="19">
        <v>9.5</v>
      </c>
      <c r="G198" s="19">
        <v>4396.5999999999995</v>
      </c>
      <c r="H198" s="19">
        <v>10</v>
      </c>
      <c r="I198" s="19">
        <v>4628</v>
      </c>
      <c r="J198" s="463">
        <v>0.8163999999999999</v>
      </c>
      <c r="K198" s="463">
        <v>0.83133333333333326</v>
      </c>
      <c r="L198" s="19">
        <v>0.79039999999999988</v>
      </c>
    </row>
    <row r="199" spans="5:12" x14ac:dyDescent="0.25">
      <c r="E199" s="19">
        <v>8950</v>
      </c>
      <c r="F199" s="19">
        <v>9.5</v>
      </c>
      <c r="G199" s="19">
        <v>4421.3</v>
      </c>
      <c r="H199" s="19">
        <v>10</v>
      </c>
      <c r="I199" s="19">
        <v>4654</v>
      </c>
      <c r="J199" s="463">
        <v>0.8163999999999999</v>
      </c>
      <c r="K199" s="463">
        <v>0.83133333333333337</v>
      </c>
      <c r="L199" s="19">
        <v>0.79039999999999988</v>
      </c>
    </row>
    <row r="200" spans="5:12" x14ac:dyDescent="0.25">
      <c r="E200" s="19">
        <v>9000</v>
      </c>
      <c r="F200" s="19">
        <v>9.5</v>
      </c>
      <c r="G200" s="19">
        <v>4446</v>
      </c>
      <c r="H200" s="19">
        <v>10</v>
      </c>
      <c r="I200" s="19">
        <v>4680</v>
      </c>
      <c r="J200" s="463">
        <v>0.8163999999999999</v>
      </c>
      <c r="K200" s="463">
        <v>0.83133333333333337</v>
      </c>
      <c r="L200" s="19">
        <v>0.79039999999999988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8CE8-EC61-4FEB-8281-981CE8B31CA2}">
  <sheetPr codeName="Sheet2"/>
  <dimension ref="D8:J46"/>
  <sheetViews>
    <sheetView workbookViewId="0">
      <selection activeCell="J27" sqref="J27"/>
    </sheetView>
  </sheetViews>
  <sheetFormatPr defaultRowHeight="15" x14ac:dyDescent="0.25"/>
  <cols>
    <col min="5" max="5" width="22.5703125" customWidth="1"/>
    <col min="6" max="6" width="19.42578125" customWidth="1"/>
  </cols>
  <sheetData>
    <row r="8" spans="4:6" x14ac:dyDescent="0.25">
      <c r="D8" t="s">
        <v>106</v>
      </c>
      <c r="E8" t="s">
        <v>69</v>
      </c>
      <c r="F8" t="s">
        <v>71</v>
      </c>
    </row>
    <row r="9" spans="4:6" x14ac:dyDescent="0.25">
      <c r="D9">
        <v>345</v>
      </c>
      <c r="E9">
        <v>0.57199999999999995</v>
      </c>
      <c r="F9">
        <v>0.68114285714285716</v>
      </c>
    </row>
    <row r="10" spans="4:6" x14ac:dyDescent="0.25">
      <c r="D10">
        <v>500</v>
      </c>
      <c r="E10">
        <v>0.57199999999999995</v>
      </c>
      <c r="F10">
        <v>0.68114285714285716</v>
      </c>
    </row>
    <row r="11" spans="4:6" x14ac:dyDescent="0.25">
      <c r="D11">
        <v>1000</v>
      </c>
      <c r="E11">
        <v>0.57199999999999995</v>
      </c>
      <c r="F11">
        <v>0.68114285714285716</v>
      </c>
    </row>
    <row r="12" spans="4:6" x14ac:dyDescent="0.25">
      <c r="D12">
        <v>1500</v>
      </c>
      <c r="E12">
        <v>0.57199999999999995</v>
      </c>
      <c r="F12">
        <v>0.68114285714285716</v>
      </c>
    </row>
    <row r="13" spans="4:6" x14ac:dyDescent="0.25">
      <c r="D13">
        <v>2110</v>
      </c>
      <c r="E13">
        <v>0.57199999999999995</v>
      </c>
      <c r="F13">
        <v>0.68114285714285716</v>
      </c>
    </row>
    <row r="14" spans="4:6" x14ac:dyDescent="0.25">
      <c r="D14">
        <v>2500</v>
      </c>
      <c r="E14">
        <v>0.57199999999999995</v>
      </c>
      <c r="F14">
        <v>0.68114285714285716</v>
      </c>
    </row>
    <row r="15" spans="4:6" x14ac:dyDescent="0.25">
      <c r="D15">
        <v>2600</v>
      </c>
      <c r="E15">
        <v>0.624</v>
      </c>
      <c r="F15">
        <v>0.68114285714285716</v>
      </c>
    </row>
    <row r="16" spans="4:6" x14ac:dyDescent="0.25">
      <c r="D16">
        <v>3300</v>
      </c>
      <c r="E16">
        <v>0.624</v>
      </c>
      <c r="F16">
        <v>0.68114285714285716</v>
      </c>
    </row>
    <row r="17" spans="4:6" x14ac:dyDescent="0.25">
      <c r="D17">
        <v>4000</v>
      </c>
      <c r="E17">
        <v>0.70199999999999996</v>
      </c>
      <c r="F17">
        <v>0.68114285714285716</v>
      </c>
    </row>
    <row r="18" spans="4:6" x14ac:dyDescent="0.25">
      <c r="D18">
        <v>4100</v>
      </c>
      <c r="E18">
        <v>0.70199999999999996</v>
      </c>
      <c r="F18">
        <v>0.69599999999999995</v>
      </c>
    </row>
    <row r="19" spans="4:6" x14ac:dyDescent="0.25">
      <c r="D19">
        <v>5000</v>
      </c>
      <c r="E19">
        <v>0.72799999999999998</v>
      </c>
      <c r="F19">
        <v>0.69600000000000006</v>
      </c>
    </row>
    <row r="20" spans="4:6" x14ac:dyDescent="0.25">
      <c r="D20">
        <v>6000</v>
      </c>
      <c r="E20">
        <v>0.754</v>
      </c>
      <c r="F20">
        <v>0.69600000000000006</v>
      </c>
    </row>
    <row r="21" spans="4:6" x14ac:dyDescent="0.25">
      <c r="D21">
        <v>7000</v>
      </c>
      <c r="E21">
        <v>0.77999999999999992</v>
      </c>
      <c r="F21">
        <v>0.69600000000000006</v>
      </c>
    </row>
    <row r="22" spans="4:6" x14ac:dyDescent="0.25">
      <c r="D22">
        <v>8000</v>
      </c>
      <c r="E22">
        <v>0.8163999999999999</v>
      </c>
      <c r="F22">
        <v>0.71085714285714285</v>
      </c>
    </row>
    <row r="23" spans="4:6" x14ac:dyDescent="0.25">
      <c r="D23">
        <v>8100</v>
      </c>
      <c r="E23">
        <v>0.8163999999999999</v>
      </c>
      <c r="F23">
        <v>0.76646153846153842</v>
      </c>
    </row>
    <row r="24" spans="4:6" x14ac:dyDescent="0.25">
      <c r="D24">
        <v>8150</v>
      </c>
      <c r="E24">
        <v>0.8163999999999999</v>
      </c>
      <c r="F24">
        <v>0.76646153846153853</v>
      </c>
    </row>
    <row r="25" spans="4:6" x14ac:dyDescent="0.25">
      <c r="D25">
        <v>8200</v>
      </c>
      <c r="E25">
        <v>0.8163999999999999</v>
      </c>
      <c r="F25">
        <v>0.76646153846153842</v>
      </c>
    </row>
    <row r="26" spans="4:6" x14ac:dyDescent="0.25">
      <c r="D26">
        <v>8250</v>
      </c>
      <c r="E26">
        <v>0.8163999999999999</v>
      </c>
      <c r="F26">
        <v>0.76646153846153853</v>
      </c>
    </row>
    <row r="27" spans="4:6" x14ac:dyDescent="0.25">
      <c r="D27">
        <v>8300</v>
      </c>
      <c r="E27">
        <v>0.8163999999999999</v>
      </c>
      <c r="F27">
        <v>0.76646153846153853</v>
      </c>
    </row>
    <row r="28" spans="4:6" x14ac:dyDescent="0.25">
      <c r="D28">
        <v>8350</v>
      </c>
      <c r="E28">
        <v>0.8163999999999999</v>
      </c>
      <c r="F28">
        <v>0.76646153846153842</v>
      </c>
    </row>
    <row r="29" spans="4:6" x14ac:dyDescent="0.25">
      <c r="D29">
        <v>8400</v>
      </c>
      <c r="E29">
        <v>0.8163999999999999</v>
      </c>
      <c r="F29">
        <v>0.76646153846153842</v>
      </c>
    </row>
    <row r="30" spans="4:6" x14ac:dyDescent="0.25">
      <c r="D30">
        <v>8450</v>
      </c>
      <c r="E30">
        <v>0.8163999999999999</v>
      </c>
      <c r="F30">
        <v>0.76646153846153853</v>
      </c>
    </row>
    <row r="31" spans="4:6" x14ac:dyDescent="0.25">
      <c r="D31">
        <v>8460</v>
      </c>
      <c r="E31">
        <v>0.8163999999999999</v>
      </c>
      <c r="F31">
        <v>0.75</v>
      </c>
    </row>
    <row r="32" spans="4:6" x14ac:dyDescent="0.25">
      <c r="D32">
        <v>8500</v>
      </c>
      <c r="E32">
        <v>0.8163999999999999</v>
      </c>
      <c r="F32">
        <v>0.76646153846153853</v>
      </c>
    </row>
    <row r="33" spans="4:10" x14ac:dyDescent="0.25">
      <c r="D33">
        <v>8550</v>
      </c>
      <c r="E33">
        <v>0.8163999999999999</v>
      </c>
      <c r="F33">
        <v>0.76646153846153853</v>
      </c>
    </row>
    <row r="34" spans="4:10" x14ac:dyDescent="0.25">
      <c r="D34">
        <v>8600</v>
      </c>
      <c r="E34">
        <v>0.8163999999999999</v>
      </c>
      <c r="F34">
        <v>0.76646153846153842</v>
      </c>
    </row>
    <row r="35" spans="4:10" x14ac:dyDescent="0.25">
      <c r="D35">
        <v>8650</v>
      </c>
      <c r="E35">
        <v>0.8163999999999999</v>
      </c>
      <c r="F35">
        <v>0.76646153846153842</v>
      </c>
    </row>
    <row r="36" spans="4:10" x14ac:dyDescent="0.25">
      <c r="D36">
        <v>8700</v>
      </c>
      <c r="E36">
        <v>0.8163999999999999</v>
      </c>
      <c r="F36">
        <v>0.76646153846153853</v>
      </c>
    </row>
    <row r="37" spans="4:10" x14ac:dyDescent="0.25">
      <c r="D37">
        <v>8750</v>
      </c>
      <c r="E37">
        <v>0.8163999999999999</v>
      </c>
      <c r="F37">
        <v>0.76646153846153853</v>
      </c>
    </row>
    <row r="38" spans="4:10" x14ac:dyDescent="0.25">
      <c r="D38">
        <v>8800</v>
      </c>
      <c r="E38">
        <v>0.8163999999999999</v>
      </c>
      <c r="F38">
        <v>0.7911746031746032</v>
      </c>
    </row>
    <row r="39" spans="4:10" x14ac:dyDescent="0.25">
      <c r="D39">
        <v>8850</v>
      </c>
      <c r="E39">
        <v>0.8163999999999999</v>
      </c>
      <c r="F39">
        <v>0.83133333333333326</v>
      </c>
    </row>
    <row r="40" spans="4:10" x14ac:dyDescent="0.25">
      <c r="D40">
        <v>8900</v>
      </c>
      <c r="E40">
        <v>0.8163999999999999</v>
      </c>
      <c r="F40">
        <v>0.83133333333333326</v>
      </c>
    </row>
    <row r="41" spans="4:10" x14ac:dyDescent="0.25">
      <c r="D41">
        <v>8950</v>
      </c>
      <c r="E41">
        <v>0.8163999999999999</v>
      </c>
      <c r="F41">
        <v>0.83133333333333337</v>
      </c>
    </row>
    <row r="42" spans="4:10" x14ac:dyDescent="0.25">
      <c r="D42">
        <v>9000</v>
      </c>
      <c r="E42">
        <v>0.8163999999999999</v>
      </c>
      <c r="F42">
        <v>0.83133333333333337</v>
      </c>
    </row>
    <row r="43" spans="4:10" x14ac:dyDescent="0.25">
      <c r="E43" s="1">
        <f>AVERAGE(E9:E42)</f>
        <v>0.74971764705882393</v>
      </c>
      <c r="F43" s="1">
        <f>AVERAGE(F9:F42)</f>
        <v>0.74182683329742138</v>
      </c>
    </row>
    <row r="44" spans="4:10" x14ac:dyDescent="0.25">
      <c r="E44" s="284">
        <f>E43-F43</f>
        <v>7.8908137614025486E-3</v>
      </c>
    </row>
    <row r="46" spans="4:10" x14ac:dyDescent="0.25">
      <c r="J46">
        <f>9</f>
        <v>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88478-79FD-442F-BA42-4565AB2F8B6F}">
  <sheetPr codeName="Sheet3"/>
  <dimension ref="B1:AB53"/>
  <sheetViews>
    <sheetView topLeftCell="K1" zoomScale="85" zoomScaleNormal="85" workbookViewId="0">
      <selection activeCell="B3" sqref="B3:B36"/>
    </sheetView>
  </sheetViews>
  <sheetFormatPr defaultRowHeight="15" x14ac:dyDescent="0.25"/>
  <cols>
    <col min="3" max="3" width="19.7109375" customWidth="1"/>
    <col min="4" max="4" width="15" customWidth="1"/>
    <col min="5" max="5" width="19.42578125" customWidth="1"/>
    <col min="6" max="6" width="25.42578125" customWidth="1"/>
    <col min="7" max="7" width="21.5703125" customWidth="1"/>
    <col min="8" max="8" width="28" customWidth="1"/>
    <col min="9" max="9" width="14.7109375" customWidth="1"/>
    <col min="10" max="10" width="10.140625" customWidth="1"/>
    <col min="11" max="11" width="18.28515625" customWidth="1"/>
    <col min="12" max="12" width="21.85546875" customWidth="1"/>
    <col min="13" max="15" width="18.28515625" customWidth="1"/>
    <col min="16" max="16" width="23.5703125" customWidth="1"/>
    <col min="17" max="17" width="16.5703125" customWidth="1"/>
    <col min="18" max="18" width="22.42578125" customWidth="1"/>
    <col min="19" max="19" width="14.140625" customWidth="1"/>
    <col min="20" max="20" width="20" customWidth="1"/>
    <col min="21" max="21" width="18.5703125" customWidth="1"/>
    <col min="22" max="22" width="14" customWidth="1"/>
    <col min="23" max="23" width="15.85546875" customWidth="1"/>
    <col min="24" max="24" width="12.28515625" customWidth="1"/>
    <col min="26" max="26" width="15.140625" customWidth="1"/>
    <col min="27" max="27" width="17.5703125" customWidth="1"/>
    <col min="28" max="28" width="14.140625" customWidth="1"/>
    <col min="29" max="29" width="15.140625" customWidth="1"/>
    <col min="30" max="30" width="11.7109375" customWidth="1"/>
  </cols>
  <sheetData>
    <row r="1" spans="2:19" x14ac:dyDescent="0.25">
      <c r="C1" t="s">
        <v>107</v>
      </c>
      <c r="D1">
        <v>5.1999999999999998E-2</v>
      </c>
      <c r="F1">
        <v>0.5</v>
      </c>
      <c r="L1" t="s">
        <v>108</v>
      </c>
      <c r="P1">
        <v>1</v>
      </c>
      <c r="S1" t="s">
        <v>109</v>
      </c>
    </row>
    <row r="2" spans="2:19" x14ac:dyDescent="0.25">
      <c r="B2" s="282" t="s">
        <v>2</v>
      </c>
      <c r="C2" s="282" t="s">
        <v>110</v>
      </c>
      <c r="D2" s="282" t="s">
        <v>111</v>
      </c>
      <c r="E2" s="282" t="s">
        <v>112</v>
      </c>
      <c r="F2" s="282" t="s">
        <v>113</v>
      </c>
      <c r="G2" s="282" t="s">
        <v>114</v>
      </c>
      <c r="H2" s="282" t="s">
        <v>115</v>
      </c>
      <c r="I2" s="282" t="s">
        <v>116</v>
      </c>
      <c r="J2" s="282"/>
      <c r="K2" s="282" t="s">
        <v>117</v>
      </c>
      <c r="L2" s="56" t="s">
        <v>118</v>
      </c>
      <c r="M2" s="56"/>
      <c r="N2" s="56"/>
      <c r="O2" s="56"/>
    </row>
    <row r="3" spans="2:19" x14ac:dyDescent="0.25">
      <c r="B3" s="258">
        <v>345</v>
      </c>
      <c r="C3" s="258">
        <v>8.5</v>
      </c>
      <c r="D3" s="258">
        <f>C3*B3*$D$1</f>
        <v>152.48999999999998</v>
      </c>
      <c r="E3" s="258">
        <v>197.34</v>
      </c>
      <c r="F3" s="258">
        <f>C3+$F$1</f>
        <v>9</v>
      </c>
      <c r="G3" s="258">
        <f>F3*B3*$D$1</f>
        <v>161.45999999999998</v>
      </c>
      <c r="H3" s="258">
        <v>188.36999999999998</v>
      </c>
      <c r="I3" s="269">
        <v>0.44199999999999995</v>
      </c>
      <c r="J3" s="269">
        <v>0.57199999999999995</v>
      </c>
      <c r="K3" s="269">
        <v>9</v>
      </c>
      <c r="L3" s="281">
        <v>345</v>
      </c>
      <c r="M3" s="281"/>
      <c r="N3" s="281"/>
      <c r="O3" s="281"/>
    </row>
    <row r="4" spans="2:19" x14ac:dyDescent="0.25">
      <c r="B4" s="258">
        <v>500</v>
      </c>
      <c r="C4" s="258">
        <v>8.5</v>
      </c>
      <c r="D4" s="258">
        <f t="shared" ref="D4:D36" si="0">C4*B4*$D$1</f>
        <v>221</v>
      </c>
      <c r="E4" s="258">
        <v>286</v>
      </c>
      <c r="F4" s="258">
        <f t="shared" ref="F4:F36" si="1">C4+$F$1</f>
        <v>9</v>
      </c>
      <c r="G4" s="258">
        <f t="shared" ref="G4:G36" si="2">F4*B4*$D$1</f>
        <v>234</v>
      </c>
      <c r="H4" s="258">
        <v>272.99999999999994</v>
      </c>
      <c r="I4" s="269">
        <v>0.442</v>
      </c>
      <c r="J4" s="269">
        <v>0.57199999999999995</v>
      </c>
      <c r="K4" s="269">
        <v>9</v>
      </c>
      <c r="L4" s="281">
        <v>500</v>
      </c>
      <c r="M4" s="281"/>
      <c r="N4" s="281"/>
      <c r="O4" s="281"/>
    </row>
    <row r="5" spans="2:19" x14ac:dyDescent="0.25">
      <c r="B5" s="258">
        <v>1000</v>
      </c>
      <c r="C5" s="258">
        <v>8.5</v>
      </c>
      <c r="D5" s="258">
        <f t="shared" si="0"/>
        <v>442</v>
      </c>
      <c r="E5" s="258">
        <v>572</v>
      </c>
      <c r="F5" s="258">
        <f t="shared" si="1"/>
        <v>9</v>
      </c>
      <c r="G5" s="258">
        <f t="shared" si="2"/>
        <v>468</v>
      </c>
      <c r="H5" s="258">
        <v>545.99999999999989</v>
      </c>
      <c r="I5" s="269">
        <v>0.442</v>
      </c>
      <c r="J5" s="269">
        <v>0.57199999999999995</v>
      </c>
      <c r="K5" s="269">
        <v>9</v>
      </c>
      <c r="L5" s="281">
        <v>1000</v>
      </c>
      <c r="M5" s="281"/>
      <c r="N5" s="281"/>
      <c r="O5" s="281"/>
    </row>
    <row r="6" spans="2:19" x14ac:dyDescent="0.25">
      <c r="B6" s="258">
        <v>1500</v>
      </c>
      <c r="C6" s="258">
        <v>8.5</v>
      </c>
      <c r="D6" s="258">
        <f t="shared" si="0"/>
        <v>663</v>
      </c>
      <c r="E6" s="258">
        <v>858</v>
      </c>
      <c r="F6" s="258">
        <f t="shared" si="1"/>
        <v>9</v>
      </c>
      <c r="G6" s="258">
        <f t="shared" si="2"/>
        <v>702</v>
      </c>
      <c r="H6" s="258">
        <v>818.99999999999989</v>
      </c>
      <c r="I6" s="269">
        <v>0.442</v>
      </c>
      <c r="J6" s="269">
        <v>0.57199999999999995</v>
      </c>
      <c r="K6" s="269">
        <v>9</v>
      </c>
      <c r="L6" s="281">
        <v>1500</v>
      </c>
      <c r="M6" s="281"/>
      <c r="N6" s="281"/>
      <c r="O6" s="281"/>
    </row>
    <row r="7" spans="2:19" x14ac:dyDescent="0.25">
      <c r="B7" s="258">
        <v>2110</v>
      </c>
      <c r="C7" s="258">
        <v>8.5</v>
      </c>
      <c r="D7" s="258">
        <f t="shared" si="0"/>
        <v>932.62</v>
      </c>
      <c r="E7" s="258">
        <v>1206.9199999999998</v>
      </c>
      <c r="F7" s="258">
        <f t="shared" si="1"/>
        <v>9</v>
      </c>
      <c r="G7" s="258">
        <f t="shared" si="2"/>
        <v>987.4799999999999</v>
      </c>
      <c r="H7" s="258">
        <v>1152.06</v>
      </c>
      <c r="I7" s="269">
        <v>0.442</v>
      </c>
      <c r="J7" s="269">
        <v>0.57199999999999995</v>
      </c>
      <c r="K7" s="269">
        <v>9</v>
      </c>
      <c r="L7" s="281">
        <v>2110</v>
      </c>
      <c r="M7" s="281"/>
      <c r="N7" s="281"/>
      <c r="O7" s="281"/>
    </row>
    <row r="8" spans="2:19" x14ac:dyDescent="0.25">
      <c r="B8" s="258">
        <v>2500</v>
      </c>
      <c r="C8" s="258">
        <v>8.6999999999999993</v>
      </c>
      <c r="D8" s="258">
        <f t="shared" si="0"/>
        <v>1131</v>
      </c>
      <c r="E8" s="258">
        <v>1430</v>
      </c>
      <c r="F8" s="258">
        <f t="shared" si="1"/>
        <v>9.1999999999999993</v>
      </c>
      <c r="G8" s="258">
        <f t="shared" si="2"/>
        <v>1196</v>
      </c>
      <c r="H8" s="258">
        <v>1364.9999999999998</v>
      </c>
      <c r="I8" s="269">
        <v>0.442</v>
      </c>
      <c r="J8" s="269">
        <v>0.57199999999999995</v>
      </c>
      <c r="K8" s="269">
        <v>9</v>
      </c>
      <c r="L8" s="281">
        <v>2500</v>
      </c>
      <c r="M8" s="281"/>
      <c r="N8" s="281"/>
      <c r="O8" s="281"/>
    </row>
    <row r="9" spans="2:19" x14ac:dyDescent="0.25">
      <c r="B9" s="258">
        <v>2600</v>
      </c>
      <c r="C9" s="258">
        <v>8.6999999999999993</v>
      </c>
      <c r="D9" s="258">
        <f t="shared" si="0"/>
        <v>1176.2399999999998</v>
      </c>
      <c r="E9" s="258">
        <v>1622.3999999999999</v>
      </c>
      <c r="F9" s="258">
        <f t="shared" si="1"/>
        <v>9.1999999999999993</v>
      </c>
      <c r="G9" s="258">
        <f t="shared" si="2"/>
        <v>1243.8399999999997</v>
      </c>
      <c r="H9" s="258">
        <v>1554.8</v>
      </c>
      <c r="I9" s="269">
        <v>0.442</v>
      </c>
      <c r="J9" s="269">
        <v>0.624</v>
      </c>
      <c r="K9" s="269">
        <v>9</v>
      </c>
      <c r="L9" s="281">
        <v>2600</v>
      </c>
      <c r="M9" s="281"/>
      <c r="N9" s="281"/>
      <c r="O9" s="281"/>
    </row>
    <row r="10" spans="2:19" x14ac:dyDescent="0.25">
      <c r="B10" s="258">
        <v>3200</v>
      </c>
      <c r="C10" s="258">
        <v>8.6999999999999993</v>
      </c>
      <c r="D10" s="258">
        <v>1414.3999999999999</v>
      </c>
      <c r="E10" s="258">
        <v>1996.8</v>
      </c>
      <c r="F10" s="258">
        <f t="shared" si="1"/>
        <v>9.1999999999999993</v>
      </c>
      <c r="G10" s="258">
        <v>1497.6</v>
      </c>
      <c r="H10" s="258">
        <v>1913.6</v>
      </c>
      <c r="I10" s="269">
        <v>0.442</v>
      </c>
      <c r="J10" s="269">
        <v>0.624</v>
      </c>
      <c r="K10" s="269">
        <v>9</v>
      </c>
      <c r="L10" s="281">
        <v>3200</v>
      </c>
      <c r="M10" s="281"/>
      <c r="N10" s="281"/>
      <c r="O10" s="281"/>
    </row>
    <row r="11" spans="2:19" x14ac:dyDescent="0.25">
      <c r="B11" s="258">
        <v>4000</v>
      </c>
      <c r="C11" s="258">
        <v>8.6999999999999993</v>
      </c>
      <c r="D11" s="258">
        <f t="shared" si="0"/>
        <v>1809.6</v>
      </c>
      <c r="E11" s="258">
        <v>2808</v>
      </c>
      <c r="F11" s="258">
        <f t="shared" si="1"/>
        <v>9.1999999999999993</v>
      </c>
      <c r="G11" s="258">
        <f t="shared" si="2"/>
        <v>1913.6</v>
      </c>
      <c r="H11" s="258">
        <v>2703.9999999999995</v>
      </c>
      <c r="I11" s="269">
        <v>0.442</v>
      </c>
      <c r="J11" s="269">
        <v>0.70199999999999996</v>
      </c>
      <c r="K11" s="269">
        <v>9</v>
      </c>
      <c r="L11" s="281">
        <v>4000</v>
      </c>
      <c r="M11" s="281"/>
      <c r="N11" s="281"/>
      <c r="O11" s="281"/>
    </row>
    <row r="12" spans="2:19" x14ac:dyDescent="0.25">
      <c r="B12" s="258">
        <v>4200</v>
      </c>
      <c r="C12" s="258">
        <v>9</v>
      </c>
      <c r="D12" s="258">
        <f t="shared" si="0"/>
        <v>1965.6</v>
      </c>
      <c r="E12" s="258">
        <v>2878.2</v>
      </c>
      <c r="F12" s="258">
        <f t="shared" si="1"/>
        <v>9.5</v>
      </c>
      <c r="G12" s="258">
        <f t="shared" si="2"/>
        <v>2074.7999999999997</v>
      </c>
      <c r="H12" s="258">
        <v>2771.6</v>
      </c>
      <c r="I12" s="269">
        <v>0.46799999999999997</v>
      </c>
      <c r="J12" s="269">
        <v>0.70199999999999996</v>
      </c>
      <c r="K12" s="269">
        <v>9.5</v>
      </c>
      <c r="L12" s="281">
        <v>4200</v>
      </c>
      <c r="M12" s="281"/>
      <c r="N12" s="281"/>
      <c r="O12" s="281"/>
    </row>
    <row r="13" spans="2:19" x14ac:dyDescent="0.25">
      <c r="B13" s="258">
        <v>5000</v>
      </c>
      <c r="C13" s="258">
        <v>9</v>
      </c>
      <c r="D13" s="258">
        <f t="shared" si="0"/>
        <v>2340</v>
      </c>
      <c r="E13" s="258">
        <v>3640</v>
      </c>
      <c r="F13" s="258">
        <f t="shared" si="1"/>
        <v>9.5</v>
      </c>
      <c r="G13" s="258">
        <f t="shared" si="2"/>
        <v>2470</v>
      </c>
      <c r="H13" s="258">
        <v>3510</v>
      </c>
      <c r="I13" s="269">
        <v>0.46800000000000003</v>
      </c>
      <c r="J13" s="269">
        <v>0.72799999999999998</v>
      </c>
      <c r="K13" s="269">
        <v>9.5</v>
      </c>
      <c r="L13" s="281">
        <v>5000</v>
      </c>
      <c r="M13" s="281"/>
      <c r="N13" s="281"/>
      <c r="O13" s="281"/>
    </row>
    <row r="14" spans="2:19" x14ac:dyDescent="0.25">
      <c r="B14" s="258">
        <v>6000</v>
      </c>
      <c r="C14" s="258">
        <v>9</v>
      </c>
      <c r="D14" s="258">
        <f t="shared" si="0"/>
        <v>2808</v>
      </c>
      <c r="E14" s="258">
        <v>4524</v>
      </c>
      <c r="F14" s="258">
        <f t="shared" si="1"/>
        <v>9.5</v>
      </c>
      <c r="G14" s="258">
        <f t="shared" si="2"/>
        <v>2964</v>
      </c>
      <c r="H14" s="258">
        <v>4368</v>
      </c>
      <c r="I14" s="269">
        <v>0.46800000000000003</v>
      </c>
      <c r="J14" s="269">
        <v>0.754</v>
      </c>
      <c r="K14" s="269">
        <v>9.5</v>
      </c>
      <c r="L14" s="281">
        <v>6000</v>
      </c>
      <c r="M14" s="281"/>
      <c r="N14" s="281"/>
      <c r="O14" s="281"/>
    </row>
    <row r="15" spans="2:19" x14ac:dyDescent="0.25">
      <c r="B15" s="258">
        <v>7000</v>
      </c>
      <c r="C15" s="258">
        <v>9</v>
      </c>
      <c r="D15" s="258">
        <f t="shared" si="0"/>
        <v>3276</v>
      </c>
      <c r="E15" s="258">
        <v>5460</v>
      </c>
      <c r="F15" s="258">
        <f t="shared" si="1"/>
        <v>9.5</v>
      </c>
      <c r="G15" s="258">
        <f t="shared" si="2"/>
        <v>3458</v>
      </c>
      <c r="H15" s="258">
        <v>5278</v>
      </c>
      <c r="I15" s="269">
        <v>0.46800000000000003</v>
      </c>
      <c r="J15" s="269">
        <v>0.77999999999999992</v>
      </c>
      <c r="K15" s="269">
        <v>9.5</v>
      </c>
      <c r="L15" s="281">
        <v>7000</v>
      </c>
      <c r="M15" s="281"/>
      <c r="N15" s="281"/>
      <c r="O15" s="281"/>
    </row>
    <row r="16" spans="2:19" x14ac:dyDescent="0.25">
      <c r="B16" s="258">
        <v>8000</v>
      </c>
      <c r="C16" s="258">
        <v>9</v>
      </c>
      <c r="D16" s="258">
        <f t="shared" si="0"/>
        <v>3744</v>
      </c>
      <c r="E16" s="258">
        <v>6531.2</v>
      </c>
      <c r="F16" s="258">
        <f t="shared" si="1"/>
        <v>9.5</v>
      </c>
      <c r="G16" s="258">
        <f t="shared" si="2"/>
        <v>3952</v>
      </c>
      <c r="H16" s="258">
        <v>6323.1999999999989</v>
      </c>
      <c r="I16" s="269">
        <v>0.49399999999999999</v>
      </c>
      <c r="J16" s="269">
        <v>0.8163999999999999</v>
      </c>
      <c r="K16" s="269">
        <v>10</v>
      </c>
      <c r="L16" s="281">
        <v>8000</v>
      </c>
      <c r="M16" s="281"/>
      <c r="N16" s="281"/>
      <c r="O16" s="281"/>
    </row>
    <row r="17" spans="2:19" x14ac:dyDescent="0.25">
      <c r="B17" s="258">
        <v>8100</v>
      </c>
      <c r="C17" s="258">
        <v>9.5</v>
      </c>
      <c r="D17" s="258">
        <f t="shared" si="0"/>
        <v>4001.3999999999996</v>
      </c>
      <c r="E17" s="258">
        <v>6612.84</v>
      </c>
      <c r="F17" s="258">
        <f t="shared" si="1"/>
        <v>10</v>
      </c>
      <c r="G17" s="258">
        <f t="shared" si="2"/>
        <v>4212</v>
      </c>
      <c r="H17" s="258">
        <v>6402.2399999999989</v>
      </c>
      <c r="I17" s="269">
        <v>0.49399999999999994</v>
      </c>
      <c r="J17" s="269">
        <v>0.8163999999999999</v>
      </c>
      <c r="K17" s="269">
        <v>10</v>
      </c>
      <c r="L17" s="281">
        <v>8100</v>
      </c>
      <c r="M17" s="281"/>
      <c r="N17" s="281"/>
      <c r="O17" s="281"/>
    </row>
    <row r="18" spans="2:19" x14ac:dyDescent="0.25">
      <c r="B18" s="258">
        <v>8150</v>
      </c>
      <c r="C18" s="258">
        <v>9.5</v>
      </c>
      <c r="D18" s="258">
        <f t="shared" si="0"/>
        <v>4026.1</v>
      </c>
      <c r="E18" s="258">
        <v>6653.66</v>
      </c>
      <c r="F18" s="258">
        <f t="shared" si="1"/>
        <v>10</v>
      </c>
      <c r="G18" s="258">
        <f t="shared" si="2"/>
        <v>4238</v>
      </c>
      <c r="H18" s="258">
        <v>6441.7599999999993</v>
      </c>
      <c r="I18" s="269">
        <v>0.49399999999999999</v>
      </c>
      <c r="J18" s="269">
        <v>0.8163999999999999</v>
      </c>
      <c r="K18" s="269">
        <v>10</v>
      </c>
      <c r="L18" s="281">
        <v>8150</v>
      </c>
      <c r="M18" s="281"/>
      <c r="N18" s="281"/>
      <c r="O18" s="281"/>
    </row>
    <row r="19" spans="2:19" x14ac:dyDescent="0.25">
      <c r="B19" s="258">
        <v>8200</v>
      </c>
      <c r="C19" s="258">
        <v>9.5</v>
      </c>
      <c r="D19" s="258">
        <f t="shared" si="0"/>
        <v>4050.7999999999997</v>
      </c>
      <c r="E19" s="258">
        <v>6694.48</v>
      </c>
      <c r="F19" s="258">
        <f t="shared" si="1"/>
        <v>10</v>
      </c>
      <c r="G19" s="258">
        <f t="shared" si="2"/>
        <v>4264</v>
      </c>
      <c r="H19" s="258">
        <v>6481.2799999999988</v>
      </c>
      <c r="I19" s="269">
        <v>0.49399999999999994</v>
      </c>
      <c r="J19" s="269">
        <v>0.8163999999999999</v>
      </c>
      <c r="K19" s="269">
        <v>10</v>
      </c>
      <c r="L19" s="281">
        <v>8200</v>
      </c>
      <c r="M19" s="281"/>
      <c r="N19" s="281"/>
      <c r="O19" s="281"/>
    </row>
    <row r="20" spans="2:19" x14ac:dyDescent="0.25">
      <c r="B20" s="258">
        <v>8250</v>
      </c>
      <c r="C20" s="258">
        <v>9.5</v>
      </c>
      <c r="D20" s="258">
        <f t="shared" si="0"/>
        <v>4075.5</v>
      </c>
      <c r="E20" s="258">
        <v>6735.2999999999993</v>
      </c>
      <c r="F20" s="258">
        <f t="shared" si="1"/>
        <v>10</v>
      </c>
      <c r="G20" s="258">
        <f t="shared" si="2"/>
        <v>4290</v>
      </c>
      <c r="H20" s="258">
        <v>6520.7999999999993</v>
      </c>
      <c r="I20" s="269">
        <v>0.49399999999999999</v>
      </c>
      <c r="J20" s="269">
        <v>0.8163999999999999</v>
      </c>
      <c r="K20" s="269">
        <v>10</v>
      </c>
      <c r="L20" s="281">
        <v>8250</v>
      </c>
      <c r="M20" s="281"/>
      <c r="N20" s="281"/>
      <c r="O20" s="281"/>
    </row>
    <row r="21" spans="2:19" x14ac:dyDescent="0.25">
      <c r="B21" s="258">
        <v>8300</v>
      </c>
      <c r="C21" s="258">
        <v>9.5</v>
      </c>
      <c r="D21" s="258">
        <f t="shared" si="0"/>
        <v>4100.2</v>
      </c>
      <c r="E21" s="258">
        <v>6776.12</v>
      </c>
      <c r="F21" s="258">
        <f t="shared" si="1"/>
        <v>10</v>
      </c>
      <c r="G21" s="258">
        <f t="shared" si="2"/>
        <v>4316</v>
      </c>
      <c r="H21" s="258">
        <v>6560.3199999999988</v>
      </c>
      <c r="I21" s="269">
        <v>0.49399999999999999</v>
      </c>
      <c r="J21" s="269">
        <v>0.8163999999999999</v>
      </c>
      <c r="K21" s="269">
        <v>10</v>
      </c>
      <c r="L21" s="281">
        <v>8300</v>
      </c>
      <c r="M21" s="281"/>
      <c r="N21" s="281"/>
      <c r="O21" s="281"/>
    </row>
    <row r="22" spans="2:19" x14ac:dyDescent="0.25">
      <c r="B22" s="258">
        <v>8350</v>
      </c>
      <c r="C22" s="258">
        <v>9.5</v>
      </c>
      <c r="D22" s="258">
        <f t="shared" si="0"/>
        <v>4124.8999999999996</v>
      </c>
      <c r="E22" s="258">
        <v>6816.94</v>
      </c>
      <c r="F22" s="258">
        <f t="shared" si="1"/>
        <v>10</v>
      </c>
      <c r="G22" s="258">
        <f t="shared" si="2"/>
        <v>4342</v>
      </c>
      <c r="H22" s="258">
        <v>6599.8399999999992</v>
      </c>
      <c r="I22" s="269">
        <v>0.49399999999999994</v>
      </c>
      <c r="J22" s="269">
        <v>0.8163999999999999</v>
      </c>
      <c r="K22" s="269">
        <v>10</v>
      </c>
      <c r="L22" s="281">
        <v>8350</v>
      </c>
      <c r="M22" s="281"/>
      <c r="N22" s="281"/>
      <c r="O22" s="281"/>
    </row>
    <row r="23" spans="2:19" x14ac:dyDescent="0.25">
      <c r="B23" s="258">
        <v>8400</v>
      </c>
      <c r="C23" s="258">
        <v>9.5</v>
      </c>
      <c r="D23" s="258">
        <f t="shared" si="0"/>
        <v>4149.5999999999995</v>
      </c>
      <c r="E23" s="258">
        <v>6857.7599999999993</v>
      </c>
      <c r="F23" s="258">
        <f t="shared" si="1"/>
        <v>10</v>
      </c>
      <c r="G23" s="258">
        <f t="shared" si="2"/>
        <v>4368</v>
      </c>
      <c r="H23" s="258">
        <v>6639.3599999999988</v>
      </c>
      <c r="I23" s="269">
        <v>0.49399999999999994</v>
      </c>
      <c r="J23" s="269">
        <v>0.8163999999999999</v>
      </c>
      <c r="K23" s="269">
        <v>10</v>
      </c>
      <c r="L23" s="281">
        <v>8400</v>
      </c>
      <c r="M23" s="281"/>
      <c r="N23" s="281"/>
      <c r="O23" s="281"/>
    </row>
    <row r="24" spans="2:19" x14ac:dyDescent="0.25">
      <c r="B24" s="258">
        <v>8450</v>
      </c>
      <c r="C24" s="258">
        <v>9.5</v>
      </c>
      <c r="D24" s="258">
        <f t="shared" si="0"/>
        <v>4174.3</v>
      </c>
      <c r="E24" s="258">
        <v>6898.58</v>
      </c>
      <c r="F24" s="258">
        <f t="shared" si="1"/>
        <v>10</v>
      </c>
      <c r="G24" s="258">
        <f t="shared" si="2"/>
        <v>4394</v>
      </c>
      <c r="H24" s="258">
        <v>6678.8799999999992</v>
      </c>
      <c r="I24" s="269">
        <v>0.49399999999999999</v>
      </c>
      <c r="J24" s="269">
        <v>0.8163999999999999</v>
      </c>
      <c r="K24" s="269">
        <v>10</v>
      </c>
      <c r="L24" s="281">
        <v>8450</v>
      </c>
      <c r="M24" s="281"/>
      <c r="N24" s="281"/>
      <c r="O24" s="281"/>
    </row>
    <row r="25" spans="2:19" x14ac:dyDescent="0.25">
      <c r="B25" s="258">
        <v>8460</v>
      </c>
      <c r="C25" s="258">
        <v>9.5</v>
      </c>
      <c r="D25" s="258">
        <f t="shared" si="0"/>
        <v>4179.24</v>
      </c>
      <c r="E25" s="258">
        <v>6906.7439999999997</v>
      </c>
      <c r="F25" s="258">
        <f t="shared" si="1"/>
        <v>10</v>
      </c>
      <c r="G25" s="258">
        <f t="shared" si="2"/>
        <v>4399.2</v>
      </c>
      <c r="H25" s="258">
        <v>6686.7839999999987</v>
      </c>
      <c r="I25" s="269">
        <v>0.49399999999999999</v>
      </c>
      <c r="J25" s="269">
        <v>0.8163999999999999</v>
      </c>
      <c r="K25" s="269">
        <v>10</v>
      </c>
      <c r="L25" s="281">
        <v>8460</v>
      </c>
      <c r="M25" s="281"/>
      <c r="N25" s="281"/>
      <c r="O25" s="281"/>
    </row>
    <row r="26" spans="2:19" x14ac:dyDescent="0.25">
      <c r="B26" s="258">
        <v>8500</v>
      </c>
      <c r="C26" s="258">
        <v>9.5</v>
      </c>
      <c r="D26" s="258">
        <f t="shared" si="0"/>
        <v>4199</v>
      </c>
      <c r="E26" s="258">
        <v>6939.4</v>
      </c>
      <c r="F26" s="258">
        <f t="shared" si="1"/>
        <v>10</v>
      </c>
      <c r="G26" s="258">
        <f t="shared" si="2"/>
        <v>4420</v>
      </c>
      <c r="H26" s="258">
        <v>6718.3999999999987</v>
      </c>
      <c r="I26" s="269">
        <v>0.49399999999999999</v>
      </c>
      <c r="J26" s="269">
        <v>0.8163999999999999</v>
      </c>
      <c r="K26" s="269">
        <v>10</v>
      </c>
      <c r="L26" s="281">
        <v>8500</v>
      </c>
      <c r="M26" s="281"/>
      <c r="N26" s="281"/>
      <c r="O26" s="281"/>
    </row>
    <row r="27" spans="2:19" x14ac:dyDescent="0.25">
      <c r="B27" s="258">
        <v>8550</v>
      </c>
      <c r="C27" s="258">
        <v>9.5</v>
      </c>
      <c r="D27" s="258">
        <f t="shared" si="0"/>
        <v>4223.7</v>
      </c>
      <c r="E27" s="258">
        <v>6980.2199999999993</v>
      </c>
      <c r="F27" s="258">
        <f t="shared" si="1"/>
        <v>10</v>
      </c>
      <c r="G27" s="258">
        <f t="shared" si="2"/>
        <v>4446</v>
      </c>
      <c r="H27" s="258">
        <v>6757.9199999999992</v>
      </c>
      <c r="I27" s="269">
        <v>0.49399999999999999</v>
      </c>
      <c r="J27" s="269">
        <v>0.8163999999999999</v>
      </c>
      <c r="K27" s="269">
        <v>10</v>
      </c>
      <c r="L27" s="281">
        <v>8550</v>
      </c>
      <c r="M27" s="281"/>
      <c r="N27" s="281"/>
      <c r="O27" s="281"/>
    </row>
    <row r="28" spans="2:19" x14ac:dyDescent="0.25">
      <c r="B28" s="258">
        <v>8600</v>
      </c>
      <c r="C28" s="258">
        <v>9.5</v>
      </c>
      <c r="D28" s="258">
        <f t="shared" si="0"/>
        <v>4248.3999999999996</v>
      </c>
      <c r="E28" s="258">
        <v>7021.04</v>
      </c>
      <c r="F28" s="258">
        <f t="shared" si="1"/>
        <v>10</v>
      </c>
      <c r="G28" s="258">
        <f t="shared" si="2"/>
        <v>4472</v>
      </c>
      <c r="H28" s="258">
        <v>6797.4399999999987</v>
      </c>
      <c r="I28" s="269">
        <v>0.49399999999999994</v>
      </c>
      <c r="J28" s="269">
        <v>0.8163999999999999</v>
      </c>
      <c r="K28" s="269">
        <v>10</v>
      </c>
      <c r="L28" s="281">
        <v>8600</v>
      </c>
      <c r="M28" s="281"/>
      <c r="N28" s="281"/>
      <c r="O28" s="281"/>
    </row>
    <row r="29" spans="2:19" x14ac:dyDescent="0.25">
      <c r="B29" s="258">
        <v>8650</v>
      </c>
      <c r="C29" s="258">
        <v>9.5</v>
      </c>
      <c r="D29" s="258">
        <f t="shared" si="0"/>
        <v>4273.0999999999995</v>
      </c>
      <c r="E29" s="258">
        <v>7061.86</v>
      </c>
      <c r="F29" s="258">
        <f t="shared" si="1"/>
        <v>10</v>
      </c>
      <c r="G29" s="258">
        <f t="shared" si="2"/>
        <v>4498</v>
      </c>
      <c r="H29" s="258">
        <v>6836.9599999999991</v>
      </c>
      <c r="I29" s="269">
        <v>0.49399999999999994</v>
      </c>
      <c r="J29" s="269">
        <v>0.8163999999999999</v>
      </c>
      <c r="K29" s="269">
        <v>10</v>
      </c>
      <c r="L29" s="281">
        <v>8650</v>
      </c>
      <c r="M29" s="281"/>
      <c r="N29" s="281"/>
      <c r="O29" s="281"/>
    </row>
    <row r="30" spans="2:19" x14ac:dyDescent="0.25">
      <c r="B30" s="258">
        <v>8700</v>
      </c>
      <c r="C30" s="258">
        <v>9.5</v>
      </c>
      <c r="D30" s="258">
        <f t="shared" si="0"/>
        <v>4297.8</v>
      </c>
      <c r="E30" s="258">
        <v>7102.6799999999994</v>
      </c>
      <c r="F30" s="258">
        <f t="shared" si="1"/>
        <v>10</v>
      </c>
      <c r="G30" s="258">
        <f t="shared" si="2"/>
        <v>4524</v>
      </c>
      <c r="H30" s="258">
        <v>6876.4799999999987</v>
      </c>
      <c r="I30" s="269">
        <v>0.49399999999999999</v>
      </c>
      <c r="J30" s="269">
        <v>0.8163999999999999</v>
      </c>
      <c r="K30" s="269">
        <v>10</v>
      </c>
      <c r="L30" s="281">
        <v>8700</v>
      </c>
      <c r="M30" s="281"/>
      <c r="N30" s="281"/>
      <c r="O30" s="281"/>
      <c r="Q30" s="240" t="s">
        <v>119</v>
      </c>
      <c r="R30" s="240">
        <v>0.1</v>
      </c>
      <c r="S30" s="240"/>
    </row>
    <row r="31" spans="2:19" x14ac:dyDescent="0.25">
      <c r="B31" s="258">
        <v>8750</v>
      </c>
      <c r="C31" s="258">
        <v>9.5</v>
      </c>
      <c r="D31" s="258">
        <f t="shared" si="0"/>
        <v>4322.5</v>
      </c>
      <c r="E31" s="258">
        <v>7143.5</v>
      </c>
      <c r="F31" s="258">
        <f t="shared" si="1"/>
        <v>10</v>
      </c>
      <c r="G31" s="258">
        <f t="shared" si="2"/>
        <v>4550</v>
      </c>
      <c r="H31" s="258">
        <v>6915.9999999999991</v>
      </c>
      <c r="I31" s="269">
        <v>0.49399999999999999</v>
      </c>
      <c r="J31" s="269">
        <v>0.8163999999999999</v>
      </c>
      <c r="K31" s="269">
        <v>10</v>
      </c>
      <c r="L31" s="281">
        <v>8750</v>
      </c>
      <c r="M31" s="281"/>
      <c r="N31" s="281"/>
      <c r="O31" s="281"/>
      <c r="Q31" s="240"/>
      <c r="R31" s="19" t="s">
        <v>120</v>
      </c>
      <c r="S31" s="19" t="s">
        <v>121</v>
      </c>
    </row>
    <row r="32" spans="2:19" x14ac:dyDescent="0.25">
      <c r="B32" s="258">
        <v>8800</v>
      </c>
      <c r="C32" s="258">
        <v>9.5</v>
      </c>
      <c r="D32" s="258">
        <f t="shared" si="0"/>
        <v>4347.2</v>
      </c>
      <c r="E32" s="258">
        <v>7184.32</v>
      </c>
      <c r="F32" s="258">
        <f t="shared" si="1"/>
        <v>10</v>
      </c>
      <c r="G32" s="258">
        <f t="shared" si="2"/>
        <v>4576</v>
      </c>
      <c r="H32" s="258">
        <v>6955.5199999999986</v>
      </c>
      <c r="I32" s="269">
        <v>0.49399999999999999</v>
      </c>
      <c r="J32" s="269">
        <v>0.8163999999999999</v>
      </c>
      <c r="K32" s="269">
        <v>10</v>
      </c>
      <c r="L32" s="281">
        <v>8800</v>
      </c>
      <c r="M32" s="281"/>
      <c r="N32" s="281"/>
      <c r="O32" s="281"/>
      <c r="Q32" s="661" t="s">
        <v>122</v>
      </c>
      <c r="R32" s="19">
        <v>6000</v>
      </c>
      <c r="S32" s="19">
        <f>S33-(R33-R32)*$R$30</f>
        <v>4380</v>
      </c>
    </row>
    <row r="33" spans="2:28" x14ac:dyDescent="0.25">
      <c r="B33" s="258">
        <v>8850</v>
      </c>
      <c r="C33" s="258">
        <v>9.5</v>
      </c>
      <c r="D33" s="258">
        <f t="shared" si="0"/>
        <v>4371.8999999999996</v>
      </c>
      <c r="E33" s="258">
        <v>7225.1399999999994</v>
      </c>
      <c r="F33" s="258">
        <f t="shared" si="1"/>
        <v>10</v>
      </c>
      <c r="G33" s="258">
        <f t="shared" si="2"/>
        <v>4602</v>
      </c>
      <c r="H33" s="258">
        <v>6995.0399999999991</v>
      </c>
      <c r="I33" s="269">
        <v>0.49399999999999994</v>
      </c>
      <c r="J33" s="269">
        <v>0.8163999999999999</v>
      </c>
      <c r="K33" s="269">
        <v>10</v>
      </c>
      <c r="L33" s="281">
        <v>8850</v>
      </c>
      <c r="M33" s="281"/>
      <c r="N33" s="281"/>
      <c r="O33" s="281"/>
      <c r="Q33" s="662"/>
      <c r="R33" s="219">
        <v>9000</v>
      </c>
      <c r="S33" s="19">
        <v>4680</v>
      </c>
    </row>
    <row r="34" spans="2:28" ht="15.75" thickBot="1" x14ac:dyDescent="0.3">
      <c r="B34" s="258">
        <v>8900</v>
      </c>
      <c r="C34" s="258">
        <v>9.5</v>
      </c>
      <c r="D34" s="258">
        <f t="shared" si="0"/>
        <v>4396.5999999999995</v>
      </c>
      <c r="E34" s="258">
        <v>7265.96</v>
      </c>
      <c r="F34" s="258">
        <f t="shared" si="1"/>
        <v>10</v>
      </c>
      <c r="G34" s="258">
        <f t="shared" si="2"/>
        <v>4628</v>
      </c>
      <c r="H34" s="258">
        <v>7034.5599999999986</v>
      </c>
      <c r="I34" s="269">
        <v>0.49399999999999994</v>
      </c>
      <c r="J34" s="269">
        <v>0.8163999999999999</v>
      </c>
      <c r="K34" s="269">
        <v>10</v>
      </c>
      <c r="L34" s="281">
        <v>8900</v>
      </c>
      <c r="M34" s="281"/>
      <c r="N34" s="281"/>
      <c r="O34" s="281"/>
      <c r="Q34" s="661" t="s">
        <v>123</v>
      </c>
      <c r="R34" s="19">
        <f>R32</f>
        <v>6000</v>
      </c>
      <c r="S34" s="19">
        <f>S32</f>
        <v>4380</v>
      </c>
    </row>
    <row r="35" spans="2:28" x14ac:dyDescent="0.25">
      <c r="B35" s="258">
        <v>8950</v>
      </c>
      <c r="C35" s="258">
        <v>9.5</v>
      </c>
      <c r="D35" s="258">
        <f t="shared" si="0"/>
        <v>4421.3</v>
      </c>
      <c r="E35" s="258">
        <v>7306.78</v>
      </c>
      <c r="F35" s="258">
        <f t="shared" si="1"/>
        <v>10</v>
      </c>
      <c r="G35" s="258">
        <f t="shared" si="2"/>
        <v>4654</v>
      </c>
      <c r="H35" s="258">
        <v>7074.079999999999</v>
      </c>
      <c r="I35" s="269">
        <v>0.49399999999999999</v>
      </c>
      <c r="J35" s="269">
        <v>0.8163999999999999</v>
      </c>
      <c r="K35" s="269">
        <v>10</v>
      </c>
      <c r="L35" s="281">
        <v>8950</v>
      </c>
      <c r="M35" s="281"/>
      <c r="N35" s="281"/>
      <c r="O35" s="281"/>
      <c r="Q35" s="662"/>
      <c r="R35" s="19">
        <f>R32</f>
        <v>6000</v>
      </c>
      <c r="S35" s="19">
        <v>2964</v>
      </c>
      <c r="V35" s="665"/>
      <c r="W35" s="666"/>
      <c r="X35" s="280" t="s">
        <v>124</v>
      </c>
      <c r="Y35" s="279" t="s">
        <v>125</v>
      </c>
      <c r="Z35" s="279" t="s">
        <v>126</v>
      </c>
      <c r="AA35" s="279" t="s">
        <v>127</v>
      </c>
      <c r="AB35" s="278" t="s">
        <v>128</v>
      </c>
    </row>
    <row r="36" spans="2:28" x14ac:dyDescent="0.25">
      <c r="B36" s="258">
        <v>9000</v>
      </c>
      <c r="C36" s="258">
        <v>9.5</v>
      </c>
      <c r="D36" s="258">
        <f t="shared" si="0"/>
        <v>4446</v>
      </c>
      <c r="E36" s="258">
        <v>7347.5999999999995</v>
      </c>
      <c r="F36" s="258">
        <f t="shared" si="1"/>
        <v>10</v>
      </c>
      <c r="G36" s="258">
        <f t="shared" si="2"/>
        <v>4680</v>
      </c>
      <c r="H36" s="258">
        <v>7113.5999999999985</v>
      </c>
      <c r="I36" s="269">
        <v>0.49399999999999999</v>
      </c>
      <c r="J36" s="269">
        <v>0.8163999999999999</v>
      </c>
      <c r="K36" s="269">
        <v>10</v>
      </c>
      <c r="L36" s="281">
        <v>9000</v>
      </c>
      <c r="M36" s="281"/>
      <c r="N36" s="281"/>
      <c r="O36" s="281"/>
      <c r="Q36" s="661" t="s">
        <v>129</v>
      </c>
      <c r="R36" s="19">
        <v>4100</v>
      </c>
      <c r="S36" s="19">
        <f>S37-(R37-R36)*$R30</f>
        <v>2774</v>
      </c>
      <c r="V36" s="230" t="s">
        <v>130</v>
      </c>
      <c r="W36" s="244"/>
      <c r="X36" s="71">
        <v>600</v>
      </c>
      <c r="Y36" s="268">
        <f>R45</f>
        <v>3300</v>
      </c>
      <c r="Z36" s="240">
        <f>R41</f>
        <v>4100</v>
      </c>
      <c r="AA36" s="276">
        <f>R37</f>
        <v>6000</v>
      </c>
      <c r="AB36" s="277">
        <f>R33</f>
        <v>9000</v>
      </c>
    </row>
    <row r="37" spans="2:28" x14ac:dyDescent="0.25">
      <c r="C37">
        <v>9.5</v>
      </c>
      <c r="E37">
        <v>8684</v>
      </c>
      <c r="H37">
        <v>8424</v>
      </c>
      <c r="L37" s="56"/>
      <c r="M37" s="281"/>
      <c r="N37" s="281"/>
      <c r="O37" s="281"/>
      <c r="Q37" s="662"/>
      <c r="R37" s="276">
        <f>R32</f>
        <v>6000</v>
      </c>
      <c r="S37" s="19">
        <f>S35</f>
        <v>2964</v>
      </c>
      <c r="V37" s="230" t="s">
        <v>131</v>
      </c>
      <c r="W37" s="244"/>
      <c r="X37" s="275">
        <f>D5</f>
        <v>442</v>
      </c>
      <c r="Y37" s="19">
        <f>W43</f>
        <v>1630.2000000000003</v>
      </c>
      <c r="Z37" s="19">
        <f>W47</f>
        <v>3198</v>
      </c>
      <c r="AA37" s="274">
        <f>D26</f>
        <v>4199</v>
      </c>
      <c r="AB37" s="263" t="e">
        <f>Z52</f>
        <v>#N/A</v>
      </c>
    </row>
    <row r="38" spans="2:28" ht="15.75" thickBot="1" x14ac:dyDescent="0.3">
      <c r="C38">
        <v>9.5</v>
      </c>
      <c r="E38">
        <v>9664.1999999999989</v>
      </c>
      <c r="H38">
        <v>9391.1999999999989</v>
      </c>
      <c r="L38" s="281"/>
      <c r="M38" s="56"/>
      <c r="N38" s="56"/>
      <c r="O38" s="56"/>
      <c r="Q38" s="661" t="s">
        <v>132</v>
      </c>
      <c r="R38" s="19">
        <f>R36</f>
        <v>4100</v>
      </c>
      <c r="S38" s="19">
        <f>S36</f>
        <v>2774</v>
      </c>
      <c r="V38" s="273" t="s">
        <v>133</v>
      </c>
      <c r="W38" s="272"/>
      <c r="X38" s="271">
        <f>E5</f>
        <v>572</v>
      </c>
      <c r="Y38" s="262">
        <f>X43</f>
        <v>3346.2</v>
      </c>
      <c r="Z38" s="262">
        <f>X47</f>
        <v>1439.0999999999963</v>
      </c>
      <c r="AA38" s="270">
        <f>E26</f>
        <v>6939.4</v>
      </c>
      <c r="AB38" s="261" t="e">
        <f>AA52</f>
        <v>#N/A</v>
      </c>
    </row>
    <row r="39" spans="2:28" x14ac:dyDescent="0.25">
      <c r="C39">
        <v>9.5</v>
      </c>
      <c r="M39" s="281"/>
      <c r="N39" s="281"/>
      <c r="O39" s="281"/>
      <c r="Q39" s="662"/>
      <c r="R39" s="19">
        <f>R36</f>
        <v>4100</v>
      </c>
      <c r="S39" s="19">
        <f>G12</f>
        <v>2074.7999999999997</v>
      </c>
    </row>
    <row r="40" spans="2:28" x14ac:dyDescent="0.25">
      <c r="N40" s="23" t="s">
        <v>134</v>
      </c>
      <c r="O40" s="19">
        <v>500</v>
      </c>
      <c r="P40" s="19">
        <f>P41-((O41-O40)*R30)</f>
        <v>1745.3999999999999</v>
      </c>
      <c r="Q40" s="661" t="s">
        <v>126</v>
      </c>
      <c r="R40" s="19">
        <v>3300</v>
      </c>
      <c r="S40" s="19">
        <f>S41-((R41-R40)*R30)</f>
        <v>1994.7999999999997</v>
      </c>
    </row>
    <row r="41" spans="2:28" x14ac:dyDescent="0.25">
      <c r="N41" s="28"/>
      <c r="O41" s="19">
        <v>3300</v>
      </c>
      <c r="P41" s="19">
        <v>2025.3999999999999</v>
      </c>
      <c r="Q41" s="662"/>
      <c r="R41" s="240">
        <v>4100</v>
      </c>
      <c r="S41" s="19">
        <f>S39</f>
        <v>2074.7999999999997</v>
      </c>
      <c r="U41" s="19"/>
      <c r="V41" s="19" t="s">
        <v>135</v>
      </c>
      <c r="W41" s="19" t="s">
        <v>136</v>
      </c>
      <c r="X41" s="19" t="s">
        <v>137</v>
      </c>
    </row>
    <row r="42" spans="2:28" x14ac:dyDescent="0.25">
      <c r="N42" s="23" t="s">
        <v>138</v>
      </c>
      <c r="O42" s="19">
        <f>O40</f>
        <v>500</v>
      </c>
      <c r="P42" s="19">
        <f>P40</f>
        <v>1745.3999999999999</v>
      </c>
      <c r="Q42" s="661" t="s">
        <v>139</v>
      </c>
      <c r="R42" s="19">
        <f>R40</f>
        <v>3300</v>
      </c>
      <c r="S42" s="19">
        <f>S40</f>
        <v>1994.7999999999997</v>
      </c>
      <c r="U42" s="663" t="s">
        <v>134</v>
      </c>
      <c r="V42" s="19" cm="1">
        <f t="array" ref="V42">IFERROR(INDEX(B2:B36, MAX(IF(B2:B36 &lt; V43, ROW(B2:B36)-ROW(B2)+1))), "No lower value")</f>
        <v>3200</v>
      </c>
      <c r="W42" s="19">
        <f>_xlfn.XLOOKUP(V42,B3:B36,D3:D36)</f>
        <v>1414.3999999999999</v>
      </c>
      <c r="X42" s="19">
        <f>_xlfn.XLOOKUP(V42,B3:B36,E3:E36)</f>
        <v>1996.8</v>
      </c>
    </row>
    <row r="43" spans="2:28" x14ac:dyDescent="0.25">
      <c r="N43" s="28"/>
      <c r="O43" s="19">
        <f>O40</f>
        <v>500</v>
      </c>
      <c r="P43" s="19">
        <v>234</v>
      </c>
      <c r="Q43" s="662"/>
      <c r="R43" s="19">
        <f>R42</f>
        <v>3300</v>
      </c>
      <c r="S43" s="19">
        <v>1544</v>
      </c>
      <c r="U43" s="663"/>
      <c r="V43" s="268">
        <f>Y36</f>
        <v>3300</v>
      </c>
      <c r="W43" s="19">
        <f>((W42-W44)/($V$42-$V$44))*$V$43</f>
        <v>1630.2000000000003</v>
      </c>
      <c r="X43" s="19">
        <f>((X42-X44)/($V$42-$V$44))*$V$43</f>
        <v>3346.2</v>
      </c>
    </row>
    <row r="44" spans="2:28" x14ac:dyDescent="0.25">
      <c r="Q44" s="661" t="s">
        <v>134</v>
      </c>
      <c r="R44" s="19">
        <v>500</v>
      </c>
      <c r="S44" s="19">
        <f>S45-(R45-R44)*$R$30</f>
        <v>1264</v>
      </c>
      <c r="U44" s="663"/>
      <c r="V44" s="19" cm="1">
        <f t="array" ref="V44">INDEX(B3:B36,MATCH(TRUE,B3:B36&gt;V43,0))</f>
        <v>4000</v>
      </c>
      <c r="W44" s="19">
        <f>_xlfn.XLOOKUP(V44,B3:B36,D3:D36)</f>
        <v>1809.6</v>
      </c>
      <c r="X44" s="19">
        <f>_xlfn.XLOOKUP(V44,B3:B36,E3:E36)</f>
        <v>2808</v>
      </c>
    </row>
    <row r="45" spans="2:28" ht="15.75" thickBot="1" x14ac:dyDescent="0.3">
      <c r="Q45" s="664"/>
      <c r="R45" s="267">
        <f>R43</f>
        <v>3300</v>
      </c>
      <c r="S45" s="31">
        <f>S43</f>
        <v>1544</v>
      </c>
      <c r="U45" s="19"/>
      <c r="V45" s="19"/>
      <c r="W45" s="19"/>
      <c r="X45" s="19"/>
    </row>
    <row r="46" spans="2:28" x14ac:dyDescent="0.25">
      <c r="Q46" s="266"/>
      <c r="R46" s="265" t="s">
        <v>140</v>
      </c>
      <c r="S46" s="264" t="s">
        <v>141</v>
      </c>
      <c r="U46" s="667" t="s">
        <v>126</v>
      </c>
      <c r="V46" s="19" cm="1">
        <f t="array" ref="V46">IFERROR(INDEX(B2:B36, MAX(IF(B2:B36 &lt; V47, ROW(B2:B36)-ROW(B2)+1))), "No lower value")</f>
        <v>4000</v>
      </c>
      <c r="W46" s="19">
        <f>_xlfn.XLOOKUP(V46,B3:B36,D3:D36)</f>
        <v>1809.6</v>
      </c>
      <c r="X46" s="19">
        <f>_xlfn.XLOOKUP(V46,$B$3:$B$36,E3:E36)</f>
        <v>2808</v>
      </c>
    </row>
    <row r="47" spans="2:28" x14ac:dyDescent="0.25">
      <c r="Q47" s="71" t="s">
        <v>142</v>
      </c>
      <c r="R47" s="19">
        <f>8200</f>
        <v>8200</v>
      </c>
      <c r="S47" s="263">
        <f>D19</f>
        <v>4050.7999999999997</v>
      </c>
      <c r="U47" s="668"/>
      <c r="V47" s="240">
        <f>Z36</f>
        <v>4100</v>
      </c>
      <c r="W47" s="19">
        <f>((W46-W48)/($V$46-$V$48))*$V$47</f>
        <v>3198</v>
      </c>
      <c r="X47" s="19">
        <f>((X46-X48)/($V$46-$V$48))*$V$47</f>
        <v>1439.0999999999963</v>
      </c>
    </row>
    <row r="48" spans="2:28" ht="15.75" thickBot="1" x14ac:dyDescent="0.3">
      <c r="Q48" s="65" t="s">
        <v>143</v>
      </c>
      <c r="R48" s="262">
        <f>R32</f>
        <v>6000</v>
      </c>
      <c r="S48" s="261">
        <f>D14</f>
        <v>2808</v>
      </c>
      <c r="U48" s="669"/>
      <c r="V48" s="19" cm="1">
        <f t="array" ref="V48">INDEX(B3:B36,MATCH(TRUE,B3:B36&gt;V47,0))</f>
        <v>4200</v>
      </c>
      <c r="W48" s="19">
        <f>_xlfn.XLOOKUP(V48,$B$3:$B$36,D3:D36)</f>
        <v>1965.6</v>
      </c>
      <c r="X48" s="19">
        <f>_xlfn.XLOOKUP(V48,$B$3:$B$36,E3:E36)</f>
        <v>2878.2</v>
      </c>
    </row>
    <row r="49" spans="17:27" ht="15.75" thickBot="1" x14ac:dyDescent="0.3">
      <c r="Q49" t="s">
        <v>144</v>
      </c>
      <c r="R49" s="33">
        <v>8100</v>
      </c>
      <c r="S49" s="261">
        <f>D17</f>
        <v>4001.3999999999996</v>
      </c>
    </row>
    <row r="51" spans="17:27" x14ac:dyDescent="0.25">
      <c r="X51" s="663" t="s">
        <v>145</v>
      </c>
      <c r="Y51" s="19" cm="1">
        <f t="array" ref="Y51">IFERROR(INDEX(B2:B36, MAX(IF(B2:B36 &lt; Y52, ROW(B2:B36)-ROW(B2)+1))), "No lower value")</f>
        <v>8950</v>
      </c>
      <c r="Z51" s="19">
        <f>_xlfn.XLOOKUP(Y51,B8:B39,D8:D39)</f>
        <v>4421.3</v>
      </c>
      <c r="AA51" s="19">
        <f>_xlfn.XLOOKUP(Y51,$B$3:$B$36,E3:E36)</f>
        <v>7306.78</v>
      </c>
    </row>
    <row r="52" spans="17:27" x14ac:dyDescent="0.25">
      <c r="X52" s="663"/>
      <c r="Y52" s="219">
        <f>AB36</f>
        <v>9000</v>
      </c>
      <c r="Z52" s="19" t="e">
        <f>((Z51-Z53)/($Y$51-$Y$53))*$Y$52</f>
        <v>#N/A</v>
      </c>
      <c r="AA52" s="19" t="e">
        <f>((AA51-AA53)/($Y$51-$Y$53))*$Y$51</f>
        <v>#N/A</v>
      </c>
    </row>
    <row r="53" spans="17:27" x14ac:dyDescent="0.25">
      <c r="X53" s="663"/>
      <c r="Y53" s="19" t="e" cm="1">
        <f t="array" ref="Y53">INDEX(B8:B39,MATCH(TRUE,B8:B39&gt;Y52,0))</f>
        <v>#N/A</v>
      </c>
      <c r="Z53" s="19" t="e">
        <f>_xlfn.XLOOKUP(Y53,$B$2:$B$36,D2:D36)</f>
        <v>#N/A</v>
      </c>
      <c r="AA53" s="19" t="e">
        <f>_xlfn.XLOOKUP(Y53,$B$3:$B$36,E3:E36)</f>
        <v>#N/A</v>
      </c>
    </row>
  </sheetData>
  <mergeCells count="11">
    <mergeCell ref="X51:X53"/>
    <mergeCell ref="Q44:Q45"/>
    <mergeCell ref="V35:W35"/>
    <mergeCell ref="U42:U44"/>
    <mergeCell ref="U46:U48"/>
    <mergeCell ref="Q42:Q43"/>
    <mergeCell ref="Q32:Q33"/>
    <mergeCell ref="Q34:Q35"/>
    <mergeCell ref="Q36:Q37"/>
    <mergeCell ref="Q38:Q39"/>
    <mergeCell ref="Q40:Q4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39EBE-A1F7-4C8A-9E9D-1622DC3E7F6A}">
  <sheetPr codeName="Sheet4"/>
  <dimension ref="C5:X124"/>
  <sheetViews>
    <sheetView topLeftCell="A54" workbookViewId="0">
      <selection activeCell="U72" sqref="U72"/>
    </sheetView>
  </sheetViews>
  <sheetFormatPr defaultRowHeight="15" x14ac:dyDescent="0.25"/>
  <cols>
    <col min="3" max="3" width="19.7109375" customWidth="1"/>
    <col min="4" max="4" width="19.5703125" customWidth="1"/>
    <col min="5" max="5" width="16.7109375" customWidth="1"/>
    <col min="6" max="6" width="16.140625" customWidth="1"/>
    <col min="7" max="10" width="12.140625" customWidth="1"/>
    <col min="12" max="12" width="16.7109375" customWidth="1"/>
    <col min="13" max="14" width="14.5703125" customWidth="1"/>
    <col min="15" max="15" width="11.7109375" customWidth="1"/>
    <col min="16" max="16" width="14" customWidth="1"/>
    <col min="17" max="17" width="10.7109375" customWidth="1"/>
  </cols>
  <sheetData>
    <row r="5" spans="3:11" ht="15.75" x14ac:dyDescent="0.25">
      <c r="C5" s="598" t="s">
        <v>0</v>
      </c>
      <c r="D5" s="599" t="s">
        <v>1</v>
      </c>
      <c r="E5" s="598" t="s">
        <v>2</v>
      </c>
      <c r="F5" s="598" t="s">
        <v>3</v>
      </c>
      <c r="G5" s="556"/>
    </row>
    <row r="6" spans="3:11" x14ac:dyDescent="0.25">
      <c r="C6" s="572"/>
      <c r="D6" s="585"/>
      <c r="E6" s="295"/>
      <c r="F6" s="301"/>
      <c r="G6" s="19"/>
      <c r="J6" s="561"/>
      <c r="K6" s="561"/>
    </row>
    <row r="7" spans="3:11" ht="15.75" x14ac:dyDescent="0.25">
      <c r="C7" s="573"/>
      <c r="D7" s="586"/>
      <c r="E7" s="203" t="s">
        <v>4</v>
      </c>
      <c r="F7" s="287" t="s">
        <v>5</v>
      </c>
      <c r="G7" s="19"/>
      <c r="J7" s="561"/>
      <c r="K7" s="561"/>
    </row>
    <row r="8" spans="3:11" ht="15.75" x14ac:dyDescent="0.25">
      <c r="C8" s="574" t="s">
        <v>6</v>
      </c>
      <c r="D8" s="587" t="s">
        <v>7</v>
      </c>
      <c r="E8" s="206"/>
      <c r="F8" s="302"/>
      <c r="G8" s="19"/>
      <c r="J8" s="561"/>
      <c r="K8" s="561"/>
    </row>
    <row r="9" spans="3:11" ht="15.75" x14ac:dyDescent="0.25">
      <c r="C9" s="575"/>
      <c r="D9" s="586"/>
      <c r="E9" s="308" t="s">
        <v>8</v>
      </c>
      <c r="F9" s="303" t="s">
        <v>9</v>
      </c>
      <c r="G9" s="19"/>
      <c r="J9" s="561"/>
      <c r="K9" s="561"/>
    </row>
    <row r="10" spans="3:11" ht="15.75" x14ac:dyDescent="0.25">
      <c r="C10" s="575"/>
      <c r="D10" s="586"/>
      <c r="E10" s="286"/>
      <c r="F10" s="294" t="s">
        <v>5</v>
      </c>
      <c r="G10" s="19"/>
      <c r="J10" s="561"/>
      <c r="K10" s="561"/>
    </row>
    <row r="11" spans="3:11" ht="15.75" x14ac:dyDescent="0.25">
      <c r="C11" s="576"/>
      <c r="D11" s="588"/>
      <c r="E11" s="286"/>
      <c r="F11" s="304"/>
      <c r="G11" s="19"/>
    </row>
    <row r="12" spans="3:11" ht="15.75" x14ac:dyDescent="0.25">
      <c r="C12" s="577"/>
      <c r="D12" s="585"/>
      <c r="E12" s="286"/>
      <c r="F12" s="204"/>
      <c r="G12" s="19"/>
    </row>
    <row r="13" spans="3:11" ht="15.75" x14ac:dyDescent="0.25">
      <c r="C13" s="578" t="s">
        <v>10</v>
      </c>
      <c r="D13" s="588"/>
      <c r="E13" s="286"/>
      <c r="F13" s="204"/>
      <c r="G13" s="19"/>
    </row>
    <row r="14" spans="3:11" ht="15.75" x14ac:dyDescent="0.25">
      <c r="C14" s="579"/>
      <c r="D14" s="589" t="s">
        <v>11</v>
      </c>
      <c r="E14" s="287"/>
      <c r="F14" s="204"/>
      <c r="G14" s="19"/>
    </row>
    <row r="15" spans="3:11" ht="15.75" x14ac:dyDescent="0.25">
      <c r="C15" s="580"/>
      <c r="D15" s="590" t="s">
        <v>12</v>
      </c>
      <c r="E15" s="287"/>
      <c r="F15" s="204"/>
      <c r="G15" s="19"/>
    </row>
    <row r="16" spans="3:11" ht="15.75" x14ac:dyDescent="0.25">
      <c r="C16" s="580" t="s">
        <v>13</v>
      </c>
      <c r="D16" s="591"/>
      <c r="E16" s="287"/>
      <c r="F16" s="204"/>
      <c r="G16" s="19"/>
    </row>
    <row r="17" spans="3:12" ht="15.75" x14ac:dyDescent="0.25">
      <c r="C17" s="581"/>
      <c r="D17" s="592" t="s">
        <v>14</v>
      </c>
      <c r="E17" s="287"/>
      <c r="F17" s="204"/>
      <c r="G17" s="19"/>
    </row>
    <row r="18" spans="3:12" ht="15.75" x14ac:dyDescent="0.25">
      <c r="C18" s="582"/>
      <c r="D18" s="593"/>
      <c r="E18" s="288"/>
      <c r="F18" s="294" t="s">
        <v>15</v>
      </c>
      <c r="G18" s="19"/>
    </row>
    <row r="19" spans="3:12" ht="15.75" x14ac:dyDescent="0.25">
      <c r="C19" s="583" t="s">
        <v>16</v>
      </c>
      <c r="D19" s="594" t="s">
        <v>17</v>
      </c>
      <c r="E19" s="289"/>
      <c r="F19" s="292" t="s">
        <v>18</v>
      </c>
      <c r="G19" s="19"/>
    </row>
    <row r="20" spans="3:12" ht="15.75" x14ac:dyDescent="0.25">
      <c r="C20" s="584"/>
      <c r="D20" s="595" t="s">
        <v>19</v>
      </c>
      <c r="E20" s="290" t="s">
        <v>20</v>
      </c>
      <c r="F20" s="303" t="s">
        <v>21</v>
      </c>
      <c r="G20" s="19"/>
    </row>
    <row r="21" spans="3:12" ht="15.75" x14ac:dyDescent="0.25">
      <c r="C21" s="575" t="s">
        <v>22</v>
      </c>
      <c r="D21" s="596" t="s">
        <v>23</v>
      </c>
      <c r="E21" s="309" t="s">
        <v>24</v>
      </c>
      <c r="F21" s="305" t="s">
        <v>25</v>
      </c>
      <c r="G21" s="19"/>
    </row>
    <row r="22" spans="3:12" ht="15.75" x14ac:dyDescent="0.25">
      <c r="C22" s="575"/>
      <c r="D22" s="597"/>
      <c r="E22" s="309" t="s">
        <v>26</v>
      </c>
      <c r="F22" s="305" t="s">
        <v>21</v>
      </c>
      <c r="G22" s="19"/>
    </row>
    <row r="23" spans="3:12" ht="15.75" x14ac:dyDescent="0.25">
      <c r="C23" s="576"/>
      <c r="D23" s="592" t="s">
        <v>27</v>
      </c>
      <c r="E23" s="289" t="s">
        <v>28</v>
      </c>
      <c r="F23" s="306" t="s">
        <v>25</v>
      </c>
      <c r="G23" s="19"/>
    </row>
    <row r="27" spans="3:12" x14ac:dyDescent="0.25">
      <c r="C27" s="202"/>
      <c r="D27" s="202"/>
      <c r="E27" s="202"/>
      <c r="F27" s="202"/>
      <c r="G27" s="202"/>
      <c r="H27" s="202"/>
      <c r="I27" s="202"/>
      <c r="J27" s="202"/>
      <c r="K27" s="202"/>
      <c r="L27" s="202"/>
    </row>
    <row r="28" spans="3:12" x14ac:dyDescent="0.25">
      <c r="C28" s="202"/>
      <c r="D28" s="202"/>
      <c r="E28" s="202"/>
      <c r="F28" s="202"/>
      <c r="G28" s="202"/>
      <c r="H28" s="202"/>
      <c r="I28" s="202"/>
      <c r="J28" s="202"/>
      <c r="K28" s="202"/>
      <c r="L28" s="202"/>
    </row>
    <row r="29" spans="3:12" x14ac:dyDescent="0.25">
      <c r="C29" s="202"/>
      <c r="K29" s="202"/>
      <c r="L29" s="202"/>
    </row>
    <row r="30" spans="3:12" x14ac:dyDescent="0.25">
      <c r="C30" s="202"/>
      <c r="K30" s="202"/>
      <c r="L30" s="202"/>
    </row>
    <row r="31" spans="3:12" x14ac:dyDescent="0.25">
      <c r="C31" s="202"/>
      <c r="K31" s="202"/>
      <c r="L31" s="202"/>
    </row>
    <row r="32" spans="3:12" x14ac:dyDescent="0.25">
      <c r="C32" s="202"/>
      <c r="K32" s="202"/>
      <c r="L32" s="202"/>
    </row>
    <row r="33" spans="3:12" x14ac:dyDescent="0.25">
      <c r="C33" s="202"/>
      <c r="K33" s="202"/>
      <c r="L33" s="202"/>
    </row>
    <row r="34" spans="3:12" x14ac:dyDescent="0.25">
      <c r="C34" s="202"/>
      <c r="K34" s="202"/>
      <c r="L34" s="202"/>
    </row>
    <row r="35" spans="3:12" x14ac:dyDescent="0.25">
      <c r="C35" s="202"/>
      <c r="K35" s="202"/>
      <c r="L35" s="202"/>
    </row>
    <row r="36" spans="3:12" x14ac:dyDescent="0.25">
      <c r="C36" s="202"/>
      <c r="K36" s="202"/>
      <c r="L36" s="202"/>
    </row>
    <row r="37" spans="3:12" x14ac:dyDescent="0.25">
      <c r="C37" s="202"/>
      <c r="K37" s="202"/>
      <c r="L37" s="202"/>
    </row>
    <row r="38" spans="3:12" x14ac:dyDescent="0.25">
      <c r="C38" s="202"/>
      <c r="K38" s="202"/>
      <c r="L38" s="202"/>
    </row>
    <row r="39" spans="3:12" x14ac:dyDescent="0.25">
      <c r="C39" s="202"/>
      <c r="K39" s="202"/>
      <c r="L39" s="202"/>
    </row>
    <row r="40" spans="3:12" x14ac:dyDescent="0.25">
      <c r="C40" s="202"/>
      <c r="K40" s="202"/>
      <c r="L40" s="202"/>
    </row>
    <row r="41" spans="3:12" x14ac:dyDescent="0.25">
      <c r="C41" s="202"/>
      <c r="K41" s="202"/>
      <c r="L41" s="202"/>
    </row>
    <row r="42" spans="3:12" x14ac:dyDescent="0.25">
      <c r="C42" s="202"/>
      <c r="K42" s="202"/>
      <c r="L42" s="202"/>
    </row>
    <row r="43" spans="3:12" x14ac:dyDescent="0.25">
      <c r="C43" s="202"/>
      <c r="K43" s="202"/>
      <c r="L43" s="202"/>
    </row>
    <row r="44" spans="3:12" x14ac:dyDescent="0.25">
      <c r="C44" s="202"/>
      <c r="K44" s="202"/>
      <c r="L44" s="202"/>
    </row>
    <row r="45" spans="3:12" x14ac:dyDescent="0.25">
      <c r="C45" s="202"/>
      <c r="K45" s="202"/>
      <c r="L45" s="202"/>
    </row>
    <row r="46" spans="3:12" x14ac:dyDescent="0.25">
      <c r="C46" s="202"/>
      <c r="K46" s="202"/>
      <c r="L46" s="202"/>
    </row>
    <row r="47" spans="3:12" x14ac:dyDescent="0.25">
      <c r="C47" s="202"/>
      <c r="K47" s="202"/>
      <c r="L47" s="202"/>
    </row>
    <row r="48" spans="3:12" x14ac:dyDescent="0.25">
      <c r="C48" s="202"/>
      <c r="D48" s="202"/>
      <c r="E48" s="202"/>
      <c r="F48" s="202"/>
      <c r="G48" s="202"/>
      <c r="H48" s="202"/>
      <c r="I48" s="202"/>
      <c r="J48" s="202"/>
      <c r="K48" s="202"/>
      <c r="L48" s="202"/>
    </row>
    <row r="49" spans="3:24" x14ac:dyDescent="0.25">
      <c r="C49" s="202"/>
      <c r="D49" s="202"/>
      <c r="E49" s="202"/>
      <c r="F49" s="202"/>
      <c r="G49" s="202"/>
      <c r="H49" s="202"/>
      <c r="I49" s="202"/>
      <c r="J49" s="202"/>
      <c r="K49" s="202"/>
      <c r="L49" s="202"/>
    </row>
    <row r="53" spans="3:24" ht="15.75" thickBot="1" x14ac:dyDescent="0.3"/>
    <row r="54" spans="3:24" ht="15.75" thickBot="1" x14ac:dyDescent="0.3">
      <c r="R54" s="523"/>
    </row>
    <row r="57" spans="3:24" x14ac:dyDescent="0.25">
      <c r="E57" s="340" t="s">
        <v>29</v>
      </c>
    </row>
    <row r="62" spans="3:24" x14ac:dyDescent="0.25">
      <c r="C62" s="202"/>
      <c r="D62" s="202"/>
      <c r="E62" s="202"/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202"/>
      <c r="V62" s="202"/>
      <c r="W62" s="202"/>
      <c r="X62" s="202"/>
    </row>
    <row r="63" spans="3:24" ht="16.5" x14ac:dyDescent="0.3">
      <c r="C63" s="202"/>
      <c r="D63" s="202"/>
      <c r="E63" s="202"/>
      <c r="F63" s="202"/>
      <c r="G63" s="202"/>
      <c r="H63" s="202"/>
      <c r="I63" s="202"/>
      <c r="J63" s="202"/>
      <c r="K63" s="202"/>
      <c r="L63" s="537"/>
      <c r="M63" s="381" t="s">
        <v>30</v>
      </c>
      <c r="N63" s="202"/>
      <c r="O63" s="202"/>
      <c r="P63" s="202"/>
      <c r="Q63" s="202"/>
      <c r="R63" s="202"/>
      <c r="S63" s="202"/>
      <c r="T63" s="202"/>
      <c r="U63" s="202"/>
      <c r="V63" s="202"/>
      <c r="W63" s="202"/>
    </row>
    <row r="64" spans="3:24" x14ac:dyDescent="0.25">
      <c r="C64" s="202"/>
      <c r="D64" s="202"/>
      <c r="E64" s="202"/>
      <c r="F64" s="202"/>
      <c r="G64" s="202"/>
      <c r="H64" s="202"/>
      <c r="I64" s="202"/>
      <c r="J64" s="202"/>
      <c r="K64" s="202"/>
      <c r="L64" s="202"/>
      <c r="M64" s="202" t="s">
        <v>146</v>
      </c>
      <c r="N64" s="202"/>
      <c r="O64" s="202"/>
      <c r="P64" s="202"/>
      <c r="Q64" s="202"/>
      <c r="R64" s="202"/>
      <c r="S64" s="202"/>
      <c r="T64" s="202"/>
      <c r="U64" s="202"/>
      <c r="V64" s="202"/>
      <c r="W64" s="202"/>
    </row>
    <row r="65" spans="3:23" x14ac:dyDescent="0.25">
      <c r="C65" s="202"/>
      <c r="D65" s="202"/>
      <c r="E65" s="202"/>
      <c r="F65" s="202"/>
      <c r="G65" s="202"/>
      <c r="H65" s="202"/>
      <c r="I65" s="202"/>
      <c r="J65" s="202"/>
      <c r="K65" s="202"/>
      <c r="L65" s="202"/>
      <c r="M65" s="202" t="s">
        <v>147</v>
      </c>
      <c r="N65" s="202"/>
      <c r="O65" s="202"/>
      <c r="P65" s="202"/>
      <c r="Q65" s="202"/>
      <c r="R65" s="202"/>
      <c r="S65" s="202"/>
      <c r="T65" s="202"/>
      <c r="U65" s="202"/>
      <c r="V65" s="202"/>
      <c r="W65" s="202"/>
    </row>
    <row r="66" spans="3:23" x14ac:dyDescent="0.25"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</row>
    <row r="67" spans="3:23" x14ac:dyDescent="0.25"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</row>
    <row r="68" spans="3:23" x14ac:dyDescent="0.25">
      <c r="C68" s="202"/>
      <c r="D68" s="202"/>
      <c r="E68" s="202"/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</row>
    <row r="69" spans="3:23" x14ac:dyDescent="0.25"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 t="s">
        <v>148</v>
      </c>
      <c r="N69" s="202"/>
      <c r="O69" s="202"/>
      <c r="P69" s="202"/>
      <c r="Q69" s="202"/>
      <c r="R69" s="202"/>
      <c r="S69" s="202"/>
      <c r="T69" s="202"/>
      <c r="U69" s="202"/>
      <c r="V69" s="202"/>
      <c r="W69" s="202"/>
    </row>
    <row r="70" spans="3:23" ht="16.5" x14ac:dyDescent="0.3">
      <c r="C70" s="202"/>
      <c r="D70" s="202"/>
      <c r="E70" s="202"/>
      <c r="F70" s="202"/>
      <c r="G70" s="202"/>
      <c r="H70" s="202"/>
      <c r="I70" s="202"/>
      <c r="J70" s="202"/>
      <c r="K70" s="202"/>
      <c r="L70" s="202"/>
      <c r="M70" s="536" t="s">
        <v>149</v>
      </c>
      <c r="N70" s="202"/>
      <c r="O70" s="202"/>
      <c r="P70" s="202"/>
      <c r="Q70" s="202"/>
      <c r="R70" s="202"/>
      <c r="S70" s="202"/>
      <c r="T70" s="202"/>
      <c r="U70" s="202"/>
      <c r="V70" s="202"/>
      <c r="W70" s="202"/>
    </row>
    <row r="71" spans="3:23" x14ac:dyDescent="0.25"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202"/>
      <c r="V71" s="202"/>
      <c r="W71" s="202"/>
    </row>
    <row r="72" spans="3:23" x14ac:dyDescent="0.25">
      <c r="C72" s="202"/>
      <c r="D72" s="202"/>
      <c r="E72" s="202"/>
      <c r="F72" s="202"/>
      <c r="G72" s="202"/>
      <c r="H72" s="202"/>
      <c r="I72" s="202"/>
      <c r="J72" s="202"/>
      <c r="K72" s="202"/>
      <c r="L72" s="202"/>
      <c r="M72" s="202" t="s">
        <v>150</v>
      </c>
      <c r="N72" s="202"/>
      <c r="O72" s="202"/>
      <c r="P72" s="202"/>
      <c r="Q72" s="202"/>
      <c r="R72" s="202"/>
      <c r="S72" s="202"/>
      <c r="T72" s="202"/>
      <c r="U72" s="202"/>
      <c r="V72" s="202"/>
      <c r="W72" s="202"/>
    </row>
    <row r="73" spans="3:23" x14ac:dyDescent="0.25"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 t="s">
        <v>151</v>
      </c>
      <c r="N73" s="202"/>
      <c r="O73" s="202"/>
      <c r="P73" s="202"/>
      <c r="Q73" s="202"/>
      <c r="R73" s="202"/>
      <c r="S73" s="202"/>
      <c r="T73" s="202"/>
      <c r="U73" s="202"/>
      <c r="V73" s="202"/>
      <c r="W73" s="202"/>
    </row>
    <row r="74" spans="3:23" x14ac:dyDescent="0.25">
      <c r="C74" s="202"/>
      <c r="D74" s="202"/>
      <c r="E74" s="202"/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</row>
    <row r="75" spans="3:23" x14ac:dyDescent="0.25"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2"/>
      <c r="Q75" s="202"/>
      <c r="R75" s="202"/>
      <c r="S75" s="202"/>
      <c r="T75" s="202"/>
      <c r="U75" s="202"/>
      <c r="V75" s="202"/>
      <c r="W75" s="202"/>
    </row>
    <row r="76" spans="3:23" x14ac:dyDescent="0.25"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02"/>
      <c r="P76" s="202"/>
      <c r="Q76" s="202"/>
      <c r="R76" s="202"/>
      <c r="S76" s="202"/>
      <c r="T76" s="202"/>
      <c r="U76" s="202"/>
      <c r="V76" s="202"/>
      <c r="W76" s="202"/>
    </row>
    <row r="77" spans="3:23" x14ac:dyDescent="0.25"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2"/>
      <c r="Q77" s="202"/>
      <c r="R77" s="202"/>
      <c r="S77" s="202"/>
      <c r="T77" s="202"/>
      <c r="U77" s="202"/>
      <c r="V77" s="202"/>
      <c r="W77" s="202"/>
    </row>
    <row r="78" spans="3:23" x14ac:dyDescent="0.25">
      <c r="C78" s="202"/>
      <c r="D78" s="202"/>
      <c r="E78" s="202"/>
      <c r="F78" s="202"/>
      <c r="G78" s="202"/>
      <c r="H78" s="202"/>
      <c r="I78" s="202"/>
      <c r="J78" s="202"/>
      <c r="K78" s="202"/>
      <c r="L78" s="202"/>
      <c r="M78" s="202" t="str">
        <f>M79</f>
        <v xml:space="preserve">      9 5/8" 7700FT</v>
      </c>
      <c r="N78" s="202"/>
      <c r="O78" s="202"/>
      <c r="P78" s="202"/>
      <c r="Q78" s="202"/>
      <c r="R78" s="202"/>
      <c r="S78" s="202"/>
      <c r="T78" s="202"/>
      <c r="U78" s="202"/>
      <c r="V78" s="202"/>
      <c r="W78" s="202"/>
    </row>
    <row r="79" spans="3:23" x14ac:dyDescent="0.25">
      <c r="C79" s="202"/>
      <c r="D79" s="202"/>
      <c r="E79" s="202"/>
      <c r="F79" s="202"/>
      <c r="G79" s="202"/>
      <c r="H79" s="202"/>
      <c r="I79" s="202"/>
      <c r="J79" s="202"/>
      <c r="K79" s="202"/>
      <c r="L79" s="202"/>
      <c r="M79" s="381" t="s">
        <v>152</v>
      </c>
      <c r="N79" s="202"/>
      <c r="O79" s="202"/>
      <c r="P79" s="202"/>
      <c r="Q79" s="202"/>
      <c r="R79" s="202"/>
      <c r="S79" s="202"/>
      <c r="T79" s="202"/>
      <c r="U79" s="202"/>
      <c r="V79" s="202"/>
      <c r="W79" s="202"/>
    </row>
    <row r="80" spans="3:23" x14ac:dyDescent="0.25">
      <c r="C80" s="202"/>
      <c r="D80" s="202"/>
      <c r="E80" s="202"/>
      <c r="F80" s="202"/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/>
    </row>
    <row r="81" spans="3:24" x14ac:dyDescent="0.25"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02" t="s">
        <v>153</v>
      </c>
      <c r="N81" s="202"/>
      <c r="O81" s="202"/>
      <c r="P81" s="202"/>
      <c r="Q81" s="202"/>
      <c r="R81" s="202"/>
      <c r="S81" s="202"/>
      <c r="T81" s="202"/>
      <c r="U81" s="202"/>
      <c r="V81" s="202"/>
      <c r="W81" s="202"/>
    </row>
    <row r="82" spans="3:24" x14ac:dyDescent="0.25">
      <c r="C82" s="202"/>
      <c r="D82" s="202"/>
      <c r="E82" s="202"/>
      <c r="F82" s="202"/>
      <c r="G82" s="202"/>
      <c r="H82" s="202"/>
      <c r="I82" s="202"/>
      <c r="J82" s="202"/>
      <c r="K82" s="202"/>
      <c r="L82" s="202"/>
      <c r="M82" s="202" t="s">
        <v>154</v>
      </c>
      <c r="N82" s="202"/>
      <c r="O82" s="202"/>
      <c r="P82" s="202"/>
      <c r="Q82" s="202"/>
      <c r="R82" s="202"/>
      <c r="S82" s="202"/>
      <c r="T82" s="202"/>
      <c r="U82" s="202"/>
      <c r="V82" s="202"/>
      <c r="W82" s="202"/>
      <c r="X82" s="202"/>
    </row>
    <row r="83" spans="3:24" x14ac:dyDescent="0.25">
      <c r="C83" s="202"/>
      <c r="D83" s="202"/>
      <c r="E83" s="202"/>
      <c r="F83" s="202"/>
      <c r="G83" s="202"/>
      <c r="H83" s="202"/>
      <c r="I83" s="202"/>
      <c r="J83" s="202"/>
      <c r="K83" s="202"/>
      <c r="L83" s="202"/>
      <c r="M83" s="202"/>
      <c r="N83" s="202"/>
      <c r="O83" s="202"/>
      <c r="P83" s="202"/>
      <c r="Q83" s="202"/>
      <c r="R83" s="202"/>
      <c r="S83" s="202"/>
      <c r="T83" s="202"/>
      <c r="U83" s="202"/>
      <c r="V83" s="202"/>
      <c r="W83" s="202"/>
      <c r="X83" s="202"/>
    </row>
    <row r="84" spans="3:24" x14ac:dyDescent="0.25">
      <c r="C84" s="202"/>
      <c r="D84" s="202"/>
      <c r="E84" s="202"/>
      <c r="F84" s="202"/>
      <c r="G84" s="202"/>
      <c r="H84" s="202"/>
      <c r="I84" s="202"/>
      <c r="J84" s="202"/>
      <c r="K84" s="202"/>
      <c r="L84" s="202"/>
      <c r="M84" s="202"/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</row>
    <row r="85" spans="3:24" x14ac:dyDescent="0.25">
      <c r="C85" s="202"/>
      <c r="D85" s="202"/>
      <c r="E85" s="202"/>
      <c r="F85" s="202"/>
      <c r="G85" s="202"/>
      <c r="H85" s="202"/>
      <c r="I85" s="202"/>
      <c r="J85" s="202"/>
      <c r="K85" s="202"/>
      <c r="L85" s="202"/>
      <c r="M85" s="202"/>
      <c r="N85" s="202"/>
      <c r="O85" s="202"/>
      <c r="P85" s="202"/>
      <c r="Q85" s="202"/>
      <c r="R85" s="202"/>
      <c r="S85" s="202"/>
      <c r="T85" s="202"/>
      <c r="U85" s="202"/>
      <c r="V85" s="202"/>
      <c r="W85" s="202"/>
      <c r="X85" s="202"/>
    </row>
    <row r="86" spans="3:24" x14ac:dyDescent="0.25">
      <c r="C86" s="202"/>
      <c r="D86" s="202"/>
      <c r="E86" s="202"/>
      <c r="F86" s="202"/>
      <c r="G86" s="202"/>
      <c r="H86" s="202"/>
      <c r="I86" s="202"/>
      <c r="J86" s="202"/>
      <c r="K86" s="202"/>
      <c r="L86" s="202"/>
      <c r="M86" s="202"/>
      <c r="N86" s="202"/>
      <c r="O86" s="202"/>
      <c r="P86" s="202"/>
      <c r="Q86" s="202"/>
      <c r="R86" s="202"/>
      <c r="S86" s="202"/>
      <c r="T86" s="202"/>
      <c r="U86" s="202"/>
      <c r="V86" s="202"/>
      <c r="W86" s="202"/>
      <c r="X86" s="202"/>
    </row>
    <row r="91" spans="3:24" x14ac:dyDescent="0.25">
      <c r="C91" s="258">
        <v>345</v>
      </c>
      <c r="D91">
        <f>C91*$E$91</f>
        <v>155.25</v>
      </c>
      <c r="E91">
        <v>0.45</v>
      </c>
    </row>
    <row r="92" spans="3:24" x14ac:dyDescent="0.25">
      <c r="C92" s="258">
        <v>500</v>
      </c>
      <c r="D92">
        <f t="shared" ref="D92:D124" si="0">C92*$E$91</f>
        <v>225</v>
      </c>
    </row>
    <row r="93" spans="3:24" x14ac:dyDescent="0.25">
      <c r="C93" s="258">
        <v>1000</v>
      </c>
      <c r="D93">
        <f t="shared" si="0"/>
        <v>450</v>
      </c>
    </row>
    <row r="94" spans="3:24" x14ac:dyDescent="0.25">
      <c r="C94" s="258">
        <v>1500</v>
      </c>
      <c r="D94">
        <f t="shared" si="0"/>
        <v>675</v>
      </c>
    </row>
    <row r="95" spans="3:24" x14ac:dyDescent="0.25">
      <c r="C95" s="258">
        <v>2110</v>
      </c>
      <c r="D95">
        <f t="shared" si="0"/>
        <v>949.5</v>
      </c>
    </row>
    <row r="96" spans="3:24" x14ac:dyDescent="0.25">
      <c r="C96" s="258">
        <v>2500</v>
      </c>
      <c r="D96">
        <f t="shared" si="0"/>
        <v>1125</v>
      </c>
    </row>
    <row r="97" spans="3:14" x14ac:dyDescent="0.25">
      <c r="C97" s="258">
        <v>2600</v>
      </c>
      <c r="D97">
        <f t="shared" si="0"/>
        <v>1170</v>
      </c>
    </row>
    <row r="98" spans="3:14" x14ac:dyDescent="0.25">
      <c r="C98" s="258">
        <v>3200</v>
      </c>
      <c r="D98">
        <f t="shared" si="0"/>
        <v>1440</v>
      </c>
    </row>
    <row r="99" spans="3:14" x14ac:dyDescent="0.25">
      <c r="C99" s="258">
        <v>4000</v>
      </c>
      <c r="D99">
        <f t="shared" si="0"/>
        <v>1800</v>
      </c>
      <c r="J99" s="202"/>
      <c r="K99" s="202"/>
      <c r="L99" s="202"/>
      <c r="M99" s="202"/>
      <c r="N99" s="202"/>
    </row>
    <row r="100" spans="3:14" x14ac:dyDescent="0.25">
      <c r="C100" s="258">
        <v>4200</v>
      </c>
      <c r="D100">
        <f t="shared" si="0"/>
        <v>1890</v>
      </c>
      <c r="J100" s="202"/>
      <c r="K100" s="202"/>
      <c r="L100" s="202"/>
      <c r="M100" s="202"/>
      <c r="N100" s="202"/>
    </row>
    <row r="101" spans="3:14" x14ac:dyDescent="0.25">
      <c r="C101" s="258">
        <v>5000</v>
      </c>
      <c r="D101">
        <f t="shared" si="0"/>
        <v>2250</v>
      </c>
      <c r="J101" s="202"/>
      <c r="K101" s="202"/>
      <c r="L101" s="202"/>
      <c r="M101" s="202"/>
      <c r="N101" s="202"/>
    </row>
    <row r="102" spans="3:14" x14ac:dyDescent="0.25">
      <c r="C102" s="258">
        <v>6000</v>
      </c>
      <c r="D102">
        <f t="shared" si="0"/>
        <v>2700</v>
      </c>
      <c r="J102" s="202"/>
      <c r="K102" s="202"/>
      <c r="L102" s="202"/>
      <c r="M102" s="202"/>
      <c r="N102" s="202"/>
    </row>
    <row r="103" spans="3:14" x14ac:dyDescent="0.25">
      <c r="C103" s="258">
        <v>7000</v>
      </c>
      <c r="D103">
        <f t="shared" si="0"/>
        <v>3150</v>
      </c>
      <c r="J103" s="202"/>
      <c r="K103" s="202"/>
      <c r="L103" s="202"/>
      <c r="M103" s="202"/>
      <c r="N103" s="202"/>
    </row>
    <row r="104" spans="3:14" x14ac:dyDescent="0.25">
      <c r="C104" s="258">
        <v>8000</v>
      </c>
      <c r="D104">
        <f t="shared" si="0"/>
        <v>3600</v>
      </c>
      <c r="J104" s="202"/>
      <c r="K104" s="202"/>
      <c r="L104" s="202"/>
      <c r="M104" s="202"/>
      <c r="N104" s="202"/>
    </row>
    <row r="105" spans="3:14" ht="42" customHeight="1" x14ac:dyDescent="0.25">
      <c r="C105" s="258">
        <v>8100</v>
      </c>
      <c r="D105">
        <f t="shared" si="0"/>
        <v>3645</v>
      </c>
      <c r="J105" s="202"/>
      <c r="K105" s="202"/>
      <c r="L105" s="542" t="s">
        <v>30</v>
      </c>
      <c r="M105" s="543" t="s">
        <v>155</v>
      </c>
      <c r="N105" s="202"/>
    </row>
    <row r="106" spans="3:14" ht="23.25" customHeight="1" x14ac:dyDescent="0.25">
      <c r="C106" s="258">
        <v>8150</v>
      </c>
      <c r="D106">
        <f t="shared" si="0"/>
        <v>3667.5</v>
      </c>
      <c r="J106" s="202"/>
      <c r="K106" s="202"/>
      <c r="L106" s="538" t="s">
        <v>156</v>
      </c>
      <c r="M106" s="670" t="s">
        <v>157</v>
      </c>
      <c r="N106" s="202"/>
    </row>
    <row r="107" spans="3:14" ht="16.5" customHeight="1" x14ac:dyDescent="0.25">
      <c r="C107" s="258">
        <v>8200</v>
      </c>
      <c r="D107">
        <f t="shared" si="0"/>
        <v>3690</v>
      </c>
      <c r="J107" s="202"/>
      <c r="K107" s="202"/>
      <c r="L107" s="540" t="s">
        <v>158</v>
      </c>
      <c r="M107" s="670"/>
      <c r="N107" s="202"/>
    </row>
    <row r="108" spans="3:14" ht="22.5" customHeight="1" x14ac:dyDescent="0.25">
      <c r="C108" s="258">
        <v>8250</v>
      </c>
      <c r="D108">
        <f t="shared" si="0"/>
        <v>3712.5</v>
      </c>
      <c r="J108" s="202"/>
      <c r="K108" s="202"/>
      <c r="L108" s="540" t="s">
        <v>159</v>
      </c>
      <c r="M108" s="539" t="s">
        <v>160</v>
      </c>
      <c r="N108" s="202"/>
    </row>
    <row r="109" spans="3:14" ht="23.25" customHeight="1" x14ac:dyDescent="0.25">
      <c r="C109" s="258">
        <v>8300</v>
      </c>
      <c r="D109">
        <f t="shared" si="0"/>
        <v>3735</v>
      </c>
      <c r="J109" s="202"/>
      <c r="K109" s="202"/>
      <c r="L109" s="539" t="s">
        <v>161</v>
      </c>
      <c r="M109" s="539" t="s">
        <v>162</v>
      </c>
      <c r="N109" s="202"/>
    </row>
    <row r="110" spans="3:14" ht="22.5" customHeight="1" x14ac:dyDescent="0.25">
      <c r="C110" s="258">
        <v>8350</v>
      </c>
      <c r="D110">
        <f t="shared" si="0"/>
        <v>3757.5</v>
      </c>
      <c r="J110" s="202"/>
      <c r="K110" s="202"/>
      <c r="L110" s="539" t="s">
        <v>163</v>
      </c>
      <c r="M110" s="539" t="str">
        <f>M109</f>
        <v>Water based mud(KCL)</v>
      </c>
      <c r="N110" s="202"/>
    </row>
    <row r="111" spans="3:14" ht="21" customHeight="1" x14ac:dyDescent="0.25">
      <c r="C111" s="258">
        <v>8400</v>
      </c>
      <c r="D111">
        <f t="shared" si="0"/>
        <v>3780</v>
      </c>
      <c r="J111" s="202"/>
      <c r="K111" s="202"/>
      <c r="L111" s="541" t="s">
        <v>164</v>
      </c>
      <c r="M111" s="539" t="s">
        <v>165</v>
      </c>
      <c r="N111" s="202"/>
    </row>
    <row r="112" spans="3:14" x14ac:dyDescent="0.25">
      <c r="C112" s="258">
        <v>8450</v>
      </c>
      <c r="D112">
        <f t="shared" si="0"/>
        <v>3802.5</v>
      </c>
      <c r="J112" s="202"/>
      <c r="K112" s="202"/>
      <c r="L112" s="202"/>
      <c r="M112" s="202"/>
      <c r="N112" s="202"/>
    </row>
    <row r="113" spans="3:14" x14ac:dyDescent="0.25">
      <c r="C113" s="258">
        <v>8460</v>
      </c>
      <c r="D113">
        <f t="shared" si="0"/>
        <v>3807</v>
      </c>
      <c r="J113" s="202"/>
      <c r="K113" s="202"/>
      <c r="L113" s="202"/>
      <c r="M113" s="202"/>
      <c r="N113" s="202"/>
    </row>
    <row r="114" spans="3:14" x14ac:dyDescent="0.25">
      <c r="C114" s="258">
        <v>8500</v>
      </c>
      <c r="D114">
        <f t="shared" si="0"/>
        <v>3825</v>
      </c>
      <c r="J114" s="202"/>
      <c r="K114" s="202"/>
      <c r="L114" s="202"/>
      <c r="M114" s="202"/>
      <c r="N114" s="202"/>
    </row>
    <row r="115" spans="3:14" x14ac:dyDescent="0.25">
      <c r="C115" s="258">
        <v>8550</v>
      </c>
      <c r="D115">
        <f t="shared" si="0"/>
        <v>3847.5</v>
      </c>
    </row>
    <row r="116" spans="3:14" x14ac:dyDescent="0.25">
      <c r="C116" s="258">
        <v>8600</v>
      </c>
      <c r="D116">
        <f t="shared" si="0"/>
        <v>3870</v>
      </c>
    </row>
    <row r="117" spans="3:14" x14ac:dyDescent="0.25">
      <c r="C117" s="258">
        <v>8650</v>
      </c>
      <c r="D117">
        <f t="shared" si="0"/>
        <v>3892.5</v>
      </c>
    </row>
    <row r="118" spans="3:14" x14ac:dyDescent="0.25">
      <c r="C118" s="258">
        <v>8700</v>
      </c>
      <c r="D118">
        <f t="shared" si="0"/>
        <v>3915</v>
      </c>
    </row>
    <row r="119" spans="3:14" x14ac:dyDescent="0.25">
      <c r="C119" s="258">
        <v>8750</v>
      </c>
      <c r="D119">
        <f t="shared" si="0"/>
        <v>3937.5</v>
      </c>
    </row>
    <row r="120" spans="3:14" x14ac:dyDescent="0.25">
      <c r="C120" s="258">
        <v>8800</v>
      </c>
      <c r="D120">
        <f t="shared" si="0"/>
        <v>3960</v>
      </c>
    </row>
    <row r="121" spans="3:14" x14ac:dyDescent="0.25">
      <c r="C121" s="258">
        <v>8850</v>
      </c>
      <c r="D121">
        <f t="shared" si="0"/>
        <v>3982.5</v>
      </c>
    </row>
    <row r="122" spans="3:14" x14ac:dyDescent="0.25">
      <c r="C122" s="258">
        <v>8900</v>
      </c>
      <c r="D122">
        <f t="shared" si="0"/>
        <v>4005</v>
      </c>
    </row>
    <row r="123" spans="3:14" x14ac:dyDescent="0.25">
      <c r="C123" s="258">
        <v>8950</v>
      </c>
      <c r="D123">
        <f t="shared" si="0"/>
        <v>4027.5</v>
      </c>
    </row>
    <row r="124" spans="3:14" x14ac:dyDescent="0.25">
      <c r="C124" s="258">
        <v>9000</v>
      </c>
      <c r="D124">
        <f t="shared" si="0"/>
        <v>4050</v>
      </c>
    </row>
  </sheetData>
  <mergeCells count="1">
    <mergeCell ref="M106:M107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7083A-8A3F-4626-9700-D31E48F74576}">
  <sheetPr codeName="Sheet5"/>
  <dimension ref="B4:O39"/>
  <sheetViews>
    <sheetView workbookViewId="0">
      <selection activeCell="C3" sqref="C3"/>
    </sheetView>
  </sheetViews>
  <sheetFormatPr defaultRowHeight="15" x14ac:dyDescent="0.25"/>
  <cols>
    <col min="2" max="2" width="18.7109375" customWidth="1"/>
    <col min="3" max="3" width="17.28515625" customWidth="1"/>
    <col min="4" max="4" width="11.85546875" customWidth="1"/>
    <col min="5" max="5" width="17.140625" customWidth="1"/>
    <col min="6" max="6" width="19.140625" customWidth="1"/>
    <col min="7" max="7" width="23.28515625" customWidth="1"/>
    <col min="8" max="8" width="21" customWidth="1"/>
    <col min="9" max="9" width="26.42578125" customWidth="1"/>
    <col min="10" max="10" width="13.7109375" customWidth="1"/>
    <col min="11" max="11" width="19.140625" customWidth="1"/>
    <col min="12" max="12" width="22.5703125" customWidth="1"/>
    <col min="13" max="13" width="21.140625" customWidth="1"/>
    <col min="14" max="14" width="27.42578125" customWidth="1"/>
    <col min="15" max="15" width="16" customWidth="1"/>
  </cols>
  <sheetData>
    <row r="4" spans="2:15" x14ac:dyDescent="0.25">
      <c r="I4" t="s">
        <v>94</v>
      </c>
      <c r="N4">
        <v>5.1999999999999998E-2</v>
      </c>
      <c r="O4" t="s">
        <v>94</v>
      </c>
    </row>
    <row r="5" spans="2:15" x14ac:dyDescent="0.25">
      <c r="B5" t="s">
        <v>62</v>
      </c>
      <c r="C5" t="s">
        <v>63</v>
      </c>
      <c r="D5" t="s">
        <v>65</v>
      </c>
      <c r="E5" t="s">
        <v>68</v>
      </c>
      <c r="F5" t="s">
        <v>69</v>
      </c>
      <c r="G5" t="s">
        <v>71</v>
      </c>
      <c r="H5" t="s">
        <v>95</v>
      </c>
      <c r="I5" t="s">
        <v>96</v>
      </c>
      <c r="J5" t="s">
        <v>97</v>
      </c>
    </row>
    <row r="6" spans="2:15" x14ac:dyDescent="0.25">
      <c r="B6">
        <v>8.5</v>
      </c>
      <c r="C6">
        <v>0.44199999999999995</v>
      </c>
      <c r="D6">
        <v>9</v>
      </c>
      <c r="E6">
        <v>11</v>
      </c>
      <c r="F6" s="3">
        <v>0.57199999999999995</v>
      </c>
      <c r="G6" s="3">
        <v>0.68114285714285716</v>
      </c>
      <c r="H6" s="42">
        <v>13.0989010989011</v>
      </c>
      <c r="I6" s="3">
        <v>0.54599999999999993</v>
      </c>
      <c r="J6">
        <v>10.5</v>
      </c>
    </row>
    <row r="7" spans="2:15" x14ac:dyDescent="0.25">
      <c r="B7">
        <v>8.5</v>
      </c>
      <c r="C7">
        <v>0.442</v>
      </c>
      <c r="D7">
        <v>9</v>
      </c>
      <c r="E7">
        <v>11</v>
      </c>
      <c r="F7" s="3">
        <v>0.57199999999999995</v>
      </c>
      <c r="G7" s="3">
        <v>0.68114285714285716</v>
      </c>
      <c r="H7" s="42">
        <v>13.0989010989011</v>
      </c>
      <c r="I7" s="3">
        <v>0.54599999999999993</v>
      </c>
      <c r="J7">
        <v>10.5</v>
      </c>
    </row>
    <row r="8" spans="2:15" x14ac:dyDescent="0.25">
      <c r="B8">
        <v>8.5</v>
      </c>
      <c r="C8">
        <v>0.442</v>
      </c>
      <c r="D8">
        <v>9</v>
      </c>
      <c r="E8">
        <v>11</v>
      </c>
      <c r="F8" s="3">
        <v>0.57199999999999995</v>
      </c>
      <c r="G8" s="3">
        <v>0.68114285714285716</v>
      </c>
      <c r="H8" s="42">
        <v>13.0989010989011</v>
      </c>
      <c r="I8" s="3">
        <v>0.54599999999999993</v>
      </c>
      <c r="J8">
        <v>10.5</v>
      </c>
    </row>
    <row r="9" spans="2:15" x14ac:dyDescent="0.25">
      <c r="B9">
        <v>8.5</v>
      </c>
      <c r="C9">
        <v>0.442</v>
      </c>
      <c r="D9">
        <v>9</v>
      </c>
      <c r="E9">
        <v>11</v>
      </c>
      <c r="F9" s="3">
        <v>0.57199999999999995</v>
      </c>
      <c r="G9" s="3">
        <v>0.68114285714285716</v>
      </c>
      <c r="H9" s="42">
        <v>13.0989010989011</v>
      </c>
      <c r="I9" s="3">
        <v>0.54599999999999993</v>
      </c>
      <c r="J9">
        <v>10.5</v>
      </c>
    </row>
    <row r="10" spans="2:15" x14ac:dyDescent="0.25">
      <c r="B10">
        <v>8.5</v>
      </c>
      <c r="C10">
        <v>0.442</v>
      </c>
      <c r="D10">
        <v>9</v>
      </c>
      <c r="E10">
        <v>11</v>
      </c>
      <c r="F10" s="3">
        <v>0.57199999999999995</v>
      </c>
      <c r="G10" s="3">
        <v>0.68114285714285716</v>
      </c>
      <c r="H10" s="42">
        <v>13.0989010989011</v>
      </c>
      <c r="I10" s="3">
        <v>0.54599999999999993</v>
      </c>
      <c r="J10">
        <v>10.5</v>
      </c>
    </row>
    <row r="11" spans="2:15" x14ac:dyDescent="0.25">
      <c r="B11">
        <v>8.5</v>
      </c>
      <c r="C11">
        <v>0.442</v>
      </c>
      <c r="D11">
        <v>9</v>
      </c>
      <c r="E11">
        <v>11</v>
      </c>
      <c r="F11" s="3">
        <v>0.57199999999999995</v>
      </c>
      <c r="G11" s="3">
        <v>0.68114285714285716</v>
      </c>
      <c r="H11" s="42">
        <v>13.0989010989011</v>
      </c>
      <c r="I11" s="3">
        <v>0.54599999999999993</v>
      </c>
      <c r="J11">
        <v>10.5</v>
      </c>
    </row>
    <row r="12" spans="2:15" x14ac:dyDescent="0.25">
      <c r="B12">
        <v>8.5</v>
      </c>
      <c r="C12">
        <v>0.442</v>
      </c>
      <c r="D12">
        <v>9</v>
      </c>
      <c r="E12">
        <v>12</v>
      </c>
      <c r="F12" s="3">
        <v>0.624</v>
      </c>
      <c r="G12" s="3">
        <v>0.68114285714285716</v>
      </c>
      <c r="H12" s="42">
        <v>13.0989010989011</v>
      </c>
      <c r="I12" s="3">
        <v>0.59799999999999998</v>
      </c>
      <c r="J12">
        <v>11.5</v>
      </c>
    </row>
    <row r="13" spans="2:15" x14ac:dyDescent="0.25">
      <c r="B13">
        <v>8.5</v>
      </c>
      <c r="C13">
        <v>0.442</v>
      </c>
      <c r="D13">
        <v>9</v>
      </c>
      <c r="E13">
        <v>12</v>
      </c>
      <c r="F13" s="3">
        <v>0.624</v>
      </c>
      <c r="G13" s="3">
        <v>0.68114285714285716</v>
      </c>
      <c r="H13" s="42">
        <v>13.0989010989011</v>
      </c>
      <c r="I13" s="3">
        <v>0.59799999999999998</v>
      </c>
      <c r="J13">
        <v>11.5</v>
      </c>
    </row>
    <row r="14" spans="2:15" x14ac:dyDescent="0.25">
      <c r="B14">
        <v>8.5</v>
      </c>
      <c r="C14">
        <v>0.442</v>
      </c>
      <c r="D14">
        <v>9</v>
      </c>
      <c r="E14">
        <v>13.5</v>
      </c>
      <c r="F14" s="3">
        <v>0.70199999999999996</v>
      </c>
      <c r="G14" s="3">
        <v>0.68114285714285716</v>
      </c>
      <c r="H14" s="42">
        <v>13.0989010989011</v>
      </c>
      <c r="I14" s="3">
        <v>0.67599999999999993</v>
      </c>
      <c r="J14">
        <v>13</v>
      </c>
    </row>
    <row r="15" spans="2:15" x14ac:dyDescent="0.25">
      <c r="B15">
        <v>9</v>
      </c>
      <c r="C15">
        <v>0.46799999999999997</v>
      </c>
      <c r="D15">
        <v>9.5</v>
      </c>
      <c r="E15">
        <v>13.5</v>
      </c>
      <c r="F15" s="3">
        <v>0.70199999999999996</v>
      </c>
      <c r="G15" s="3">
        <v>0.69599999999999995</v>
      </c>
      <c r="H15" s="42">
        <v>13.384615384615385</v>
      </c>
      <c r="I15" s="3">
        <v>0.67599999999999993</v>
      </c>
      <c r="J15">
        <v>13</v>
      </c>
    </row>
    <row r="16" spans="2:15" x14ac:dyDescent="0.25">
      <c r="B16">
        <v>9</v>
      </c>
      <c r="C16">
        <v>0.46800000000000003</v>
      </c>
      <c r="D16">
        <v>9.5</v>
      </c>
      <c r="E16">
        <v>14</v>
      </c>
      <c r="F16" s="3">
        <v>0.72799999999999998</v>
      </c>
      <c r="G16" s="3">
        <v>0.69600000000000006</v>
      </c>
      <c r="H16" s="42">
        <v>13.384615384615387</v>
      </c>
      <c r="I16" s="3">
        <v>0.70199999999999996</v>
      </c>
      <c r="J16">
        <v>13.5</v>
      </c>
    </row>
    <row r="17" spans="2:10" x14ac:dyDescent="0.25">
      <c r="B17">
        <v>9</v>
      </c>
      <c r="C17">
        <v>0.46800000000000003</v>
      </c>
      <c r="D17">
        <v>9.5</v>
      </c>
      <c r="E17">
        <v>14.5</v>
      </c>
      <c r="F17" s="3">
        <v>0.754</v>
      </c>
      <c r="G17" s="3">
        <v>0.69600000000000006</v>
      </c>
      <c r="H17" s="42">
        <v>13.384615384615387</v>
      </c>
      <c r="I17" s="3">
        <v>0.72799999999999998</v>
      </c>
      <c r="J17">
        <v>14</v>
      </c>
    </row>
    <row r="18" spans="2:10" x14ac:dyDescent="0.25">
      <c r="B18">
        <v>9</v>
      </c>
      <c r="C18">
        <v>0.46800000000000003</v>
      </c>
      <c r="D18">
        <v>9.5</v>
      </c>
      <c r="E18">
        <v>15</v>
      </c>
      <c r="F18" s="3">
        <v>0.77999999999999992</v>
      </c>
      <c r="G18" s="3">
        <v>0.69600000000000006</v>
      </c>
      <c r="H18" s="42">
        <v>13.384615384615387</v>
      </c>
      <c r="I18" s="3">
        <v>0.754</v>
      </c>
      <c r="J18">
        <v>14.5</v>
      </c>
    </row>
    <row r="19" spans="2:10" x14ac:dyDescent="0.25">
      <c r="B19">
        <v>9.5</v>
      </c>
      <c r="C19">
        <v>0.49399999999999999</v>
      </c>
      <c r="D19">
        <v>10</v>
      </c>
      <c r="E19">
        <v>15.7</v>
      </c>
      <c r="F19" s="3">
        <v>0.8163999999999999</v>
      </c>
      <c r="G19" s="3">
        <v>0.71085714285714285</v>
      </c>
      <c r="H19" s="42">
        <v>13.670329670329672</v>
      </c>
      <c r="I19" s="3">
        <v>0.79039999999999988</v>
      </c>
      <c r="J19">
        <v>15.2</v>
      </c>
    </row>
    <row r="20" spans="2:10" x14ac:dyDescent="0.25">
      <c r="B20">
        <v>9.5</v>
      </c>
      <c r="C20">
        <v>0.49399999999999994</v>
      </c>
      <c r="D20">
        <v>10</v>
      </c>
      <c r="E20">
        <v>15.7</v>
      </c>
      <c r="F20" s="3">
        <v>0.8163999999999999</v>
      </c>
      <c r="G20" s="3">
        <v>0.76646153846153842</v>
      </c>
      <c r="H20" s="42">
        <v>14.739644970414201</v>
      </c>
      <c r="I20" s="3">
        <v>0.79039999999999988</v>
      </c>
      <c r="J20">
        <v>15.2</v>
      </c>
    </row>
    <row r="21" spans="2:10" x14ac:dyDescent="0.25">
      <c r="B21">
        <v>9.5</v>
      </c>
      <c r="C21">
        <v>0.49399999999999999</v>
      </c>
      <c r="D21">
        <v>10</v>
      </c>
      <c r="E21">
        <v>15.7</v>
      </c>
      <c r="F21" s="3">
        <v>0.8163999999999999</v>
      </c>
      <c r="G21" s="3">
        <v>0.76646153846153853</v>
      </c>
      <c r="H21" s="42">
        <v>14.739644970414203</v>
      </c>
      <c r="I21" s="3">
        <v>0.79039999999999988</v>
      </c>
      <c r="J21">
        <v>15.2</v>
      </c>
    </row>
    <row r="22" spans="2:10" x14ac:dyDescent="0.25">
      <c r="B22">
        <v>9.5</v>
      </c>
      <c r="C22">
        <v>0.49399999999999994</v>
      </c>
      <c r="D22">
        <v>10</v>
      </c>
      <c r="E22">
        <v>15.7</v>
      </c>
      <c r="F22" s="3">
        <v>0.8163999999999999</v>
      </c>
      <c r="G22" s="3">
        <v>0.76646153846153842</v>
      </c>
      <c r="H22" s="42">
        <v>14.739644970414201</v>
      </c>
      <c r="I22" s="3">
        <v>0.79039999999999988</v>
      </c>
      <c r="J22">
        <v>15.2</v>
      </c>
    </row>
    <row r="23" spans="2:10" x14ac:dyDescent="0.25">
      <c r="B23">
        <v>9.5</v>
      </c>
      <c r="C23">
        <v>0.49399999999999999</v>
      </c>
      <c r="D23">
        <v>10</v>
      </c>
      <c r="E23">
        <v>15.7</v>
      </c>
      <c r="F23" s="3">
        <v>0.8163999999999999</v>
      </c>
      <c r="G23" s="3">
        <v>0.76646153846153853</v>
      </c>
      <c r="H23" s="42">
        <v>14.739644970414203</v>
      </c>
      <c r="I23" s="3">
        <v>0.79039999999999988</v>
      </c>
      <c r="J23">
        <v>15.2</v>
      </c>
    </row>
    <row r="24" spans="2:10" x14ac:dyDescent="0.25">
      <c r="B24">
        <v>9.5</v>
      </c>
      <c r="C24">
        <v>0.49399999999999999</v>
      </c>
      <c r="D24">
        <v>10</v>
      </c>
      <c r="E24">
        <v>15.7</v>
      </c>
      <c r="F24" s="3">
        <v>0.8163999999999999</v>
      </c>
      <c r="G24" s="3">
        <v>0.76646153846153853</v>
      </c>
      <c r="H24" s="42">
        <v>14.739644970414203</v>
      </c>
      <c r="I24" s="3">
        <v>0.79039999999999988</v>
      </c>
      <c r="J24">
        <v>15.2</v>
      </c>
    </row>
    <row r="25" spans="2:10" x14ac:dyDescent="0.25">
      <c r="B25">
        <v>9.5</v>
      </c>
      <c r="C25">
        <v>0.49399999999999994</v>
      </c>
      <c r="D25">
        <v>10</v>
      </c>
      <c r="E25">
        <v>15.7</v>
      </c>
      <c r="F25" s="3">
        <v>0.8163999999999999</v>
      </c>
      <c r="G25" s="3">
        <v>0.76646153846153842</v>
      </c>
      <c r="H25" s="42">
        <v>14.739644970414201</v>
      </c>
      <c r="I25" s="3">
        <v>0.79039999999999988</v>
      </c>
      <c r="J25">
        <v>15.2</v>
      </c>
    </row>
    <row r="26" spans="2:10" x14ac:dyDescent="0.25">
      <c r="B26">
        <v>9.5</v>
      </c>
      <c r="C26">
        <v>0.49399999999999994</v>
      </c>
      <c r="D26">
        <v>10</v>
      </c>
      <c r="E26">
        <v>15.7</v>
      </c>
      <c r="F26" s="3">
        <v>0.8163999999999999</v>
      </c>
      <c r="G26" s="3">
        <v>0.76646153846153842</v>
      </c>
      <c r="H26" s="42">
        <v>14.739644970414201</v>
      </c>
      <c r="I26" s="3">
        <v>0.79039999999999988</v>
      </c>
      <c r="J26">
        <v>15.2</v>
      </c>
    </row>
    <row r="27" spans="2:10" x14ac:dyDescent="0.25">
      <c r="B27">
        <v>9.5</v>
      </c>
      <c r="C27">
        <v>0.49399999999999999</v>
      </c>
      <c r="D27">
        <v>10</v>
      </c>
      <c r="E27">
        <v>15.7</v>
      </c>
      <c r="F27" s="3">
        <v>0.8163999999999999</v>
      </c>
      <c r="G27" s="3">
        <v>0.76646153846153853</v>
      </c>
      <c r="H27" s="42">
        <v>14.739644970414203</v>
      </c>
      <c r="I27" s="3">
        <v>0.79039999999999988</v>
      </c>
      <c r="J27">
        <v>15.2</v>
      </c>
    </row>
    <row r="28" spans="2:10" x14ac:dyDescent="0.25">
      <c r="B28">
        <v>9.5</v>
      </c>
      <c r="C28">
        <v>0.49399999999999999</v>
      </c>
      <c r="D28">
        <v>10</v>
      </c>
      <c r="E28">
        <v>15.7</v>
      </c>
      <c r="F28" s="3">
        <v>0.8163999999999999</v>
      </c>
      <c r="G28" s="3">
        <v>0.75</v>
      </c>
      <c r="H28" s="42">
        <v>14.423076923076923</v>
      </c>
      <c r="I28" s="3">
        <v>0.79039999999999988</v>
      </c>
      <c r="J28">
        <v>15.2</v>
      </c>
    </row>
    <row r="29" spans="2:10" x14ac:dyDescent="0.25">
      <c r="B29">
        <v>9.5</v>
      </c>
      <c r="C29">
        <v>0.49399999999999999</v>
      </c>
      <c r="D29">
        <v>10</v>
      </c>
      <c r="E29">
        <v>15.7</v>
      </c>
      <c r="F29" s="3">
        <v>0.8163999999999999</v>
      </c>
      <c r="G29" s="3">
        <v>0.76646153846153853</v>
      </c>
      <c r="H29" s="42">
        <v>14.739644970414203</v>
      </c>
      <c r="I29" s="3">
        <v>0.79039999999999988</v>
      </c>
      <c r="J29">
        <v>15.2</v>
      </c>
    </row>
    <row r="30" spans="2:10" x14ac:dyDescent="0.25">
      <c r="B30">
        <v>9.5</v>
      </c>
      <c r="C30">
        <v>0.49399999999999999</v>
      </c>
      <c r="D30">
        <v>10</v>
      </c>
      <c r="E30">
        <v>15.7</v>
      </c>
      <c r="F30" s="3">
        <v>0.8163999999999999</v>
      </c>
      <c r="G30" s="3">
        <v>0.76646153846153853</v>
      </c>
      <c r="H30" s="42">
        <v>14.739644970414203</v>
      </c>
      <c r="I30" s="3">
        <v>0.79039999999999988</v>
      </c>
      <c r="J30">
        <v>15.2</v>
      </c>
    </row>
    <row r="31" spans="2:10" x14ac:dyDescent="0.25">
      <c r="B31">
        <v>9.5</v>
      </c>
      <c r="C31">
        <v>0.49399999999999994</v>
      </c>
      <c r="D31">
        <v>10</v>
      </c>
      <c r="E31">
        <v>15.7</v>
      </c>
      <c r="F31" s="3">
        <v>0.8163999999999999</v>
      </c>
      <c r="G31" s="3">
        <v>0.76646153846153842</v>
      </c>
      <c r="H31" s="42">
        <v>14.739644970414201</v>
      </c>
      <c r="I31" s="3">
        <v>0.79039999999999988</v>
      </c>
      <c r="J31">
        <v>15.2</v>
      </c>
    </row>
    <row r="32" spans="2:10" x14ac:dyDescent="0.25">
      <c r="B32">
        <v>9.5</v>
      </c>
      <c r="C32">
        <v>0.49399999999999994</v>
      </c>
      <c r="D32">
        <v>10</v>
      </c>
      <c r="E32">
        <v>15.7</v>
      </c>
      <c r="F32" s="3">
        <v>0.8163999999999999</v>
      </c>
      <c r="G32" s="3">
        <v>0.76646153846153842</v>
      </c>
      <c r="H32" s="42">
        <v>14.739644970414201</v>
      </c>
      <c r="I32" s="3">
        <v>0.79039999999999988</v>
      </c>
      <c r="J32">
        <v>15.2</v>
      </c>
    </row>
    <row r="33" spans="2:10" x14ac:dyDescent="0.25">
      <c r="B33">
        <v>9.5</v>
      </c>
      <c r="C33">
        <v>0.49399999999999999</v>
      </c>
      <c r="D33">
        <v>10</v>
      </c>
      <c r="E33">
        <v>15.7</v>
      </c>
      <c r="F33" s="3">
        <v>0.8163999999999999</v>
      </c>
      <c r="G33" s="3">
        <v>0.76646153846153853</v>
      </c>
      <c r="H33" s="42">
        <v>14.739644970414203</v>
      </c>
      <c r="I33" s="3">
        <v>0.79039999999999988</v>
      </c>
      <c r="J33">
        <v>15.2</v>
      </c>
    </row>
    <row r="34" spans="2:10" x14ac:dyDescent="0.25">
      <c r="B34">
        <v>9.5</v>
      </c>
      <c r="C34">
        <v>0.49399999999999999</v>
      </c>
      <c r="D34">
        <v>10</v>
      </c>
      <c r="E34">
        <v>15.7</v>
      </c>
      <c r="F34" s="3">
        <v>0.8163999999999999</v>
      </c>
      <c r="G34" s="3">
        <v>0.76646153846153853</v>
      </c>
      <c r="H34" s="42">
        <v>14.739644970414203</v>
      </c>
      <c r="I34" s="3">
        <v>0.79039999999999988</v>
      </c>
      <c r="J34">
        <v>15.2</v>
      </c>
    </row>
    <row r="35" spans="2:10" x14ac:dyDescent="0.25">
      <c r="B35">
        <v>9.5</v>
      </c>
      <c r="C35">
        <v>0.49399999999999999</v>
      </c>
      <c r="D35">
        <v>10</v>
      </c>
      <c r="E35">
        <v>15.7</v>
      </c>
      <c r="F35" s="3">
        <v>0.8163999999999999</v>
      </c>
      <c r="G35" s="3">
        <v>0.7911746031746032</v>
      </c>
      <c r="H35" s="42">
        <v>15.214896214896216</v>
      </c>
      <c r="I35" s="3">
        <v>0.79039999999999988</v>
      </c>
      <c r="J35">
        <v>15.2</v>
      </c>
    </row>
    <row r="36" spans="2:10" x14ac:dyDescent="0.25">
      <c r="B36">
        <v>9.5</v>
      </c>
      <c r="C36">
        <v>0.49399999999999994</v>
      </c>
      <c r="D36">
        <v>10</v>
      </c>
      <c r="E36">
        <v>15.7</v>
      </c>
      <c r="F36" s="3">
        <v>0.8163999999999999</v>
      </c>
      <c r="G36" s="3">
        <v>0.83133333333333326</v>
      </c>
      <c r="H36" s="42">
        <v>15.987179487179487</v>
      </c>
      <c r="I36" s="3">
        <v>0.79039999999999988</v>
      </c>
      <c r="J36">
        <v>15.2</v>
      </c>
    </row>
    <row r="37" spans="2:10" x14ac:dyDescent="0.25">
      <c r="B37">
        <v>9.5</v>
      </c>
      <c r="C37">
        <v>0.49399999999999994</v>
      </c>
      <c r="D37">
        <v>10</v>
      </c>
      <c r="E37">
        <v>15.7</v>
      </c>
      <c r="F37" s="3">
        <v>0.8163999999999999</v>
      </c>
      <c r="G37" s="3">
        <v>0.83133333333333326</v>
      </c>
      <c r="H37" s="42">
        <v>15.987179487179487</v>
      </c>
      <c r="I37" s="3">
        <v>0.79039999999999988</v>
      </c>
      <c r="J37">
        <v>15.2</v>
      </c>
    </row>
    <row r="38" spans="2:10" x14ac:dyDescent="0.25">
      <c r="B38">
        <v>9.5</v>
      </c>
      <c r="C38">
        <v>0.49399999999999999</v>
      </c>
      <c r="D38">
        <v>10</v>
      </c>
      <c r="E38">
        <v>15.7</v>
      </c>
      <c r="F38" s="3">
        <v>0.8163999999999999</v>
      </c>
      <c r="G38" s="3">
        <v>0.83133333333333337</v>
      </c>
      <c r="H38" s="42">
        <v>15.987179487179489</v>
      </c>
      <c r="I38" s="3">
        <v>0.79039999999999988</v>
      </c>
      <c r="J38">
        <v>15.2</v>
      </c>
    </row>
    <row r="39" spans="2:10" x14ac:dyDescent="0.25">
      <c r="B39">
        <v>9.5</v>
      </c>
      <c r="C39">
        <v>0.49399999999999999</v>
      </c>
      <c r="D39">
        <v>10</v>
      </c>
      <c r="E39">
        <v>15.7</v>
      </c>
      <c r="F39" s="3">
        <v>0.8163999999999999</v>
      </c>
      <c r="G39" s="3">
        <v>0.83133333333333337</v>
      </c>
      <c r="H39" s="42">
        <v>15.987179487179489</v>
      </c>
      <c r="I39" s="3">
        <v>0.79039999999999988</v>
      </c>
      <c r="J39">
        <v>15.2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B1:P87"/>
  <sheetViews>
    <sheetView zoomScale="110" zoomScaleNormal="110" workbookViewId="0">
      <selection activeCell="I14" sqref="I14"/>
    </sheetView>
  </sheetViews>
  <sheetFormatPr defaultRowHeight="15" x14ac:dyDescent="0.25"/>
  <cols>
    <col min="2" max="2" width="10.42578125" customWidth="1"/>
    <col min="3" max="3" width="25.140625" customWidth="1"/>
    <col min="4" max="4" width="32.5703125" customWidth="1"/>
    <col min="5" max="5" width="22.28515625" customWidth="1"/>
    <col min="6" max="6" width="17.85546875" customWidth="1"/>
    <col min="9" max="9" width="11.85546875" customWidth="1"/>
    <col min="10" max="10" width="11.7109375" customWidth="1"/>
    <col min="11" max="11" width="9" customWidth="1"/>
    <col min="12" max="12" width="13.85546875" customWidth="1"/>
    <col min="15" max="15" width="11.28515625" customWidth="1"/>
  </cols>
  <sheetData>
    <row r="1" spans="2:6" ht="32.25" customHeight="1" x14ac:dyDescent="0.25">
      <c r="B1" s="39" t="s">
        <v>166</v>
      </c>
      <c r="C1" s="39"/>
    </row>
    <row r="3" spans="2:6" x14ac:dyDescent="0.25">
      <c r="B3" s="19" t="s">
        <v>167</v>
      </c>
      <c r="C3" s="22" t="s">
        <v>168</v>
      </c>
      <c r="D3" s="22" t="s">
        <v>169</v>
      </c>
      <c r="E3" s="312" t="s">
        <v>170</v>
      </c>
      <c r="F3" s="19" t="s">
        <v>171</v>
      </c>
    </row>
    <row r="4" spans="2:6" x14ac:dyDescent="0.25">
      <c r="B4" s="19">
        <v>1</v>
      </c>
      <c r="C4" s="19">
        <v>500</v>
      </c>
      <c r="D4" s="19">
        <v>221</v>
      </c>
      <c r="E4" s="40">
        <v>273</v>
      </c>
      <c r="F4" s="19" t="s">
        <v>172</v>
      </c>
    </row>
    <row r="5" spans="2:6" x14ac:dyDescent="0.25">
      <c r="B5" s="19">
        <v>2</v>
      </c>
      <c r="C5" s="19">
        <v>3300</v>
      </c>
      <c r="D5" s="19">
        <v>1458.6</v>
      </c>
      <c r="E5" s="40">
        <v>1973</v>
      </c>
      <c r="F5" s="19" t="s">
        <v>173</v>
      </c>
    </row>
    <row r="6" spans="2:6" x14ac:dyDescent="0.25">
      <c r="B6" s="19">
        <v>3</v>
      </c>
      <c r="C6" s="19">
        <v>4100</v>
      </c>
      <c r="D6" s="19">
        <v>1918.8</v>
      </c>
      <c r="E6" s="40">
        <v>2772</v>
      </c>
      <c r="F6" s="19" t="s">
        <v>174</v>
      </c>
    </row>
    <row r="7" spans="2:6" x14ac:dyDescent="0.25">
      <c r="B7" s="19">
        <v>4</v>
      </c>
      <c r="C7" s="19">
        <v>7700</v>
      </c>
      <c r="D7" s="19">
        <v>3603</v>
      </c>
      <c r="E7" s="40">
        <v>5806</v>
      </c>
      <c r="F7" s="19" t="s">
        <v>175</v>
      </c>
    </row>
    <row r="8" spans="2:6" x14ac:dyDescent="0.25">
      <c r="B8" s="19">
        <v>5</v>
      </c>
      <c r="C8" s="19">
        <v>9000</v>
      </c>
      <c r="D8" s="19">
        <v>4446</v>
      </c>
      <c r="E8" s="40">
        <v>7114</v>
      </c>
      <c r="F8" s="19" t="s">
        <v>176</v>
      </c>
    </row>
    <row r="10" spans="2:6" x14ac:dyDescent="0.25">
      <c r="B10" s="22" t="s">
        <v>177</v>
      </c>
      <c r="C10" s="19"/>
      <c r="D10" s="19"/>
    </row>
    <row r="11" spans="2:6" x14ac:dyDescent="0.25">
      <c r="B11" s="19" t="s">
        <v>178</v>
      </c>
      <c r="C11" s="19"/>
      <c r="D11" s="19">
        <f>C5</f>
        <v>3300</v>
      </c>
    </row>
    <row r="12" spans="2:6" x14ac:dyDescent="0.25">
      <c r="B12" s="19" t="s">
        <v>179</v>
      </c>
      <c r="C12" s="19"/>
      <c r="D12" s="19">
        <v>8.5</v>
      </c>
    </row>
    <row r="13" spans="2:6" x14ac:dyDescent="0.25">
      <c r="B13" s="31" t="s">
        <v>180</v>
      </c>
      <c r="C13" s="31"/>
      <c r="D13" s="31">
        <f>C6</f>
        <v>4100</v>
      </c>
    </row>
    <row r="14" spans="2:6" x14ac:dyDescent="0.25">
      <c r="B14" s="19" t="s">
        <v>181</v>
      </c>
      <c r="C14" s="19"/>
      <c r="D14" s="19"/>
      <c r="E14" s="31">
        <v>8.5</v>
      </c>
    </row>
    <row r="15" spans="2:6" x14ac:dyDescent="0.25">
      <c r="B15" s="19" t="s">
        <v>182</v>
      </c>
      <c r="C15" s="19"/>
      <c r="D15" s="19"/>
      <c r="E15" s="19">
        <v>11.5</v>
      </c>
    </row>
    <row r="16" spans="2:6" x14ac:dyDescent="0.25">
      <c r="B16" s="33" t="s">
        <v>183</v>
      </c>
      <c r="C16" s="33"/>
      <c r="D16" s="32">
        <v>0.1</v>
      </c>
    </row>
    <row r="17" spans="2:16" ht="14.25" customHeight="1" x14ac:dyDescent="0.25">
      <c r="B17" s="23" t="s">
        <v>184</v>
      </c>
      <c r="C17" s="25"/>
      <c r="D17" t="s">
        <v>185</v>
      </c>
      <c r="E17">
        <v>9</v>
      </c>
    </row>
    <row r="18" spans="2:16" x14ac:dyDescent="0.25">
      <c r="B18" s="26" t="s">
        <v>186</v>
      </c>
      <c r="C18" s="27">
        <v>1.1000000000000001</v>
      </c>
      <c r="D18">
        <v>5.1999999999999998E-2</v>
      </c>
    </row>
    <row r="19" spans="2:16" x14ac:dyDescent="0.25">
      <c r="B19" s="28" t="s">
        <v>187</v>
      </c>
      <c r="C19" s="30">
        <v>1</v>
      </c>
    </row>
    <row r="21" spans="2:16" x14ac:dyDescent="0.25">
      <c r="B21" s="21" t="s">
        <v>188</v>
      </c>
      <c r="C21" s="10"/>
    </row>
    <row r="22" spans="2:16" x14ac:dyDescent="0.25">
      <c r="B22" s="1" t="s">
        <v>189</v>
      </c>
      <c r="G22" s="37" t="s">
        <v>190</v>
      </c>
      <c r="H22" s="24"/>
      <c r="I22" s="24"/>
      <c r="J22" s="25"/>
      <c r="L22" s="19" t="s">
        <v>191</v>
      </c>
      <c r="M22" s="19"/>
      <c r="N22" s="19"/>
      <c r="O22" s="19"/>
      <c r="P22" s="19"/>
    </row>
    <row r="23" spans="2:16" x14ac:dyDescent="0.25">
      <c r="B23" s="19" t="s">
        <v>192</v>
      </c>
      <c r="C23" s="19"/>
      <c r="D23" s="19">
        <f>E14*D18*D13</f>
        <v>1812.2</v>
      </c>
      <c r="E23" s="19"/>
      <c r="G23" s="19" t="s">
        <v>193</v>
      </c>
      <c r="H23" s="19"/>
      <c r="I23" s="19"/>
      <c r="J23" s="19">
        <v>0</v>
      </c>
      <c r="L23" s="19" t="s">
        <v>2</v>
      </c>
      <c r="M23" s="19" t="s">
        <v>194</v>
      </c>
      <c r="N23" s="19" t="s">
        <v>195</v>
      </c>
      <c r="O23" s="19" t="s">
        <v>196</v>
      </c>
      <c r="P23" s="19" t="s">
        <v>197</v>
      </c>
    </row>
    <row r="24" spans="2:16" x14ac:dyDescent="0.25">
      <c r="B24" s="19" t="s">
        <v>198</v>
      </c>
      <c r="C24" s="19"/>
      <c r="D24" s="19">
        <f>D23 - (D16*D13)</f>
        <v>1402.2</v>
      </c>
      <c r="E24" s="19" t="s">
        <v>199</v>
      </c>
      <c r="G24" s="19" t="s">
        <v>200</v>
      </c>
      <c r="H24" s="19"/>
      <c r="I24" s="19"/>
      <c r="J24" s="19">
        <f>D12*D18*D11</f>
        <v>1458.6</v>
      </c>
      <c r="L24" s="19" t="s">
        <v>201</v>
      </c>
      <c r="M24" s="19">
        <f>D24</f>
        <v>1402.2</v>
      </c>
      <c r="N24" s="19">
        <f>J23</f>
        <v>0</v>
      </c>
      <c r="O24" s="19">
        <f>M24-N24</f>
        <v>1402.2</v>
      </c>
      <c r="P24" s="19">
        <f>O24*$C$18</f>
        <v>1542.42</v>
      </c>
    </row>
    <row r="25" spans="2:16" x14ac:dyDescent="0.25">
      <c r="B25" s="19" t="s">
        <v>202</v>
      </c>
      <c r="C25" s="19"/>
      <c r="D25" s="19">
        <f xml:space="preserve"> D23 - (D16*D11)</f>
        <v>1482.2</v>
      </c>
      <c r="E25" s="19" t="s">
        <v>203</v>
      </c>
      <c r="L25" s="19" t="s">
        <v>204</v>
      </c>
      <c r="M25" s="19">
        <f>D25</f>
        <v>1482.2</v>
      </c>
      <c r="N25" s="19">
        <f>J24</f>
        <v>1458.6</v>
      </c>
      <c r="O25" s="19">
        <f>M25-N25</f>
        <v>23.600000000000136</v>
      </c>
      <c r="P25" s="19">
        <f>O25*$C$18</f>
        <v>25.960000000000154</v>
      </c>
    </row>
    <row r="26" spans="2:16" x14ac:dyDescent="0.25">
      <c r="B26" s="34" t="s">
        <v>205</v>
      </c>
      <c r="C26" s="12"/>
      <c r="D26" t="s">
        <v>206</v>
      </c>
      <c r="E26" s="27"/>
    </row>
    <row r="27" spans="2:16" x14ac:dyDescent="0.25">
      <c r="B27" s="35" t="s">
        <v>207</v>
      </c>
      <c r="C27" s="36">
        <f>E15*D18*D11</f>
        <v>1973.3999999999999</v>
      </c>
      <c r="D27" s="29" t="s">
        <v>208</v>
      </c>
      <c r="E27" s="30"/>
    </row>
    <row r="29" spans="2:16" x14ac:dyDescent="0.25">
      <c r="B29" s="1" t="s">
        <v>209</v>
      </c>
    </row>
    <row r="30" spans="2:16" x14ac:dyDescent="0.25">
      <c r="B30" s="37" t="s">
        <v>210</v>
      </c>
      <c r="C30" s="24"/>
      <c r="D30" s="25"/>
      <c r="G30" s="37" t="s">
        <v>211</v>
      </c>
      <c r="H30" s="24"/>
      <c r="I30" s="24"/>
      <c r="J30" s="25"/>
      <c r="L30" s="19" t="s">
        <v>212</v>
      </c>
      <c r="M30" s="19"/>
      <c r="N30" s="19"/>
      <c r="O30" s="19"/>
      <c r="P30" s="19"/>
    </row>
    <row r="31" spans="2:16" x14ac:dyDescent="0.25">
      <c r="B31" s="19" t="s">
        <v>193</v>
      </c>
      <c r="C31" s="19"/>
      <c r="D31" s="19">
        <v>0</v>
      </c>
      <c r="E31" s="38" t="s">
        <v>213</v>
      </c>
      <c r="G31" s="19" t="s">
        <v>214</v>
      </c>
      <c r="H31" s="19"/>
      <c r="I31" s="19"/>
      <c r="J31" s="19">
        <v>0</v>
      </c>
      <c r="L31" s="19" t="s">
        <v>2</v>
      </c>
      <c r="M31" s="19" t="s">
        <v>194</v>
      </c>
      <c r="N31" s="19" t="s">
        <v>195</v>
      </c>
      <c r="O31" s="19" t="s">
        <v>215</v>
      </c>
      <c r="P31" s="19" t="s">
        <v>216</v>
      </c>
    </row>
    <row r="32" spans="2:16" x14ac:dyDescent="0.25">
      <c r="B32" s="19" t="s">
        <v>217</v>
      </c>
      <c r="C32" s="19"/>
      <c r="D32" s="19">
        <v>0</v>
      </c>
      <c r="E32" s="38" t="s">
        <v>218</v>
      </c>
      <c r="G32" s="19" t="s">
        <v>217</v>
      </c>
      <c r="H32" s="19"/>
      <c r="I32" s="19"/>
      <c r="J32" s="19">
        <f>J24</f>
        <v>1458.6</v>
      </c>
      <c r="L32" s="19" t="s">
        <v>201</v>
      </c>
      <c r="M32" s="19">
        <v>0</v>
      </c>
      <c r="N32" s="19">
        <v>0</v>
      </c>
      <c r="O32" s="19">
        <v>0</v>
      </c>
      <c r="P32" s="19">
        <v>0</v>
      </c>
    </row>
    <row r="33" spans="2:16" x14ac:dyDescent="0.25">
      <c r="L33" s="19" t="s">
        <v>204</v>
      </c>
      <c r="M33" s="19">
        <v>0</v>
      </c>
      <c r="N33" s="19">
        <f>J32</f>
        <v>1458.6</v>
      </c>
      <c r="O33" s="19">
        <f>N33</f>
        <v>1458.6</v>
      </c>
      <c r="P33" s="19">
        <f>O33</f>
        <v>1458.6</v>
      </c>
    </row>
    <row r="36" spans="2:16" x14ac:dyDescent="0.25">
      <c r="B36" s="53" t="s">
        <v>219</v>
      </c>
      <c r="C36" s="54"/>
    </row>
    <row r="37" spans="2:16" ht="19.5" customHeight="1" x14ac:dyDescent="0.25">
      <c r="B37" s="19" t="s">
        <v>220</v>
      </c>
      <c r="C37" s="19"/>
      <c r="D37" s="19"/>
    </row>
    <row r="38" spans="2:16" x14ac:dyDescent="0.25">
      <c r="B38" s="19" t="s">
        <v>178</v>
      </c>
      <c r="C38" s="19"/>
      <c r="D38" s="19">
        <f>C7</f>
        <v>7700</v>
      </c>
    </row>
    <row r="39" spans="2:16" x14ac:dyDescent="0.25">
      <c r="B39" s="19" t="s">
        <v>221</v>
      </c>
      <c r="C39" s="19"/>
      <c r="D39" s="19">
        <v>7900</v>
      </c>
      <c r="H39">
        <f>9</f>
        <v>9</v>
      </c>
    </row>
    <row r="40" spans="2:16" x14ac:dyDescent="0.25">
      <c r="B40" s="19" t="s">
        <v>222</v>
      </c>
      <c r="C40" s="19"/>
      <c r="D40" s="19">
        <v>8130</v>
      </c>
    </row>
    <row r="41" spans="2:16" x14ac:dyDescent="0.25">
      <c r="B41" s="19" t="s">
        <v>223</v>
      </c>
      <c r="C41" s="19"/>
      <c r="D41" s="19"/>
      <c r="E41" s="19">
        <v>3790.8</v>
      </c>
    </row>
    <row r="42" spans="2:16" x14ac:dyDescent="0.25">
      <c r="B42" s="19" t="s">
        <v>183</v>
      </c>
      <c r="C42" s="19"/>
      <c r="D42" s="19">
        <v>0.1</v>
      </c>
    </row>
    <row r="43" spans="2:16" x14ac:dyDescent="0.25">
      <c r="B43" s="19" t="s">
        <v>184</v>
      </c>
      <c r="C43" s="19"/>
      <c r="D43" s="24"/>
    </row>
    <row r="44" spans="2:16" x14ac:dyDescent="0.25">
      <c r="B44" s="19" t="s">
        <v>186</v>
      </c>
      <c r="C44" s="19">
        <v>1.1000000000000001</v>
      </c>
      <c r="D44" s="19" t="s">
        <v>224</v>
      </c>
      <c r="E44" s="19">
        <v>10</v>
      </c>
    </row>
    <row r="45" spans="2:16" x14ac:dyDescent="0.25">
      <c r="B45" s="19" t="s">
        <v>187</v>
      </c>
      <c r="C45" s="19">
        <v>1</v>
      </c>
      <c r="D45" t="s">
        <v>225</v>
      </c>
      <c r="E45">
        <v>10</v>
      </c>
    </row>
    <row r="46" spans="2:16" x14ac:dyDescent="0.25">
      <c r="D46">
        <v>5.1999999999999998E-2</v>
      </c>
    </row>
    <row r="47" spans="2:16" x14ac:dyDescent="0.25">
      <c r="B47" s="11" t="s">
        <v>188</v>
      </c>
      <c r="C47" s="11"/>
    </row>
    <row r="48" spans="2:16" x14ac:dyDescent="0.25">
      <c r="B48" t="s">
        <v>189</v>
      </c>
      <c r="G48" s="19" t="s">
        <v>190</v>
      </c>
      <c r="H48" s="19"/>
      <c r="I48" s="19"/>
      <c r="J48" s="19"/>
      <c r="L48" s="19" t="s">
        <v>191</v>
      </c>
      <c r="M48" s="19"/>
      <c r="N48" s="19"/>
      <c r="O48" s="19"/>
      <c r="P48" s="19"/>
    </row>
    <row r="49" spans="2:16" x14ac:dyDescent="0.25">
      <c r="B49" s="19" t="s">
        <v>192</v>
      </c>
      <c r="C49" s="19"/>
      <c r="D49" s="19">
        <f>E41</f>
        <v>3790.8</v>
      </c>
      <c r="E49" s="19"/>
      <c r="G49" s="19" t="s">
        <v>193</v>
      </c>
      <c r="H49" s="19"/>
      <c r="I49" s="19"/>
      <c r="J49" s="19">
        <v>0</v>
      </c>
      <c r="L49" s="19" t="s">
        <v>2</v>
      </c>
      <c r="M49" s="19" t="s">
        <v>194</v>
      </c>
      <c r="N49" s="19" t="s">
        <v>195</v>
      </c>
      <c r="O49" s="19" t="s">
        <v>196</v>
      </c>
      <c r="P49" s="19" t="s">
        <v>197</v>
      </c>
    </row>
    <row r="50" spans="2:16" x14ac:dyDescent="0.25">
      <c r="B50" s="19" t="s">
        <v>226</v>
      </c>
      <c r="C50" s="19"/>
      <c r="D50" s="19">
        <f>D49- (D42*D40)</f>
        <v>2977.8</v>
      </c>
      <c r="E50" s="19" t="s">
        <v>199</v>
      </c>
      <c r="G50" s="19" t="s">
        <v>200</v>
      </c>
      <c r="H50" s="19"/>
      <c r="I50" s="19"/>
      <c r="J50" s="19">
        <f>E41</f>
        <v>3790.8</v>
      </c>
      <c r="L50" s="19" t="s">
        <v>201</v>
      </c>
      <c r="M50" s="19">
        <f>D50</f>
        <v>2977.8</v>
      </c>
      <c r="N50" s="19">
        <v>0</v>
      </c>
      <c r="O50" s="19">
        <f>M50-N50</f>
        <v>2977.8</v>
      </c>
      <c r="P50" s="19">
        <f>O50*$C$44</f>
        <v>3275.5800000000004</v>
      </c>
    </row>
    <row r="51" spans="2:16" x14ac:dyDescent="0.25">
      <c r="B51" s="19" t="s">
        <v>227</v>
      </c>
      <c r="C51" s="19"/>
      <c r="D51" s="19">
        <f>D50+(E44*D39*D46)</f>
        <v>7085.8</v>
      </c>
      <c r="E51" s="19" t="s">
        <v>203</v>
      </c>
      <c r="L51" s="19" t="s">
        <v>228</v>
      </c>
      <c r="M51" s="19">
        <f>D51</f>
        <v>7085.8</v>
      </c>
      <c r="N51" s="19">
        <f>J50</f>
        <v>3790.8</v>
      </c>
      <c r="O51" s="19">
        <f>M51-N51</f>
        <v>3295</v>
      </c>
      <c r="P51" s="19">
        <f>O51*$C$44</f>
        <v>3624.5000000000005</v>
      </c>
    </row>
    <row r="55" spans="2:16" x14ac:dyDescent="0.25">
      <c r="B55" s="11" t="s">
        <v>209</v>
      </c>
      <c r="C55" s="11"/>
    </row>
    <row r="56" spans="2:16" x14ac:dyDescent="0.25">
      <c r="B56" t="s">
        <v>210</v>
      </c>
      <c r="G56" s="19" t="s">
        <v>211</v>
      </c>
      <c r="H56" s="19"/>
      <c r="I56" s="19"/>
      <c r="J56" s="19"/>
      <c r="L56" s="19" t="s">
        <v>212</v>
      </c>
      <c r="M56" s="19"/>
      <c r="N56" s="19"/>
      <c r="O56" s="19"/>
      <c r="P56" s="19"/>
    </row>
    <row r="57" spans="2:16" x14ac:dyDescent="0.25">
      <c r="B57" s="23" t="s">
        <v>193</v>
      </c>
      <c r="C57" s="24"/>
      <c r="D57" s="25">
        <v>0</v>
      </c>
      <c r="E57" t="s">
        <v>213</v>
      </c>
      <c r="G57" s="19" t="s">
        <v>214</v>
      </c>
      <c r="H57" s="19"/>
      <c r="I57" s="19"/>
      <c r="J57" s="19">
        <v>0</v>
      </c>
      <c r="L57" s="19" t="s">
        <v>2</v>
      </c>
      <c r="M57" s="19" t="s">
        <v>194</v>
      </c>
      <c r="N57" s="19" t="s">
        <v>195</v>
      </c>
      <c r="O57" s="19" t="s">
        <v>215</v>
      </c>
      <c r="P57" s="19" t="s">
        <v>216</v>
      </c>
    </row>
    <row r="58" spans="2:16" x14ac:dyDescent="0.25">
      <c r="B58" s="28" t="s">
        <v>217</v>
      </c>
      <c r="C58" s="29"/>
      <c r="D58" s="30">
        <v>0</v>
      </c>
      <c r="E58" t="s">
        <v>218</v>
      </c>
      <c r="G58" s="19" t="s">
        <v>217</v>
      </c>
      <c r="H58" s="19"/>
      <c r="I58" s="19"/>
      <c r="J58" s="19">
        <f>J50</f>
        <v>3790.8</v>
      </c>
      <c r="L58" s="19" t="s">
        <v>201</v>
      </c>
      <c r="M58" s="19">
        <v>0</v>
      </c>
      <c r="N58" s="19">
        <v>0</v>
      </c>
      <c r="O58" s="19">
        <v>0</v>
      </c>
      <c r="P58" s="19">
        <f>O58*C45</f>
        <v>0</v>
      </c>
    </row>
    <row r="59" spans="2:16" x14ac:dyDescent="0.25">
      <c r="L59" s="19" t="s">
        <v>204</v>
      </c>
      <c r="M59" s="19">
        <v>0</v>
      </c>
      <c r="N59" s="19">
        <f>J58</f>
        <v>3790.8</v>
      </c>
      <c r="O59" s="19">
        <f>N59-M59</f>
        <v>3790.8</v>
      </c>
      <c r="P59" s="19">
        <f>O59*C45</f>
        <v>3790.8</v>
      </c>
    </row>
    <row r="61" spans="2:16" x14ac:dyDescent="0.25">
      <c r="B61" s="11" t="s">
        <v>229</v>
      </c>
      <c r="C61" s="11"/>
      <c r="D61" s="11"/>
    </row>
    <row r="62" spans="2:16" x14ac:dyDescent="0.25">
      <c r="B62" s="19" t="s">
        <v>178</v>
      </c>
      <c r="C62" s="19"/>
      <c r="D62" s="19">
        <f>C6</f>
        <v>4100</v>
      </c>
      <c r="E62" s="19"/>
    </row>
    <row r="63" spans="2:16" x14ac:dyDescent="0.25">
      <c r="B63" s="19" t="s">
        <v>179</v>
      </c>
      <c r="C63" s="19"/>
      <c r="D63" s="19">
        <v>8.5</v>
      </c>
      <c r="E63" s="19"/>
    </row>
    <row r="64" spans="2:16" x14ac:dyDescent="0.25">
      <c r="B64" s="19" t="s">
        <v>180</v>
      </c>
      <c r="C64" s="19"/>
      <c r="D64" s="19">
        <f>C7</f>
        <v>7700</v>
      </c>
      <c r="E64" s="19"/>
    </row>
    <row r="65" spans="2:16" x14ac:dyDescent="0.25">
      <c r="B65" s="19" t="s">
        <v>181</v>
      </c>
      <c r="C65" s="19"/>
      <c r="D65" s="19"/>
      <c r="E65" s="19">
        <v>9</v>
      </c>
    </row>
    <row r="66" spans="2:16" x14ac:dyDescent="0.25">
      <c r="B66" s="19" t="s">
        <v>230</v>
      </c>
      <c r="C66" s="19"/>
      <c r="D66" s="19"/>
      <c r="E66" s="19">
        <v>13</v>
      </c>
    </row>
    <row r="67" spans="2:16" x14ac:dyDescent="0.25">
      <c r="B67" s="19" t="s">
        <v>183</v>
      </c>
      <c r="C67" s="19"/>
      <c r="D67" s="19">
        <v>0.1</v>
      </c>
      <c r="E67" s="19"/>
    </row>
    <row r="68" spans="2:16" x14ac:dyDescent="0.25">
      <c r="B68" s="19" t="s">
        <v>184</v>
      </c>
      <c r="C68" s="19"/>
      <c r="D68" s="19" t="s">
        <v>185</v>
      </c>
      <c r="E68" s="19">
        <v>9</v>
      </c>
    </row>
    <row r="69" spans="2:16" x14ac:dyDescent="0.25">
      <c r="B69" s="19" t="s">
        <v>186</v>
      </c>
      <c r="C69" s="19">
        <v>1.1000000000000001</v>
      </c>
      <c r="D69" s="19">
        <v>5.1999999999999998E-2</v>
      </c>
      <c r="E69" s="19"/>
    </row>
    <row r="70" spans="2:16" x14ac:dyDescent="0.25">
      <c r="B70" s="19" t="s">
        <v>187</v>
      </c>
      <c r="C70" s="19">
        <v>1</v>
      </c>
      <c r="D70" s="19"/>
      <c r="E70" s="19"/>
    </row>
    <row r="72" spans="2:16" x14ac:dyDescent="0.25">
      <c r="B72" s="11" t="s">
        <v>188</v>
      </c>
      <c r="C72" s="11"/>
    </row>
    <row r="73" spans="2:16" x14ac:dyDescent="0.25">
      <c r="B73" t="s">
        <v>189</v>
      </c>
      <c r="G73" s="19" t="s">
        <v>190</v>
      </c>
      <c r="H73" s="19"/>
      <c r="I73" s="19"/>
      <c r="J73" s="19"/>
      <c r="L73" s="19" t="s">
        <v>191</v>
      </c>
      <c r="M73" s="19"/>
      <c r="N73" s="19"/>
      <c r="O73" s="19"/>
      <c r="P73" s="19"/>
    </row>
    <row r="74" spans="2:16" x14ac:dyDescent="0.25">
      <c r="B74" s="19" t="s">
        <v>192</v>
      </c>
      <c r="C74" s="19"/>
      <c r="D74" s="19">
        <f>E65*D69*D64</f>
        <v>3603.6</v>
      </c>
      <c r="E74" s="19"/>
      <c r="G74" s="19" t="s">
        <v>193</v>
      </c>
      <c r="H74" s="19"/>
      <c r="I74" s="19"/>
      <c r="J74" s="19">
        <v>0</v>
      </c>
      <c r="L74" s="19" t="s">
        <v>2</v>
      </c>
      <c r="M74" s="19" t="s">
        <v>194</v>
      </c>
      <c r="N74" s="19" t="s">
        <v>195</v>
      </c>
      <c r="O74" s="19" t="s">
        <v>196</v>
      </c>
      <c r="P74" s="19" t="s">
        <v>197</v>
      </c>
    </row>
    <row r="75" spans="2:16" x14ac:dyDescent="0.25">
      <c r="B75" s="19" t="s">
        <v>198</v>
      </c>
      <c r="C75" s="19"/>
      <c r="D75" s="19">
        <f>D74 - (D67*D64)</f>
        <v>2833.6</v>
      </c>
      <c r="E75" s="19" t="s">
        <v>199</v>
      </c>
      <c r="G75" s="19" t="s">
        <v>200</v>
      </c>
      <c r="H75" s="19"/>
      <c r="I75" s="19"/>
      <c r="J75" s="19">
        <f>D63*D69*D62</f>
        <v>1812.2</v>
      </c>
      <c r="L75" s="19" t="s">
        <v>201</v>
      </c>
      <c r="M75" s="19">
        <f>C80</f>
        <v>2361.6</v>
      </c>
      <c r="N75" s="19">
        <v>0</v>
      </c>
      <c r="O75" s="19">
        <f>M75-N75</f>
        <v>2361.6</v>
      </c>
      <c r="P75" s="19">
        <f>O75*$C$69</f>
        <v>2597.7600000000002</v>
      </c>
    </row>
    <row r="76" spans="2:16" x14ac:dyDescent="0.25">
      <c r="B76" s="31" t="s">
        <v>202</v>
      </c>
      <c r="C76" s="31"/>
      <c r="D76" s="31">
        <f>D74 - (D67*D62)</f>
        <v>3193.6</v>
      </c>
      <c r="E76" s="31" t="s">
        <v>203</v>
      </c>
      <c r="L76" s="19" t="s">
        <v>204</v>
      </c>
      <c r="M76" s="19">
        <f>C78</f>
        <v>2771.6</v>
      </c>
      <c r="N76" s="19">
        <f>J75</f>
        <v>1812.2</v>
      </c>
      <c r="O76" s="19">
        <f>M76-N76</f>
        <v>959.39999999999986</v>
      </c>
      <c r="P76" s="19">
        <f>O76*$C$69</f>
        <v>1055.3399999999999</v>
      </c>
    </row>
    <row r="77" spans="2:16" x14ac:dyDescent="0.25">
      <c r="B77" s="23" t="s">
        <v>205</v>
      </c>
      <c r="C77" s="24"/>
      <c r="D77" s="40" t="s">
        <v>231</v>
      </c>
      <c r="E77" s="41"/>
    </row>
    <row r="78" spans="2:16" x14ac:dyDescent="0.25">
      <c r="B78" s="28" t="s">
        <v>207</v>
      </c>
      <c r="C78" s="29">
        <f>E66*D69*D62</f>
        <v>2771.6</v>
      </c>
      <c r="D78" s="23" t="s">
        <v>232</v>
      </c>
      <c r="E78" s="24"/>
      <c r="F78" s="25"/>
    </row>
    <row r="79" spans="2:16" x14ac:dyDescent="0.25">
      <c r="D79" s="26" t="s">
        <v>233</v>
      </c>
      <c r="F79" s="27"/>
    </row>
    <row r="80" spans="2:16" x14ac:dyDescent="0.25">
      <c r="B80" t="s">
        <v>234</v>
      </c>
      <c r="C80">
        <f>C78 -(D67*D62)</f>
        <v>2361.6</v>
      </c>
      <c r="D80" s="26" t="s">
        <v>235</v>
      </c>
      <c r="F80" s="27"/>
    </row>
    <row r="81" spans="2:16" x14ac:dyDescent="0.25">
      <c r="D81" s="28" t="s">
        <v>236</v>
      </c>
      <c r="E81" s="29"/>
      <c r="F81" s="30"/>
    </row>
    <row r="83" spans="2:16" x14ac:dyDescent="0.25">
      <c r="B83" t="s">
        <v>209</v>
      </c>
    </row>
    <row r="84" spans="2:16" x14ac:dyDescent="0.25">
      <c r="B84" t="s">
        <v>210</v>
      </c>
      <c r="G84" s="19" t="s">
        <v>211</v>
      </c>
      <c r="H84" s="19"/>
      <c r="I84" s="19"/>
      <c r="J84" s="19"/>
      <c r="L84" s="19" t="s">
        <v>212</v>
      </c>
      <c r="M84" s="19"/>
      <c r="N84" s="19"/>
      <c r="O84" s="19"/>
      <c r="P84" s="19"/>
    </row>
    <row r="85" spans="2:16" x14ac:dyDescent="0.25">
      <c r="B85" s="40" t="s">
        <v>193</v>
      </c>
      <c r="C85" s="41"/>
      <c r="D85" s="41">
        <v>0</v>
      </c>
      <c r="E85" t="s">
        <v>213</v>
      </c>
      <c r="G85" s="19" t="s">
        <v>214</v>
      </c>
      <c r="H85" s="19"/>
      <c r="I85" s="19"/>
      <c r="J85" s="19">
        <v>0</v>
      </c>
      <c r="L85" s="19" t="s">
        <v>2</v>
      </c>
      <c r="M85" s="19" t="s">
        <v>194</v>
      </c>
      <c r="N85" s="19" t="s">
        <v>195</v>
      </c>
      <c r="O85" s="19" t="s">
        <v>215</v>
      </c>
      <c r="P85" s="19" t="s">
        <v>216</v>
      </c>
    </row>
    <row r="86" spans="2:16" x14ac:dyDescent="0.25">
      <c r="B86" s="28" t="s">
        <v>217</v>
      </c>
      <c r="C86" s="30"/>
      <c r="D86">
        <v>0</v>
      </c>
      <c r="E86" t="s">
        <v>218</v>
      </c>
      <c r="G86" s="19" t="s">
        <v>217</v>
      </c>
      <c r="H86" s="19"/>
      <c r="I86" s="19"/>
      <c r="J86" s="19">
        <f>J75</f>
        <v>1812.2</v>
      </c>
      <c r="L86" s="19" t="s">
        <v>201</v>
      </c>
      <c r="M86" s="19">
        <v>0</v>
      </c>
      <c r="N86" s="19">
        <v>0</v>
      </c>
      <c r="O86" s="19">
        <v>0</v>
      </c>
      <c r="P86" s="19">
        <v>0</v>
      </c>
    </row>
    <row r="87" spans="2:16" x14ac:dyDescent="0.25">
      <c r="L87" s="19" t="s">
        <v>204</v>
      </c>
      <c r="M87" s="19">
        <v>0</v>
      </c>
      <c r="N87" s="19">
        <f>J86</f>
        <v>1812.2</v>
      </c>
      <c r="O87" s="19">
        <f>N87</f>
        <v>1812.2</v>
      </c>
      <c r="P87" s="19">
        <f>O87</f>
        <v>1812.2</v>
      </c>
    </row>
  </sheetData>
  <sortState xmlns:xlrd2="http://schemas.microsoft.com/office/spreadsheetml/2017/richdata2" ref="C4:E7">
    <sortCondition ref="C4:C7"/>
  </sortState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FDF40-3406-4AA7-9CAE-A0EEE2FB7D65}">
  <sheetPr codeName="Sheet7"/>
  <dimension ref="A1:W257"/>
  <sheetViews>
    <sheetView topLeftCell="A96" zoomScale="110" zoomScaleNormal="110" workbookViewId="0">
      <selection activeCell="J98" sqref="J97:J98"/>
    </sheetView>
  </sheetViews>
  <sheetFormatPr defaultRowHeight="15" x14ac:dyDescent="0.25"/>
  <cols>
    <col min="2" max="2" width="50.140625" customWidth="1"/>
    <col min="3" max="3" width="22.5703125" customWidth="1"/>
    <col min="4" max="4" width="24.28515625" customWidth="1"/>
    <col min="5" max="5" width="11.5703125" customWidth="1"/>
    <col min="6" max="6" width="9.5703125" customWidth="1"/>
    <col min="8" max="8" width="12.42578125" customWidth="1"/>
    <col min="9" max="9" width="20.28515625" customWidth="1"/>
    <col min="10" max="10" width="37" customWidth="1"/>
    <col min="11" max="11" width="16" customWidth="1"/>
    <col min="12" max="12" width="18.7109375" customWidth="1"/>
    <col min="13" max="13" width="23" customWidth="1"/>
    <col min="14" max="14" width="12.28515625" customWidth="1"/>
    <col min="15" max="15" width="11.28515625" customWidth="1"/>
  </cols>
  <sheetData>
    <row r="1" spans="1:16" ht="32.25" customHeight="1" x14ac:dyDescent="0.4">
      <c r="B1" s="314" t="s">
        <v>166</v>
      </c>
      <c r="C1" s="314"/>
    </row>
    <row r="3" spans="1:16" x14ac:dyDescent="0.25">
      <c r="B3" s="19" t="s">
        <v>167</v>
      </c>
      <c r="C3" s="22" t="s">
        <v>168</v>
      </c>
      <c r="D3" s="22" t="s">
        <v>169</v>
      </c>
      <c r="E3" s="22" t="s">
        <v>170</v>
      </c>
      <c r="F3" s="19" t="s">
        <v>171</v>
      </c>
    </row>
    <row r="4" spans="1:16" x14ac:dyDescent="0.25">
      <c r="B4" s="19">
        <v>1</v>
      </c>
      <c r="C4" s="19">
        <v>500</v>
      </c>
      <c r="D4" s="19">
        <v>221</v>
      </c>
      <c r="E4" s="55">
        <v>273</v>
      </c>
      <c r="F4" t="s">
        <v>172</v>
      </c>
    </row>
    <row r="5" spans="1:16" x14ac:dyDescent="0.25">
      <c r="B5" s="19">
        <v>2</v>
      </c>
      <c r="C5" s="19">
        <v>2400</v>
      </c>
      <c r="D5" s="19">
        <v>1080</v>
      </c>
      <c r="E5" s="55">
        <v>1967.9999999999998</v>
      </c>
      <c r="F5" t="s">
        <v>173</v>
      </c>
    </row>
    <row r="6" spans="1:16" x14ac:dyDescent="0.25">
      <c r="B6" s="19">
        <v>3</v>
      </c>
      <c r="C6" s="19">
        <v>3700</v>
      </c>
      <c r="D6" s="19">
        <v>1665</v>
      </c>
      <c r="E6" s="55">
        <v>3034</v>
      </c>
      <c r="F6" t="s">
        <v>174</v>
      </c>
    </row>
    <row r="7" spans="1:16" x14ac:dyDescent="0.25">
      <c r="B7" s="19">
        <v>4</v>
      </c>
      <c r="C7" s="19">
        <v>6400</v>
      </c>
      <c r="D7" s="19">
        <v>2880</v>
      </c>
      <c r="E7" s="55">
        <v>5248</v>
      </c>
      <c r="F7" t="s">
        <v>175</v>
      </c>
    </row>
    <row r="8" spans="1:16" x14ac:dyDescent="0.25">
      <c r="B8" s="19">
        <v>5</v>
      </c>
      <c r="C8" s="19">
        <v>10975</v>
      </c>
      <c r="D8" s="19">
        <v>5305</v>
      </c>
      <c r="E8" s="55">
        <v>9085</v>
      </c>
      <c r="F8" t="s">
        <v>237</v>
      </c>
    </row>
    <row r="10" spans="1:16" ht="26.25" x14ac:dyDescent="0.4">
      <c r="B10" s="616" t="s">
        <v>177</v>
      </c>
      <c r="C10" s="617"/>
      <c r="D10" s="618"/>
      <c r="E10" s="619"/>
      <c r="F10" s="202"/>
      <c r="G10" s="202"/>
    </row>
    <row r="11" spans="1:16" x14ac:dyDescent="0.25">
      <c r="B11" s="618" t="s">
        <v>178</v>
      </c>
      <c r="C11" s="618">
        <f>C5</f>
        <v>2400</v>
      </c>
      <c r="D11" s="619"/>
      <c r="E11" s="202"/>
      <c r="F11" s="202"/>
      <c r="G11" s="202"/>
    </row>
    <row r="12" spans="1:16" x14ac:dyDescent="0.25">
      <c r="B12" s="618" t="s">
        <v>179</v>
      </c>
      <c r="C12" s="618">
        <v>8.5</v>
      </c>
      <c r="D12" s="619"/>
      <c r="E12" s="202"/>
      <c r="F12" s="202"/>
      <c r="G12" s="202"/>
    </row>
    <row r="13" spans="1:16" x14ac:dyDescent="0.25">
      <c r="B13" s="620" t="s">
        <v>180</v>
      </c>
      <c r="C13" s="620">
        <f>C6</f>
        <v>3700</v>
      </c>
      <c r="D13" s="619"/>
      <c r="E13" s="202"/>
      <c r="F13" s="202"/>
      <c r="G13" s="202"/>
      <c r="M13">
        <f>9</f>
        <v>9</v>
      </c>
    </row>
    <row r="14" spans="1:16" x14ac:dyDescent="0.25">
      <c r="B14" s="618" t="s">
        <v>181</v>
      </c>
      <c r="C14" s="620">
        <v>8.65</v>
      </c>
      <c r="D14" s="202"/>
      <c r="E14" s="202"/>
      <c r="F14" s="202"/>
      <c r="G14" s="202">
        <f>9</f>
        <v>9</v>
      </c>
    </row>
    <row r="15" spans="1:16" x14ac:dyDescent="0.25">
      <c r="B15" s="618" t="s">
        <v>896</v>
      </c>
      <c r="C15" s="618">
        <v>14.2</v>
      </c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</row>
    <row r="16" spans="1:16" x14ac:dyDescent="0.25">
      <c r="A16" s="202"/>
      <c r="B16" s="621" t="s">
        <v>183</v>
      </c>
      <c r="C16" s="621">
        <v>0.1</v>
      </c>
      <c r="D16" s="619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</row>
    <row r="17" spans="1:21" ht="14.25" customHeight="1" x14ac:dyDescent="0.25">
      <c r="A17" s="202"/>
      <c r="B17" s="636" t="s">
        <v>184</v>
      </c>
      <c r="C17" s="635"/>
      <c r="D17" s="618" t="s">
        <v>185</v>
      </c>
      <c r="E17" s="618">
        <v>9</v>
      </c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</row>
    <row r="18" spans="1:21" x14ac:dyDescent="0.25">
      <c r="A18" s="202"/>
      <c r="B18" s="624" t="s">
        <v>186</v>
      </c>
      <c r="C18" s="625">
        <v>1.1000000000000001</v>
      </c>
      <c r="D18" s="644">
        <v>5.1999999999999998E-2</v>
      </c>
      <c r="E18" s="618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</row>
    <row r="19" spans="1:21" x14ac:dyDescent="0.25">
      <c r="A19" s="202"/>
      <c r="B19" s="626" t="s">
        <v>187</v>
      </c>
      <c r="C19" s="627">
        <v>1</v>
      </c>
      <c r="D19" s="619"/>
      <c r="E19" s="619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</row>
    <row r="20" spans="1:21" x14ac:dyDescent="0.25">
      <c r="A20" s="202"/>
      <c r="B20" s="202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</row>
    <row r="21" spans="1:21" x14ac:dyDescent="0.25">
      <c r="A21" s="619"/>
      <c r="B21" s="628" t="s">
        <v>874</v>
      </c>
      <c r="C21" s="619"/>
      <c r="D21" s="619"/>
      <c r="E21" s="619"/>
      <c r="F21" s="619"/>
      <c r="G21" s="619"/>
      <c r="H21" s="619"/>
      <c r="I21" s="619"/>
      <c r="J21" s="619"/>
      <c r="K21" s="619"/>
      <c r="L21" s="619"/>
      <c r="M21" s="619"/>
      <c r="N21" s="619"/>
      <c r="O21" s="619"/>
      <c r="P21" s="619"/>
      <c r="Q21" s="619"/>
      <c r="R21" s="613"/>
      <c r="S21" s="613"/>
    </row>
    <row r="22" spans="1:21" x14ac:dyDescent="0.25">
      <c r="A22" s="619"/>
      <c r="B22" s="382" t="s">
        <v>866</v>
      </c>
      <c r="C22" s="619"/>
      <c r="D22" s="619"/>
      <c r="E22" s="619"/>
      <c r="F22" s="619"/>
      <c r="G22" s="619"/>
      <c r="H22" s="619"/>
      <c r="I22" s="629" t="s">
        <v>875</v>
      </c>
      <c r="J22" s="630"/>
      <c r="K22" s="630"/>
      <c r="L22" s="622"/>
      <c r="M22" s="623"/>
      <c r="N22" s="637" t="s">
        <v>191</v>
      </c>
      <c r="O22" s="618"/>
      <c r="P22" s="618"/>
      <c r="Q22" s="618"/>
      <c r="R22" s="618"/>
      <c r="S22" s="619"/>
      <c r="T22" s="613"/>
      <c r="U22" s="613"/>
    </row>
    <row r="23" spans="1:21" x14ac:dyDescent="0.25">
      <c r="A23" s="619"/>
      <c r="B23" s="19" t="s">
        <v>192</v>
      </c>
      <c r="C23" s="19">
        <f>C14*D18*C13</f>
        <v>1664.26</v>
      </c>
      <c r="D23" s="19"/>
      <c r="E23" s="619"/>
      <c r="F23" s="619"/>
      <c r="G23" s="619"/>
      <c r="H23" s="619"/>
      <c r="I23" s="618" t="s">
        <v>193</v>
      </c>
      <c r="J23" s="618"/>
      <c r="K23" s="636"/>
      <c r="L23" s="636">
        <v>0</v>
      </c>
      <c r="M23" s="635"/>
      <c r="N23" s="618" t="s">
        <v>2</v>
      </c>
      <c r="O23" s="618" t="s">
        <v>194</v>
      </c>
      <c r="P23" s="618" t="s">
        <v>195</v>
      </c>
      <c r="Q23" s="618" t="s">
        <v>196</v>
      </c>
      <c r="R23" s="618" t="s">
        <v>197</v>
      </c>
      <c r="S23" s="619"/>
      <c r="T23" s="613"/>
      <c r="U23" s="613"/>
    </row>
    <row r="24" spans="1:21" x14ac:dyDescent="0.25">
      <c r="A24" s="619"/>
      <c r="B24" s="19" t="s">
        <v>198</v>
      </c>
      <c r="C24" s="19">
        <f>C23 - (C16*C13)</f>
        <v>1294.26</v>
      </c>
      <c r="D24" s="19"/>
      <c r="E24" s="619"/>
      <c r="F24" s="619"/>
      <c r="G24" s="619"/>
      <c r="H24" s="619"/>
      <c r="I24" s="618" t="s">
        <v>200</v>
      </c>
      <c r="J24" s="618"/>
      <c r="K24" s="636"/>
      <c r="L24" s="626">
        <f>C12*D18*C11</f>
        <v>1060.8</v>
      </c>
      <c r="M24" s="627"/>
      <c r="N24" s="618" t="s">
        <v>201</v>
      </c>
      <c r="O24" s="618">
        <f>C24</f>
        <v>1294.26</v>
      </c>
      <c r="P24" s="618">
        <f>L23</f>
        <v>0</v>
      </c>
      <c r="Q24" s="618">
        <f>O24-P24</f>
        <v>1294.26</v>
      </c>
      <c r="R24" s="618">
        <f>Q24*$C$18</f>
        <v>1423.6860000000001</v>
      </c>
      <c r="S24" s="619"/>
      <c r="T24" s="613"/>
      <c r="U24" s="613"/>
    </row>
    <row r="25" spans="1:21" x14ac:dyDescent="0.25">
      <c r="A25" s="619"/>
      <c r="B25" s="19" t="s">
        <v>202</v>
      </c>
      <c r="C25" s="19">
        <f xml:space="preserve"> C23 - (C16*(C13-C11))</f>
        <v>1534.26</v>
      </c>
      <c r="D25" s="19"/>
      <c r="E25" s="619"/>
      <c r="F25" s="619"/>
      <c r="G25" s="619"/>
      <c r="H25" s="619"/>
      <c r="I25" s="619"/>
      <c r="J25" s="619"/>
      <c r="K25" s="618" t="s">
        <v>204</v>
      </c>
      <c r="L25" s="618">
        <f>C25</f>
        <v>1534.26</v>
      </c>
      <c r="M25" s="618">
        <f>L24</f>
        <v>1060.8</v>
      </c>
      <c r="N25" s="618">
        <f>L25-M25</f>
        <v>473.46000000000004</v>
      </c>
      <c r="O25" s="618">
        <f>N25*$C$18</f>
        <v>520.80600000000004</v>
      </c>
      <c r="P25" s="619"/>
      <c r="Q25" s="613"/>
      <c r="R25" s="613"/>
    </row>
    <row r="26" spans="1:21" x14ac:dyDescent="0.25">
      <c r="A26" s="619"/>
      <c r="B26" s="331" t="s">
        <v>869</v>
      </c>
      <c r="C26" s="31">
        <v>1772.1599999999999</v>
      </c>
      <c r="D26" s="19" t="s">
        <v>870</v>
      </c>
      <c r="E26" s="619"/>
      <c r="F26" s="619"/>
      <c r="G26" s="619"/>
      <c r="H26" s="619"/>
      <c r="I26" s="619"/>
      <c r="J26" s="619"/>
      <c r="K26" s="619"/>
      <c r="L26" s="619"/>
      <c r="M26" s="619"/>
      <c r="N26" s="619"/>
      <c r="O26" s="619"/>
      <c r="P26" s="619"/>
      <c r="Q26" s="613"/>
      <c r="R26" s="613"/>
    </row>
    <row r="27" spans="1:21" x14ac:dyDescent="0.25">
      <c r="A27" s="619"/>
      <c r="B27" s="345" t="s">
        <v>205</v>
      </c>
      <c r="C27" s="345" t="s">
        <v>868</v>
      </c>
      <c r="D27" s="19" t="s">
        <v>871</v>
      </c>
      <c r="E27" s="615"/>
      <c r="F27" s="619"/>
      <c r="G27" s="619"/>
      <c r="H27" s="619"/>
      <c r="I27" s="619"/>
      <c r="J27" s="619"/>
      <c r="K27" s="619"/>
      <c r="L27" s="619"/>
      <c r="M27" s="619"/>
      <c r="N27" s="619"/>
      <c r="O27" s="619"/>
      <c r="P27" s="619"/>
      <c r="Q27" s="619"/>
      <c r="R27" s="619"/>
      <c r="S27" s="613"/>
    </row>
    <row r="28" spans="1:21" x14ac:dyDescent="0.25">
      <c r="A28" s="619"/>
      <c r="B28" s="619"/>
      <c r="C28" s="619"/>
      <c r="D28" s="619"/>
      <c r="E28" s="619"/>
      <c r="F28" s="619"/>
      <c r="G28" s="619"/>
      <c r="H28" s="619"/>
      <c r="I28" s="619"/>
      <c r="J28" s="619"/>
      <c r="K28" s="619"/>
      <c r="L28" s="619"/>
      <c r="M28" s="619"/>
      <c r="N28" s="619"/>
      <c r="O28" s="619"/>
      <c r="P28" s="619"/>
      <c r="Q28" s="619"/>
      <c r="R28" s="619"/>
      <c r="S28" s="613"/>
    </row>
    <row r="29" spans="1:21" x14ac:dyDescent="0.25">
      <c r="A29" s="619"/>
      <c r="B29" s="382" t="s">
        <v>875</v>
      </c>
      <c r="C29" s="619"/>
      <c r="D29" s="619"/>
      <c r="E29" s="619"/>
      <c r="F29" s="619"/>
      <c r="G29" s="619"/>
      <c r="H29" s="619"/>
      <c r="I29" s="619"/>
      <c r="J29" s="619"/>
      <c r="K29" s="619"/>
      <c r="L29" s="619"/>
      <c r="M29" s="619"/>
      <c r="N29" s="619"/>
      <c r="O29" s="619"/>
      <c r="P29" s="619"/>
      <c r="Q29" s="619"/>
      <c r="R29" s="619"/>
      <c r="S29" s="613"/>
    </row>
    <row r="30" spans="1:21" x14ac:dyDescent="0.25">
      <c r="A30" s="619"/>
      <c r="B30" s="330" t="s">
        <v>193</v>
      </c>
      <c r="C30" s="330">
        <v>0</v>
      </c>
      <c r="D30" s="619"/>
      <c r="E30" s="619"/>
      <c r="F30" s="619"/>
      <c r="G30" s="619"/>
      <c r="H30" s="619"/>
      <c r="I30" s="619"/>
      <c r="J30" s="619"/>
      <c r="K30" s="619"/>
      <c r="L30" s="619"/>
      <c r="M30" s="619"/>
      <c r="N30" s="619"/>
      <c r="O30" s="619"/>
      <c r="P30" s="619"/>
      <c r="Q30" s="613"/>
    </row>
    <row r="31" spans="1:21" x14ac:dyDescent="0.25">
      <c r="A31" s="619"/>
      <c r="B31" s="330" t="s">
        <v>200</v>
      </c>
      <c r="C31" s="330">
        <v>1060.8</v>
      </c>
      <c r="D31" s="619"/>
      <c r="E31" s="619"/>
      <c r="F31" s="619"/>
      <c r="G31" s="619"/>
      <c r="H31" s="619"/>
      <c r="I31" s="619"/>
      <c r="J31" s="619"/>
      <c r="K31" s="619"/>
      <c r="L31" s="619"/>
      <c r="M31" s="619"/>
      <c r="N31" s="619"/>
      <c r="O31" s="619"/>
      <c r="P31" s="619"/>
      <c r="Q31" s="613"/>
    </row>
    <row r="32" spans="1:21" x14ac:dyDescent="0.25">
      <c r="A32" s="619"/>
      <c r="B32" s="619"/>
      <c r="C32" s="619"/>
      <c r="D32" s="619"/>
      <c r="E32" s="619"/>
      <c r="F32" s="619"/>
      <c r="G32" s="619"/>
      <c r="H32" s="619"/>
      <c r="I32" s="619"/>
      <c r="J32" s="619"/>
      <c r="K32" s="619"/>
      <c r="L32" s="619"/>
      <c r="M32" s="619"/>
      <c r="N32" s="619"/>
      <c r="O32" s="619"/>
      <c r="P32" s="619"/>
      <c r="Q32" s="619"/>
      <c r="R32" s="619"/>
      <c r="S32" s="613"/>
    </row>
    <row r="33" spans="1:19" x14ac:dyDescent="0.25">
      <c r="A33" s="619"/>
      <c r="B33" s="382" t="s">
        <v>191</v>
      </c>
      <c r="C33" s="619"/>
      <c r="D33" s="619"/>
      <c r="E33" s="619"/>
      <c r="F33" s="619"/>
      <c r="G33" s="619"/>
      <c r="H33" s="619"/>
      <c r="I33" s="619"/>
      <c r="J33" s="619"/>
      <c r="K33" s="619"/>
      <c r="L33" s="619"/>
      <c r="M33" s="619"/>
      <c r="N33" s="619"/>
      <c r="O33" s="619"/>
      <c r="P33" s="619"/>
      <c r="Q33" s="619"/>
      <c r="R33" s="619"/>
      <c r="S33" s="613"/>
    </row>
    <row r="34" spans="1:19" x14ac:dyDescent="0.25">
      <c r="A34" s="619"/>
      <c r="B34" s="330" t="s">
        <v>2</v>
      </c>
      <c r="C34" s="330" t="s">
        <v>194</v>
      </c>
      <c r="D34" s="330" t="s">
        <v>195</v>
      </c>
      <c r="E34" s="330" t="s">
        <v>196</v>
      </c>
      <c r="F34" s="330" t="s">
        <v>197</v>
      </c>
      <c r="G34" s="619"/>
      <c r="H34" s="619"/>
      <c r="I34" s="619"/>
      <c r="J34" s="619"/>
      <c r="K34" s="619"/>
      <c r="L34" s="619"/>
      <c r="M34" s="619"/>
      <c r="N34" s="619"/>
      <c r="O34" s="619"/>
      <c r="P34" s="619"/>
      <c r="Q34" s="619"/>
      <c r="R34" s="619"/>
      <c r="S34" s="613"/>
    </row>
    <row r="35" spans="1:19" x14ac:dyDescent="0.25">
      <c r="A35" s="619"/>
      <c r="B35" s="330" t="s">
        <v>201</v>
      </c>
      <c r="C35" s="330">
        <v>1294.26</v>
      </c>
      <c r="D35" s="330">
        <v>0</v>
      </c>
      <c r="E35" s="330">
        <v>1294.26</v>
      </c>
      <c r="F35" s="330">
        <v>1423.6860000000001</v>
      </c>
      <c r="G35" s="619"/>
      <c r="H35" s="619"/>
      <c r="I35" s="619"/>
      <c r="J35" s="619"/>
      <c r="K35" s="619"/>
      <c r="L35" s="619"/>
      <c r="M35" s="619"/>
      <c r="N35" s="619"/>
      <c r="O35" s="619"/>
      <c r="P35" s="619"/>
      <c r="Q35" s="619"/>
      <c r="R35" s="619"/>
      <c r="S35" s="613"/>
    </row>
    <row r="36" spans="1:19" x14ac:dyDescent="0.25">
      <c r="A36" s="619"/>
      <c r="B36" s="330" t="s">
        <v>204</v>
      </c>
      <c r="C36" s="330">
        <v>1534.26</v>
      </c>
      <c r="D36" s="330">
        <v>1060.8</v>
      </c>
      <c r="E36" s="330">
        <v>473.46000000000004</v>
      </c>
      <c r="F36" s="330">
        <v>520.80600000000004</v>
      </c>
      <c r="G36" s="619"/>
      <c r="H36" s="619"/>
      <c r="I36" s="619"/>
      <c r="J36" s="619"/>
      <c r="K36" s="619"/>
      <c r="L36" s="619"/>
      <c r="M36" s="619"/>
      <c r="N36" s="619"/>
      <c r="O36" s="619"/>
      <c r="P36" s="619"/>
      <c r="Q36" s="619"/>
      <c r="R36" s="619"/>
      <c r="S36" s="613"/>
    </row>
    <row r="37" spans="1:19" x14ac:dyDescent="0.25">
      <c r="A37" s="619"/>
      <c r="B37" s="619"/>
      <c r="C37" s="619"/>
      <c r="D37" s="619"/>
      <c r="E37" s="619"/>
      <c r="F37" s="619"/>
      <c r="G37" s="619"/>
      <c r="H37" s="619"/>
      <c r="I37" s="619"/>
      <c r="J37" s="619"/>
      <c r="K37" s="619"/>
      <c r="L37" s="619"/>
      <c r="M37" s="619"/>
      <c r="N37" s="619"/>
      <c r="O37" s="619"/>
      <c r="P37" s="619"/>
      <c r="Q37" s="619"/>
      <c r="R37" s="619"/>
      <c r="S37" s="613"/>
    </row>
    <row r="38" spans="1:19" x14ac:dyDescent="0.25">
      <c r="A38" s="619"/>
      <c r="B38" s="619"/>
      <c r="C38" s="619"/>
      <c r="D38" s="619"/>
      <c r="E38" s="619"/>
      <c r="F38" s="619"/>
      <c r="G38" s="619"/>
      <c r="H38" s="619"/>
      <c r="I38" s="619"/>
      <c r="J38" s="619"/>
      <c r="K38" s="619"/>
      <c r="L38" s="619"/>
      <c r="M38" s="619"/>
      <c r="N38" s="619"/>
      <c r="O38" s="619"/>
      <c r="P38" s="619"/>
      <c r="Q38" s="619"/>
      <c r="R38" s="619"/>
      <c r="S38" s="613"/>
    </row>
    <row r="39" spans="1:19" x14ac:dyDescent="0.25">
      <c r="A39" s="619"/>
      <c r="B39" s="628" t="s">
        <v>867</v>
      </c>
      <c r="C39" s="619"/>
      <c r="D39" s="619"/>
      <c r="E39" s="619"/>
      <c r="F39" s="619"/>
      <c r="G39" s="619"/>
      <c r="H39" s="619"/>
      <c r="I39" s="619"/>
      <c r="J39" s="619"/>
      <c r="K39" s="619"/>
      <c r="L39" s="619"/>
      <c r="M39" s="619"/>
      <c r="N39" s="619"/>
      <c r="O39" s="619"/>
      <c r="P39" s="619"/>
      <c r="Q39" s="619"/>
      <c r="R39" s="619"/>
      <c r="S39" s="613"/>
    </row>
    <row r="40" spans="1:19" x14ac:dyDescent="0.25">
      <c r="A40" s="619"/>
      <c r="B40" s="629" t="s">
        <v>210</v>
      </c>
      <c r="C40" s="623"/>
      <c r="D40" s="619"/>
      <c r="E40" s="619"/>
      <c r="F40" s="629" t="s">
        <v>211</v>
      </c>
      <c r="G40" s="630"/>
      <c r="H40" s="630"/>
      <c r="I40" s="623"/>
      <c r="J40" s="619"/>
      <c r="K40" s="632" t="s">
        <v>212</v>
      </c>
      <c r="L40" s="618"/>
      <c r="M40" s="618"/>
      <c r="N40" s="618"/>
      <c r="O40" s="618"/>
      <c r="P40" s="619"/>
      <c r="Q40" s="619"/>
      <c r="R40" s="613"/>
    </row>
    <row r="41" spans="1:19" x14ac:dyDescent="0.25">
      <c r="A41" s="619"/>
      <c r="B41" s="618" t="s">
        <v>193</v>
      </c>
      <c r="C41" s="618">
        <v>0</v>
      </c>
      <c r="D41" s="619"/>
      <c r="E41" s="619"/>
      <c r="F41" s="618" t="s">
        <v>214</v>
      </c>
      <c r="G41" s="618"/>
      <c r="H41" s="618"/>
      <c r="I41" s="618">
        <v>0</v>
      </c>
      <c r="J41" s="619"/>
      <c r="K41" s="618" t="s">
        <v>2</v>
      </c>
      <c r="L41" s="618" t="s">
        <v>194</v>
      </c>
      <c r="M41" s="618" t="s">
        <v>195</v>
      </c>
      <c r="N41" s="618" t="s">
        <v>215</v>
      </c>
      <c r="O41" s="618" t="s">
        <v>216</v>
      </c>
      <c r="P41" s="619"/>
      <c r="Q41" s="619"/>
      <c r="R41" s="613"/>
    </row>
    <row r="42" spans="1:19" x14ac:dyDescent="0.25">
      <c r="A42" s="619"/>
      <c r="B42" s="618" t="s">
        <v>217</v>
      </c>
      <c r="C42" s="618">
        <v>0</v>
      </c>
      <c r="D42" s="619">
        <f>9</f>
        <v>9</v>
      </c>
      <c r="E42" s="619"/>
      <c r="F42" s="618" t="s">
        <v>217</v>
      </c>
      <c r="G42" s="618"/>
      <c r="H42" s="618"/>
      <c r="I42" s="618">
        <f>L24</f>
        <v>1060.8</v>
      </c>
      <c r="J42" s="619"/>
      <c r="K42" s="618" t="s">
        <v>201</v>
      </c>
      <c r="L42" s="618">
        <v>0</v>
      </c>
      <c r="M42" s="618">
        <v>0</v>
      </c>
      <c r="N42" s="618">
        <v>0</v>
      </c>
      <c r="O42" s="618">
        <v>0</v>
      </c>
      <c r="P42" s="619"/>
      <c r="Q42" s="619"/>
      <c r="R42" s="613"/>
    </row>
    <row r="43" spans="1:19" x14ac:dyDescent="0.25">
      <c r="A43" s="619"/>
      <c r="B43" s="619"/>
      <c r="C43" s="619"/>
      <c r="D43" s="619"/>
      <c r="E43" s="619"/>
      <c r="F43" s="619"/>
      <c r="G43" s="619"/>
      <c r="H43" s="619"/>
      <c r="I43" s="619"/>
      <c r="J43" s="619"/>
      <c r="K43" s="618" t="s">
        <v>204</v>
      </c>
      <c r="L43" s="618">
        <v>0</v>
      </c>
      <c r="M43" s="618">
        <f>I42</f>
        <v>1060.8</v>
      </c>
      <c r="N43" s="618">
        <f>M43</f>
        <v>1060.8</v>
      </c>
      <c r="O43" s="618">
        <f>N43</f>
        <v>1060.8</v>
      </c>
      <c r="P43" s="619"/>
      <c r="Q43" s="619"/>
      <c r="R43" s="613"/>
    </row>
    <row r="44" spans="1:19" x14ac:dyDescent="0.25">
      <c r="A44" s="619"/>
      <c r="B44" s="619"/>
      <c r="C44" s="619"/>
      <c r="D44" s="619"/>
      <c r="E44" s="619"/>
      <c r="F44" s="619"/>
      <c r="G44" s="619"/>
      <c r="H44" s="619"/>
      <c r="I44" s="619"/>
      <c r="J44" s="619"/>
      <c r="K44" s="619"/>
      <c r="L44" s="619"/>
      <c r="M44" s="619"/>
      <c r="N44" s="619"/>
      <c r="O44" s="619"/>
      <c r="P44" s="619"/>
      <c r="Q44" s="619"/>
      <c r="R44" s="619"/>
      <c r="S44" s="613"/>
    </row>
    <row r="45" spans="1:19" x14ac:dyDescent="0.25">
      <c r="B45" s="7"/>
      <c r="C45" s="7"/>
      <c r="D45" s="7"/>
      <c r="E45" s="7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7"/>
    </row>
    <row r="46" spans="1:19" ht="15.75" x14ac:dyDescent="0.25">
      <c r="A46" s="648"/>
      <c r="B46" s="649" t="s">
        <v>907</v>
      </c>
      <c r="C46" s="438"/>
      <c r="D46" s="438"/>
      <c r="E46" s="438"/>
      <c r="F46" s="438"/>
      <c r="G46" s="438"/>
      <c r="H46" s="438"/>
      <c r="I46" s="438"/>
      <c r="J46" s="202"/>
      <c r="K46" s="202"/>
      <c r="L46" s="202"/>
      <c r="M46" s="202"/>
      <c r="N46" s="202"/>
      <c r="O46" s="202"/>
      <c r="P46" s="202"/>
      <c r="Q46" s="202"/>
      <c r="R46" s="202"/>
    </row>
    <row r="47" spans="1:19" ht="15.75" x14ac:dyDescent="0.25">
      <c r="A47" s="648"/>
      <c r="B47" s="650" t="s">
        <v>901</v>
      </c>
      <c r="C47" s="650">
        <f>C7</f>
        <v>6400</v>
      </c>
      <c r="D47" s="438"/>
      <c r="E47" s="438"/>
      <c r="F47" s="438"/>
      <c r="G47" s="438"/>
      <c r="H47" s="438"/>
      <c r="I47" s="438"/>
      <c r="J47" s="202"/>
      <c r="K47" s="202"/>
      <c r="L47" s="202"/>
      <c r="M47" s="202"/>
      <c r="N47" s="202"/>
      <c r="O47" s="202"/>
      <c r="P47" s="202"/>
    </row>
    <row r="48" spans="1:19" ht="15.75" x14ac:dyDescent="0.25">
      <c r="A48" s="648"/>
      <c r="B48" s="650" t="s">
        <v>238</v>
      </c>
      <c r="C48" s="650">
        <v>6200</v>
      </c>
      <c r="D48" s="438"/>
      <c r="E48" s="438"/>
      <c r="F48" s="438"/>
      <c r="G48" s="438"/>
      <c r="H48" s="438"/>
      <c r="I48" s="438"/>
      <c r="J48" s="202"/>
      <c r="K48" s="202"/>
      <c r="L48" s="202">
        <f>9</f>
        <v>9</v>
      </c>
      <c r="M48" s="202"/>
      <c r="N48" s="202"/>
      <c r="O48" s="202"/>
      <c r="P48" s="202"/>
    </row>
    <row r="49" spans="1:16" ht="15.75" x14ac:dyDescent="0.25">
      <c r="A49" s="648"/>
      <c r="B49" s="650" t="s">
        <v>902</v>
      </c>
      <c r="C49" s="650">
        <v>10200</v>
      </c>
      <c r="D49" s="438"/>
      <c r="E49" s="438"/>
      <c r="F49" s="438"/>
      <c r="G49" s="438"/>
      <c r="H49" s="438"/>
      <c r="I49" s="438"/>
      <c r="J49" s="202"/>
      <c r="K49" s="202"/>
      <c r="L49" s="202"/>
      <c r="M49" s="202"/>
      <c r="N49" s="202"/>
      <c r="O49" s="202"/>
      <c r="P49" s="202"/>
    </row>
    <row r="50" spans="1:16" ht="15.75" x14ac:dyDescent="0.25">
      <c r="A50" s="648"/>
      <c r="B50" s="650" t="s">
        <v>903</v>
      </c>
      <c r="C50" s="650">
        <v>10</v>
      </c>
      <c r="D50" s="438"/>
      <c r="E50" s="438"/>
      <c r="F50" s="438"/>
      <c r="G50" s="438"/>
      <c r="H50" s="438"/>
      <c r="I50" s="438"/>
      <c r="J50" s="202"/>
      <c r="K50" s="202"/>
      <c r="L50" s="202"/>
      <c r="M50" s="202"/>
      <c r="N50" s="202"/>
      <c r="O50" s="202"/>
    </row>
    <row r="51" spans="1:16" ht="15.75" x14ac:dyDescent="0.25">
      <c r="A51" s="648"/>
      <c r="B51" s="650" t="s">
        <v>183</v>
      </c>
      <c r="C51" s="650">
        <v>0.1</v>
      </c>
      <c r="D51" s="438"/>
      <c r="E51" s="438"/>
      <c r="F51" s="438"/>
      <c r="G51" s="438"/>
      <c r="H51" s="438"/>
      <c r="I51" s="438"/>
      <c r="J51" s="202"/>
      <c r="K51" s="202"/>
      <c r="L51" s="202"/>
      <c r="M51" s="202"/>
      <c r="N51" s="202"/>
      <c r="O51" s="202"/>
      <c r="P51" s="202"/>
    </row>
    <row r="52" spans="1:16" ht="15.75" x14ac:dyDescent="0.25">
      <c r="A52" s="648"/>
      <c r="B52" s="650" t="s">
        <v>904</v>
      </c>
      <c r="C52" s="650">
        <v>9</v>
      </c>
      <c r="D52" s="438"/>
      <c r="E52" s="438"/>
      <c r="F52" s="438"/>
      <c r="G52" s="438"/>
      <c r="H52" s="438"/>
      <c r="I52" s="438"/>
      <c r="J52" s="202"/>
      <c r="K52" s="202"/>
      <c r="L52" s="202"/>
      <c r="M52" s="202"/>
      <c r="N52" s="202"/>
      <c r="O52" s="202"/>
      <c r="P52" s="202"/>
    </row>
    <row r="53" spans="1:16" s="202" customFormat="1" ht="15.75" x14ac:dyDescent="0.25">
      <c r="A53" s="438"/>
      <c r="B53" s="391" t="s">
        <v>905</v>
      </c>
      <c r="C53" s="391">
        <v>10000</v>
      </c>
      <c r="D53" s="438"/>
      <c r="E53" s="438"/>
      <c r="F53" s="438"/>
      <c r="G53" s="438"/>
      <c r="H53" s="438"/>
      <c r="I53" s="438"/>
    </row>
    <row r="54" spans="1:16" s="202" customFormat="1" ht="15.75" x14ac:dyDescent="0.25">
      <c r="A54" s="438"/>
      <c r="B54" s="391" t="s">
        <v>906</v>
      </c>
      <c r="C54" s="651"/>
      <c r="D54" s="438"/>
      <c r="E54" s="438"/>
      <c r="F54" s="438"/>
      <c r="G54" s="438"/>
      <c r="H54" s="438"/>
      <c r="I54" s="438"/>
    </row>
    <row r="55" spans="1:16" s="202" customFormat="1" ht="15.75" x14ac:dyDescent="0.25">
      <c r="A55" s="438"/>
      <c r="B55" s="391" t="s">
        <v>186</v>
      </c>
      <c r="C55" s="391">
        <v>1.1000000000000001</v>
      </c>
      <c r="D55" s="391" t="s">
        <v>240</v>
      </c>
      <c r="E55" s="400">
        <v>11.5</v>
      </c>
      <c r="F55" s="438"/>
      <c r="G55" s="438"/>
      <c r="H55" s="438"/>
      <c r="I55" s="438"/>
    </row>
    <row r="56" spans="1:16" s="202" customFormat="1" ht="15.75" x14ac:dyDescent="0.25">
      <c r="A56" s="438"/>
      <c r="B56" s="391" t="s">
        <v>187</v>
      </c>
      <c r="C56" s="391">
        <v>1</v>
      </c>
      <c r="D56" s="391" t="s">
        <v>241</v>
      </c>
      <c r="E56" s="400">
        <v>11.2</v>
      </c>
      <c r="F56" s="438"/>
      <c r="G56" s="438"/>
      <c r="H56" s="438"/>
      <c r="I56" s="438"/>
    </row>
    <row r="57" spans="1:16" s="202" customFormat="1" ht="15.75" x14ac:dyDescent="0.25">
      <c r="A57" s="438"/>
      <c r="B57" s="438"/>
      <c r="C57" s="438"/>
      <c r="D57" s="652">
        <v>5.1999999999999998E-2</v>
      </c>
      <c r="E57" s="438"/>
      <c r="F57" s="438"/>
      <c r="G57" s="438"/>
      <c r="H57" s="438"/>
      <c r="I57" s="438"/>
    </row>
    <row r="58" spans="1:16" s="202" customFormat="1" ht="15.75" x14ac:dyDescent="0.25">
      <c r="A58" s="438"/>
      <c r="B58" s="653" t="s">
        <v>884</v>
      </c>
      <c r="C58" s="654"/>
      <c r="D58" s="654"/>
      <c r="E58" s="400"/>
      <c r="F58" s="438"/>
      <c r="G58" s="438"/>
      <c r="H58" s="438"/>
      <c r="I58" s="438"/>
    </row>
    <row r="59" spans="1:16" s="202" customFormat="1" ht="15.75" x14ac:dyDescent="0.25">
      <c r="A59" s="438"/>
      <c r="B59" s="649" t="s">
        <v>899</v>
      </c>
      <c r="C59" s="438"/>
      <c r="D59" s="438"/>
      <c r="E59" s="438"/>
      <c r="F59" s="438"/>
      <c r="G59" s="438"/>
      <c r="H59" s="438"/>
      <c r="I59" s="438"/>
    </row>
    <row r="60" spans="1:16" s="202" customFormat="1" ht="15.75" x14ac:dyDescent="0.25">
      <c r="A60" s="438"/>
      <c r="B60" s="391" t="s">
        <v>242</v>
      </c>
      <c r="C60" s="391">
        <f>C50*D57*C49</f>
        <v>5304</v>
      </c>
      <c r="D60" s="438"/>
      <c r="E60" s="438"/>
      <c r="F60" s="438"/>
      <c r="G60" s="438"/>
      <c r="H60" s="438"/>
      <c r="I60" s="438"/>
    </row>
    <row r="61" spans="1:16" s="202" customFormat="1" ht="15.75" x14ac:dyDescent="0.25">
      <c r="A61" s="438"/>
      <c r="B61" s="391" t="s">
        <v>226</v>
      </c>
      <c r="C61" s="391">
        <f>C60 - (C51*C49)</f>
        <v>4284</v>
      </c>
      <c r="D61" s="438"/>
      <c r="E61" s="438"/>
      <c r="F61" s="438"/>
      <c r="G61" s="438"/>
      <c r="H61" s="438"/>
      <c r="I61" s="438"/>
    </row>
    <row r="62" spans="1:16" s="202" customFormat="1" ht="15.75" x14ac:dyDescent="0.25">
      <c r="A62" s="438"/>
      <c r="B62" s="391" t="s">
        <v>227</v>
      </c>
      <c r="C62" s="391">
        <f>C61+ (E55*D57*C53)</f>
        <v>10264</v>
      </c>
      <c r="D62" s="438"/>
      <c r="E62" s="438"/>
      <c r="F62" s="438"/>
      <c r="G62" s="438"/>
      <c r="H62" s="438"/>
      <c r="I62" s="438"/>
    </row>
    <row r="63" spans="1:16" s="202" customFormat="1" ht="15.75" x14ac:dyDescent="0.25">
      <c r="A63" s="438"/>
      <c r="B63" s="438"/>
      <c r="C63" s="438"/>
      <c r="D63" s="438"/>
      <c r="E63" s="438"/>
      <c r="F63" s="438"/>
      <c r="G63" s="438"/>
      <c r="H63" s="438"/>
      <c r="I63" s="438"/>
    </row>
    <row r="64" spans="1:16" s="202" customFormat="1" ht="15.75" x14ac:dyDescent="0.25">
      <c r="A64" s="438"/>
      <c r="B64" s="655" t="s">
        <v>900</v>
      </c>
      <c r="C64" s="391"/>
      <c r="D64" s="654"/>
      <c r="E64" s="400"/>
      <c r="F64" s="438"/>
      <c r="G64" s="438"/>
      <c r="H64" s="438"/>
      <c r="I64" s="438"/>
    </row>
    <row r="65" spans="1:17" s="202" customFormat="1" ht="15.75" x14ac:dyDescent="0.25">
      <c r="A65" s="438"/>
      <c r="B65" s="391" t="s">
        <v>193</v>
      </c>
      <c r="C65" s="426">
        <f>D65</f>
        <v>0</v>
      </c>
      <c r="D65" s="652">
        <v>0</v>
      </c>
      <c r="E65" s="438"/>
      <c r="F65" s="438"/>
      <c r="G65" s="438"/>
      <c r="H65" s="438"/>
      <c r="I65" s="438"/>
    </row>
    <row r="66" spans="1:17" s="202" customFormat="1" ht="15.75" x14ac:dyDescent="0.25">
      <c r="A66" s="438"/>
      <c r="B66" s="391" t="s">
        <v>200</v>
      </c>
      <c r="C66" s="391">
        <v>4680</v>
      </c>
      <c r="D66" s="652">
        <v>3744</v>
      </c>
      <c r="E66" s="438"/>
      <c r="F66" s="438"/>
      <c r="G66" s="438"/>
      <c r="H66" s="438"/>
      <c r="I66" s="438"/>
    </row>
    <row r="67" spans="1:17" s="202" customFormat="1" ht="15.75" x14ac:dyDescent="0.25">
      <c r="A67" s="438"/>
      <c r="B67" s="438"/>
      <c r="C67" s="438"/>
      <c r="D67" s="652"/>
      <c r="E67" s="438"/>
      <c r="F67" s="438"/>
      <c r="G67" s="438"/>
      <c r="H67" s="438"/>
      <c r="I67" s="438"/>
    </row>
    <row r="68" spans="1:17" s="202" customFormat="1" ht="15.75" x14ac:dyDescent="0.25">
      <c r="A68" s="438"/>
      <c r="B68" s="649" t="s">
        <v>191</v>
      </c>
      <c r="C68" s="438"/>
      <c r="D68" s="652"/>
      <c r="E68" s="438"/>
      <c r="F68" s="438"/>
      <c r="G68" s="438"/>
      <c r="H68" s="438"/>
      <c r="I68" s="438"/>
    </row>
    <row r="69" spans="1:17" s="202" customFormat="1" ht="15.75" x14ac:dyDescent="0.25">
      <c r="A69" s="438"/>
      <c r="B69" s="391" t="s">
        <v>2</v>
      </c>
      <c r="C69" s="391" t="s">
        <v>194</v>
      </c>
      <c r="D69" s="391" t="s">
        <v>195</v>
      </c>
      <c r="E69" s="391" t="s">
        <v>196</v>
      </c>
      <c r="F69" s="391" t="s">
        <v>197</v>
      </c>
      <c r="G69" s="438"/>
      <c r="H69" s="438"/>
      <c r="I69" s="438"/>
    </row>
    <row r="70" spans="1:17" s="202" customFormat="1" ht="15.75" x14ac:dyDescent="0.25">
      <c r="A70" s="438"/>
      <c r="B70" s="391" t="s">
        <v>201</v>
      </c>
      <c r="C70" s="391">
        <v>4284</v>
      </c>
      <c r="D70" s="391">
        <v>0</v>
      </c>
      <c r="E70" s="391">
        <v>4284</v>
      </c>
      <c r="F70" s="391">
        <v>4712.4000000000005</v>
      </c>
      <c r="G70" s="438"/>
      <c r="H70" s="438"/>
      <c r="I70" s="438"/>
    </row>
    <row r="71" spans="1:17" s="202" customFormat="1" ht="15.75" x14ac:dyDescent="0.25">
      <c r="A71" s="438"/>
      <c r="B71" s="391" t="s">
        <v>228</v>
      </c>
      <c r="C71" s="391">
        <v>10264</v>
      </c>
      <c r="D71" s="391">
        <v>4680</v>
      </c>
      <c r="E71" s="391">
        <v>5584</v>
      </c>
      <c r="F71" s="391">
        <v>6142.4000000000005</v>
      </c>
      <c r="G71" s="438"/>
      <c r="H71" s="438"/>
      <c r="I71" s="438"/>
    </row>
    <row r="72" spans="1:17" s="202" customFormat="1" ht="15.75" x14ac:dyDescent="0.25">
      <c r="A72" s="438"/>
      <c r="B72" s="438"/>
      <c r="C72" s="438"/>
      <c r="D72" s="652"/>
      <c r="E72" s="438"/>
      <c r="F72" s="438"/>
      <c r="G72" s="438"/>
      <c r="H72" s="438"/>
      <c r="I72" s="438"/>
    </row>
    <row r="73" spans="1:17" s="202" customFormat="1" ht="15.75" x14ac:dyDescent="0.25">
      <c r="B73" s="646"/>
      <c r="C73" s="646"/>
      <c r="D73" s="647"/>
      <c r="E73" s="646"/>
      <c r="F73" s="646"/>
      <c r="G73" s="646"/>
      <c r="H73" s="646"/>
    </row>
    <row r="74" spans="1:17" s="202" customFormat="1" x14ac:dyDescent="0.25">
      <c r="D74" s="381"/>
    </row>
    <row r="75" spans="1:17" s="202" customFormat="1" x14ac:dyDescent="0.25">
      <c r="D75" s="381"/>
    </row>
    <row r="76" spans="1:17" s="202" customFormat="1" x14ac:dyDescent="0.25"/>
    <row r="77" spans="1:17" s="202" customFormat="1" x14ac:dyDescent="0.25"/>
    <row r="78" spans="1:17" s="202" customFormat="1" x14ac:dyDescent="0.25"/>
    <row r="79" spans="1:17" x14ac:dyDescent="0.25">
      <c r="A79" s="202"/>
      <c r="B79" s="202"/>
      <c r="C79" s="202"/>
      <c r="D79" s="202"/>
      <c r="E79" s="202"/>
      <c r="F79" s="202"/>
      <c r="G79" s="202"/>
      <c r="H79" s="202"/>
      <c r="I79" s="202"/>
      <c r="J79" s="202"/>
      <c r="K79" s="202"/>
      <c r="L79" s="202"/>
      <c r="M79" s="202"/>
      <c r="N79" s="202"/>
      <c r="O79" s="202"/>
      <c r="P79" s="202"/>
      <c r="Q79" s="202"/>
    </row>
    <row r="80" spans="1:17" ht="15.75" x14ac:dyDescent="0.25">
      <c r="A80" s="438"/>
      <c r="B80" s="438"/>
      <c r="C80" s="438"/>
      <c r="D80" s="438"/>
      <c r="E80" s="438"/>
      <c r="F80" s="438"/>
      <c r="G80" s="438"/>
      <c r="H80" s="202"/>
      <c r="I80" s="202"/>
      <c r="J80" s="202"/>
      <c r="K80" s="202"/>
      <c r="L80" s="202"/>
      <c r="M80" s="202"/>
      <c r="N80" s="202"/>
      <c r="O80" s="202"/>
      <c r="P80" s="202"/>
      <c r="Q80" s="202"/>
    </row>
    <row r="81" spans="1:17" ht="15.75" x14ac:dyDescent="0.25">
      <c r="A81" s="438"/>
      <c r="B81" s="656" t="s">
        <v>886</v>
      </c>
      <c r="C81" s="657"/>
      <c r="D81" s="658"/>
      <c r="E81" s="438"/>
      <c r="F81" s="438"/>
      <c r="G81" s="438"/>
      <c r="H81" s="202"/>
      <c r="I81" s="202"/>
      <c r="J81" s="202"/>
      <c r="K81" s="202"/>
      <c r="L81" s="202"/>
      <c r="M81" s="202"/>
      <c r="N81" s="202"/>
      <c r="O81" s="202"/>
      <c r="P81" s="202"/>
      <c r="Q81" s="202"/>
    </row>
    <row r="82" spans="1:17" ht="15.75" x14ac:dyDescent="0.25">
      <c r="A82" s="438"/>
      <c r="B82" s="649" t="s">
        <v>908</v>
      </c>
      <c r="C82" s="438"/>
      <c r="D82" s="438"/>
      <c r="E82" s="438"/>
      <c r="F82" s="438"/>
      <c r="G82" s="438"/>
      <c r="H82" s="202"/>
      <c r="I82" s="202"/>
      <c r="J82" s="202"/>
      <c r="K82" s="202"/>
      <c r="L82" s="202"/>
      <c r="M82" s="202"/>
      <c r="N82" s="202"/>
      <c r="O82" s="202"/>
      <c r="P82" s="202"/>
      <c r="Q82" s="202"/>
    </row>
    <row r="83" spans="1:17" ht="15.75" x14ac:dyDescent="0.25">
      <c r="A83" s="438"/>
      <c r="B83" s="391" t="s">
        <v>193</v>
      </c>
      <c r="C83" s="391">
        <v>0</v>
      </c>
      <c r="D83" s="438"/>
      <c r="E83" s="438"/>
      <c r="F83" s="652"/>
      <c r="G83" s="652"/>
      <c r="H83" s="381"/>
      <c r="I83" s="381"/>
      <c r="J83" s="381"/>
      <c r="K83" s="202"/>
      <c r="L83" s="202"/>
      <c r="M83" s="202"/>
      <c r="N83" s="202"/>
      <c r="O83" s="202"/>
      <c r="P83" s="202"/>
    </row>
    <row r="84" spans="1:17" ht="15.75" x14ac:dyDescent="0.25">
      <c r="A84" s="438"/>
      <c r="B84" s="391" t="s">
        <v>217</v>
      </c>
      <c r="C84" s="391">
        <v>0</v>
      </c>
      <c r="D84" s="438"/>
      <c r="E84" s="438"/>
      <c r="F84" s="652"/>
      <c r="G84" s="652" t="s">
        <v>211</v>
      </c>
      <c r="H84" s="381"/>
      <c r="I84" s="381"/>
      <c r="J84" s="381"/>
      <c r="K84" s="202"/>
      <c r="L84" s="330" t="s">
        <v>212</v>
      </c>
      <c r="M84" s="330"/>
      <c r="N84" s="330"/>
      <c r="O84" s="330"/>
      <c r="P84" s="330"/>
      <c r="Q84" s="202"/>
    </row>
    <row r="85" spans="1:17" ht="15.75" x14ac:dyDescent="0.25">
      <c r="A85" s="438"/>
      <c r="B85" s="438"/>
      <c r="C85" s="438"/>
      <c r="D85" s="438"/>
      <c r="E85" s="438"/>
      <c r="F85" s="652"/>
      <c r="G85" s="652" t="s">
        <v>214</v>
      </c>
      <c r="H85" s="381"/>
      <c r="I85" s="381"/>
      <c r="J85" s="381">
        <v>0</v>
      </c>
      <c r="K85" s="202"/>
      <c r="L85" s="330" t="s">
        <v>2</v>
      </c>
      <c r="M85" s="330" t="s">
        <v>194</v>
      </c>
      <c r="N85" s="330" t="s">
        <v>195</v>
      </c>
      <c r="O85" s="330" t="s">
        <v>215</v>
      </c>
      <c r="P85" s="330" t="s">
        <v>216</v>
      </c>
      <c r="Q85" s="202"/>
    </row>
    <row r="86" spans="1:17" ht="15.75" x14ac:dyDescent="0.25">
      <c r="A86" s="438"/>
      <c r="B86" s="659" t="s">
        <v>909</v>
      </c>
      <c r="C86" s="423"/>
      <c r="D86" s="438"/>
      <c r="E86" s="438"/>
      <c r="F86" s="652"/>
      <c r="G86" s="652" t="s">
        <v>217</v>
      </c>
      <c r="H86" s="381"/>
      <c r="I86" s="381"/>
      <c r="J86" s="381">
        <f>C52*D57*C53</f>
        <v>4680</v>
      </c>
      <c r="K86" s="202"/>
      <c r="L86" s="330" t="s">
        <v>201</v>
      </c>
      <c r="M86" s="330">
        <v>0</v>
      </c>
      <c r="N86" s="330">
        <v>0</v>
      </c>
      <c r="O86" s="330">
        <v>0</v>
      </c>
      <c r="P86" s="330">
        <f>O86*C56</f>
        <v>0</v>
      </c>
      <c r="Q86" s="202"/>
    </row>
    <row r="87" spans="1:17" ht="15.75" x14ac:dyDescent="0.25">
      <c r="A87" s="438"/>
      <c r="B87" s="660" t="s">
        <v>910</v>
      </c>
      <c r="C87" s="427"/>
      <c r="D87" s="438"/>
      <c r="E87" s="438"/>
      <c r="F87" s="652"/>
      <c r="G87" s="652"/>
      <c r="H87" s="381"/>
      <c r="I87" s="381"/>
      <c r="J87" s="381"/>
      <c r="K87" s="202"/>
      <c r="L87" s="330"/>
      <c r="M87" s="330"/>
      <c r="N87" s="330"/>
      <c r="O87" s="330"/>
      <c r="P87" s="202"/>
      <c r="Q87" s="202"/>
    </row>
    <row r="88" spans="1:17" ht="15.75" x14ac:dyDescent="0.25">
      <c r="A88" s="438"/>
      <c r="B88" s="426" t="s">
        <v>214</v>
      </c>
      <c r="C88" s="426">
        <f>D88</f>
        <v>0</v>
      </c>
      <c r="D88" s="438"/>
      <c r="E88" s="438"/>
      <c r="F88" s="438"/>
      <c r="G88" s="438"/>
      <c r="H88" s="202"/>
      <c r="I88" s="202"/>
      <c r="J88" s="202"/>
      <c r="K88" s="330" t="s">
        <v>204</v>
      </c>
      <c r="L88" s="330">
        <v>0</v>
      </c>
      <c r="M88" s="330">
        <f>J86</f>
        <v>4680</v>
      </c>
      <c r="N88" s="330">
        <f>M88-L88</f>
        <v>4680</v>
      </c>
      <c r="O88" s="330">
        <f>N88*C56</f>
        <v>4680</v>
      </c>
      <c r="P88" s="202"/>
    </row>
    <row r="89" spans="1:17" ht="15.75" x14ac:dyDescent="0.25">
      <c r="A89" s="438"/>
      <c r="B89" s="391" t="s">
        <v>217</v>
      </c>
      <c r="C89" s="391">
        <f>J86</f>
        <v>4680</v>
      </c>
      <c r="D89" s="438"/>
      <c r="E89" s="438"/>
      <c r="F89" s="438"/>
      <c r="G89" s="438"/>
      <c r="H89" s="202"/>
      <c r="I89" s="202"/>
      <c r="J89" s="202"/>
      <c r="K89" s="202"/>
      <c r="L89" s="202"/>
      <c r="M89" s="202"/>
      <c r="N89" s="202"/>
      <c r="O89" s="202"/>
      <c r="P89" s="202"/>
    </row>
    <row r="90" spans="1:17" ht="15.75" x14ac:dyDescent="0.25">
      <c r="A90" s="438"/>
      <c r="B90" s="438"/>
      <c r="C90" s="438"/>
      <c r="D90" s="438"/>
      <c r="E90" s="438"/>
      <c r="F90" s="438"/>
      <c r="G90" s="438"/>
      <c r="K90" s="202"/>
      <c r="L90" s="202"/>
      <c r="M90" s="202"/>
      <c r="N90" s="202"/>
      <c r="O90" s="202"/>
      <c r="P90" s="202"/>
      <c r="Q90" s="202"/>
    </row>
    <row r="91" spans="1:17" ht="15.75" x14ac:dyDescent="0.25">
      <c r="A91" s="438"/>
      <c r="B91" s="656" t="s">
        <v>212</v>
      </c>
      <c r="C91" s="654"/>
      <c r="D91" s="654"/>
      <c r="E91" s="654"/>
      <c r="F91" s="400"/>
      <c r="G91" s="438"/>
      <c r="K91" s="202"/>
      <c r="L91" s="202"/>
      <c r="M91" s="202"/>
      <c r="N91" s="202"/>
      <c r="O91" s="202"/>
      <c r="P91" s="202"/>
      <c r="Q91" s="202"/>
    </row>
    <row r="92" spans="1:17" ht="15.75" x14ac:dyDescent="0.25">
      <c r="A92" s="438"/>
      <c r="B92" s="391" t="s">
        <v>2</v>
      </c>
      <c r="C92" s="391" t="s">
        <v>194</v>
      </c>
      <c r="D92" s="391" t="s">
        <v>195</v>
      </c>
      <c r="E92" s="391" t="s">
        <v>215</v>
      </c>
      <c r="F92" s="391" t="s">
        <v>216</v>
      </c>
      <c r="G92" s="438"/>
      <c r="K92" s="202"/>
      <c r="L92" s="202"/>
      <c r="M92" s="202"/>
      <c r="N92" s="202"/>
      <c r="O92" s="202"/>
      <c r="P92" s="202"/>
      <c r="Q92" s="202"/>
    </row>
    <row r="93" spans="1:17" ht="15.75" x14ac:dyDescent="0.25">
      <c r="A93" s="438"/>
      <c r="B93" s="391" t="s">
        <v>201</v>
      </c>
      <c r="C93" s="391">
        <v>0</v>
      </c>
      <c r="D93" s="391">
        <v>0</v>
      </c>
      <c r="E93" s="391">
        <v>0</v>
      </c>
      <c r="F93" s="391">
        <v>0</v>
      </c>
      <c r="G93" s="438"/>
      <c r="K93" s="202"/>
      <c r="L93" s="202"/>
      <c r="M93" s="202"/>
      <c r="N93" s="202"/>
      <c r="O93" s="202"/>
      <c r="P93" s="202"/>
      <c r="Q93" s="202"/>
    </row>
    <row r="94" spans="1:17" ht="15.75" x14ac:dyDescent="0.25">
      <c r="A94" s="438"/>
      <c r="B94" s="391" t="s">
        <v>204</v>
      </c>
      <c r="C94" s="391">
        <v>0</v>
      </c>
      <c r="D94" s="391">
        <v>4680</v>
      </c>
      <c r="E94" s="391">
        <v>4680</v>
      </c>
      <c r="F94" s="391">
        <v>4680</v>
      </c>
      <c r="G94" s="438"/>
      <c r="K94" s="202"/>
      <c r="L94" s="202"/>
      <c r="M94" s="202"/>
      <c r="N94" s="202"/>
      <c r="O94" s="202"/>
      <c r="P94" s="202"/>
      <c r="Q94" s="202"/>
    </row>
    <row r="95" spans="1:17" ht="15.75" x14ac:dyDescent="0.25">
      <c r="A95" s="438"/>
      <c r="B95" s="438"/>
      <c r="C95" s="438"/>
      <c r="D95" s="438"/>
      <c r="E95" s="438"/>
      <c r="F95" s="438"/>
      <c r="G95" s="438"/>
      <c r="K95" s="202"/>
      <c r="L95" s="202"/>
      <c r="M95" s="202"/>
      <c r="N95" s="202"/>
      <c r="O95" s="202"/>
      <c r="P95" s="202"/>
      <c r="Q95" s="202"/>
    </row>
    <row r="96" spans="1:17" ht="15.75" x14ac:dyDescent="0.25">
      <c r="A96" s="438"/>
      <c r="B96" s="438"/>
      <c r="C96" s="438"/>
      <c r="D96" s="438"/>
      <c r="E96" s="438"/>
      <c r="F96" s="438"/>
      <c r="G96" s="438"/>
      <c r="K96" s="202"/>
      <c r="L96" s="202"/>
      <c r="M96" s="202"/>
      <c r="N96" s="202"/>
      <c r="O96" s="202"/>
      <c r="P96" s="202"/>
      <c r="Q96" s="202"/>
    </row>
    <row r="97" spans="1:21" x14ac:dyDescent="0.25">
      <c r="A97" s="202"/>
      <c r="B97" s="202"/>
      <c r="C97" s="202"/>
      <c r="D97" s="202"/>
      <c r="E97" s="202"/>
      <c r="F97" s="202"/>
      <c r="G97" s="202"/>
      <c r="K97" s="202"/>
      <c r="L97" s="202"/>
      <c r="M97" s="202"/>
      <c r="N97" s="202"/>
      <c r="O97" s="202"/>
      <c r="P97" s="202"/>
      <c r="Q97" s="202"/>
    </row>
    <row r="98" spans="1:21" x14ac:dyDescent="0.25">
      <c r="A98" s="202"/>
      <c r="B98" s="202"/>
      <c r="C98" s="202"/>
      <c r="D98" s="202"/>
      <c r="E98" s="202"/>
      <c r="F98" s="202"/>
      <c r="G98" s="202"/>
      <c r="K98" s="202"/>
      <c r="L98" s="202"/>
      <c r="M98" s="202"/>
      <c r="N98" s="202"/>
      <c r="O98" s="202"/>
      <c r="P98" s="202"/>
      <c r="Q98" s="202"/>
    </row>
    <row r="99" spans="1:21" x14ac:dyDescent="0.25">
      <c r="A99" s="202"/>
      <c r="B99" s="202"/>
      <c r="C99" s="202"/>
      <c r="D99" s="202"/>
      <c r="E99" s="202"/>
      <c r="F99" s="202"/>
      <c r="G99" s="202"/>
      <c r="K99" s="202"/>
      <c r="L99" s="202"/>
      <c r="M99" s="202"/>
      <c r="N99" s="202"/>
      <c r="O99" s="202"/>
      <c r="P99" s="202"/>
      <c r="Q99" s="202"/>
    </row>
    <row r="100" spans="1:21" x14ac:dyDescent="0.25">
      <c r="A100" s="202"/>
      <c r="B100" s="202"/>
      <c r="C100" s="202"/>
      <c r="D100" s="202"/>
      <c r="E100" s="202"/>
      <c r="F100" s="202"/>
      <c r="G100" s="202"/>
      <c r="H100" s="54"/>
      <c r="I100" s="54"/>
      <c r="J100" s="54"/>
      <c r="K100" s="54"/>
      <c r="L100" s="54"/>
      <c r="M100" s="54"/>
      <c r="N100" s="54"/>
      <c r="O100" s="54"/>
      <c r="P100" s="54"/>
      <c r="Q100" s="54"/>
    </row>
    <row r="101" spans="1:21" ht="31.5" x14ac:dyDescent="0.5">
      <c r="A101" s="202"/>
      <c r="B101" s="376" t="s">
        <v>229</v>
      </c>
      <c r="C101" s="376"/>
      <c r="D101" s="202"/>
      <c r="E101" s="202"/>
      <c r="F101" s="202"/>
      <c r="G101" s="202"/>
    </row>
    <row r="102" spans="1:21" x14ac:dyDescent="0.25">
      <c r="A102" s="202"/>
      <c r="B102" s="330" t="s">
        <v>178</v>
      </c>
      <c r="C102" s="330">
        <f>C6</f>
        <v>3700</v>
      </c>
      <c r="D102" s="202"/>
      <c r="E102" s="202"/>
    </row>
    <row r="103" spans="1:21" x14ac:dyDescent="0.25">
      <c r="A103" s="202"/>
      <c r="B103" s="330" t="s">
        <v>179</v>
      </c>
      <c r="C103" s="330">
        <v>8.65</v>
      </c>
      <c r="D103" s="202"/>
      <c r="E103" s="202"/>
    </row>
    <row r="104" spans="1:21" x14ac:dyDescent="0.25">
      <c r="A104" s="202"/>
      <c r="B104" s="330" t="s">
        <v>180</v>
      </c>
      <c r="C104" s="330">
        <f>C7</f>
        <v>6400</v>
      </c>
      <c r="D104" s="202"/>
      <c r="E104" s="202"/>
    </row>
    <row r="105" spans="1:21" x14ac:dyDescent="0.25">
      <c r="A105" s="202"/>
      <c r="B105" s="330" t="s">
        <v>181</v>
      </c>
      <c r="C105" s="330">
        <v>8.65</v>
      </c>
      <c r="D105" s="202"/>
    </row>
    <row r="106" spans="1:21" x14ac:dyDescent="0.25">
      <c r="A106" s="202"/>
      <c r="B106" s="330" t="s">
        <v>230</v>
      </c>
      <c r="C106" s="330">
        <v>14.7</v>
      </c>
      <c r="D106" s="202"/>
      <c r="E106" s="202"/>
      <c r="F106" s="202"/>
      <c r="G106" s="202"/>
      <c r="H106" s="202"/>
      <c r="I106" s="202"/>
      <c r="J106" s="202"/>
      <c r="K106" s="202"/>
      <c r="L106" s="202"/>
      <c r="M106" s="202"/>
      <c r="N106" s="202"/>
      <c r="O106" s="202"/>
      <c r="P106" s="202"/>
      <c r="Q106" s="202"/>
    </row>
    <row r="107" spans="1:21" x14ac:dyDescent="0.25">
      <c r="A107" s="202"/>
      <c r="B107" s="330" t="s">
        <v>183</v>
      </c>
      <c r="C107" s="330">
        <v>0.1</v>
      </c>
      <c r="D107" s="202"/>
      <c r="E107" s="202"/>
      <c r="F107" s="202"/>
      <c r="G107" s="202"/>
      <c r="H107" s="202"/>
      <c r="I107" s="202"/>
      <c r="J107" s="202"/>
      <c r="K107" s="202"/>
      <c r="L107" s="202"/>
      <c r="M107" s="202"/>
      <c r="N107" s="202"/>
      <c r="O107" s="202"/>
      <c r="P107" s="202"/>
      <c r="Q107" s="202"/>
      <c r="R107" s="202"/>
    </row>
    <row r="108" spans="1:21" x14ac:dyDescent="0.25">
      <c r="A108" s="202"/>
      <c r="B108" s="330" t="s">
        <v>184</v>
      </c>
      <c r="C108" s="330" t="s">
        <v>185</v>
      </c>
      <c r="D108" s="330">
        <v>10</v>
      </c>
      <c r="E108" s="202"/>
      <c r="F108" s="202"/>
      <c r="G108" s="202"/>
      <c r="H108" s="202"/>
      <c r="I108" s="202"/>
      <c r="J108" s="202"/>
      <c r="K108" s="202"/>
      <c r="L108" s="202"/>
      <c r="M108" s="202"/>
      <c r="N108" s="202"/>
      <c r="O108" s="202"/>
      <c r="P108" s="202"/>
      <c r="Q108" s="202"/>
      <c r="R108" s="202"/>
      <c r="S108" s="202"/>
    </row>
    <row r="109" spans="1:21" x14ac:dyDescent="0.25">
      <c r="A109" s="202"/>
      <c r="B109" s="330" t="s">
        <v>186</v>
      </c>
      <c r="C109" s="330">
        <v>1.1000000000000001</v>
      </c>
      <c r="D109" s="330">
        <v>5.1999999999999998E-2</v>
      </c>
      <c r="E109" s="202"/>
      <c r="F109" s="202"/>
      <c r="G109" s="202"/>
      <c r="H109" s="202"/>
      <c r="I109" s="202"/>
      <c r="J109" s="202"/>
      <c r="K109" s="202"/>
      <c r="L109" s="202"/>
      <c r="M109" s="202"/>
      <c r="N109" s="202"/>
      <c r="O109" s="202"/>
      <c r="P109" s="202"/>
      <c r="Q109" s="202"/>
      <c r="R109" s="202"/>
      <c r="S109" s="202"/>
    </row>
    <row r="110" spans="1:21" x14ac:dyDescent="0.25">
      <c r="A110" s="202"/>
      <c r="B110" s="330" t="s">
        <v>187</v>
      </c>
      <c r="C110" s="330">
        <v>1</v>
      </c>
      <c r="D110" s="202"/>
      <c r="E110" s="202"/>
      <c r="F110" s="202"/>
      <c r="G110" s="202"/>
      <c r="H110" s="202"/>
      <c r="I110" s="202"/>
      <c r="J110" s="202"/>
      <c r="K110" s="202"/>
      <c r="L110" s="202"/>
      <c r="M110" s="202"/>
      <c r="N110" s="202"/>
      <c r="O110" s="202"/>
      <c r="P110" s="202"/>
      <c r="Q110" s="202"/>
      <c r="R110" s="202"/>
    </row>
    <row r="111" spans="1:21" x14ac:dyDescent="0.25">
      <c r="A111" s="619"/>
      <c r="B111" s="619"/>
      <c r="C111" s="619"/>
      <c r="D111" s="619"/>
      <c r="E111" s="619"/>
      <c r="F111" s="619"/>
      <c r="G111" s="619"/>
      <c r="H111" s="619"/>
      <c r="I111" s="619"/>
      <c r="J111" s="619"/>
      <c r="K111" s="619"/>
      <c r="L111" s="619"/>
      <c r="M111" s="619"/>
      <c r="N111" s="619"/>
      <c r="O111" s="619"/>
      <c r="P111" s="619"/>
      <c r="Q111" s="619"/>
      <c r="R111" s="619"/>
      <c r="S111" s="619"/>
      <c r="T111" s="619"/>
      <c r="U111" s="613"/>
    </row>
    <row r="112" spans="1:21" x14ac:dyDescent="0.25">
      <c r="A112" s="619"/>
      <c r="B112" s="628" t="s">
        <v>884</v>
      </c>
      <c r="C112" s="619"/>
      <c r="D112" s="619"/>
      <c r="E112" s="619"/>
      <c r="F112" s="619"/>
      <c r="G112" s="619"/>
      <c r="H112" s="619"/>
      <c r="I112" s="619"/>
      <c r="J112" s="619"/>
      <c r="K112" s="619"/>
      <c r="L112" s="619"/>
      <c r="M112" s="619"/>
      <c r="N112" s="619"/>
      <c r="O112" s="619"/>
      <c r="P112" s="619"/>
      <c r="Q112" s="619"/>
      <c r="R112" s="619"/>
      <c r="S112" s="619"/>
      <c r="T112" s="619"/>
      <c r="U112" s="613"/>
    </row>
    <row r="113" spans="1:21" x14ac:dyDescent="0.25">
      <c r="A113" s="619"/>
      <c r="B113" s="628" t="s">
        <v>883</v>
      </c>
      <c r="C113" s="619"/>
      <c r="D113" s="619"/>
      <c r="E113" s="619"/>
      <c r="F113" s="619"/>
      <c r="G113" s="619"/>
      <c r="H113" s="619"/>
      <c r="I113" s="619"/>
      <c r="J113" s="619"/>
      <c r="K113" s="632" t="s">
        <v>191</v>
      </c>
      <c r="L113" s="618"/>
      <c r="M113" s="618"/>
      <c r="N113" s="618"/>
      <c r="O113" s="618"/>
      <c r="P113" s="619"/>
      <c r="Q113" s="619"/>
      <c r="R113" s="619"/>
      <c r="S113" s="619"/>
      <c r="T113" s="613"/>
    </row>
    <row r="114" spans="1:21" x14ac:dyDescent="0.25">
      <c r="A114" s="619"/>
      <c r="B114" s="618" t="s">
        <v>192</v>
      </c>
      <c r="C114" s="618">
        <f>C105*D109*C104</f>
        <v>2878.72</v>
      </c>
      <c r="D114" s="618"/>
      <c r="E114" s="619"/>
      <c r="F114" s="634" t="s">
        <v>876</v>
      </c>
      <c r="G114" s="638"/>
      <c r="H114" s="638"/>
      <c r="I114" s="638"/>
      <c r="J114" s="635"/>
      <c r="K114" s="618" t="s">
        <v>2</v>
      </c>
      <c r="L114" s="618" t="s">
        <v>194</v>
      </c>
      <c r="M114" s="618" t="s">
        <v>195</v>
      </c>
      <c r="N114" s="618" t="s">
        <v>196</v>
      </c>
      <c r="O114" s="618" t="s">
        <v>197</v>
      </c>
      <c r="P114" s="619"/>
      <c r="Q114" s="619"/>
      <c r="R114" s="619"/>
      <c r="S114" s="619"/>
      <c r="T114" s="619"/>
      <c r="U114" s="613"/>
    </row>
    <row r="115" spans="1:21" x14ac:dyDescent="0.25">
      <c r="A115" s="619"/>
      <c r="B115" s="618" t="s">
        <v>198</v>
      </c>
      <c r="C115" s="618">
        <f>C114 - (C107*C104)</f>
        <v>2238.7199999999998</v>
      </c>
      <c r="D115" s="618"/>
      <c r="E115" s="619"/>
      <c r="F115" s="631" t="s">
        <v>193</v>
      </c>
      <c r="G115" s="631"/>
      <c r="H115" s="631"/>
      <c r="I115" s="631">
        <v>0</v>
      </c>
      <c r="J115" s="619"/>
      <c r="K115" s="618" t="s">
        <v>201</v>
      </c>
      <c r="L115" s="618">
        <f>C115</f>
        <v>2238.7199999999998</v>
      </c>
      <c r="M115" s="618">
        <f>I115</f>
        <v>0</v>
      </c>
      <c r="N115" s="618">
        <f>L115-M115</f>
        <v>2238.7199999999998</v>
      </c>
      <c r="O115" s="618">
        <f>N115*$C$109</f>
        <v>2462.5920000000001</v>
      </c>
      <c r="P115" s="619"/>
      <c r="Q115" s="619"/>
      <c r="R115" s="619"/>
      <c r="S115" s="619"/>
      <c r="T115" s="619"/>
      <c r="U115" s="613"/>
    </row>
    <row r="116" spans="1:21" x14ac:dyDescent="0.25">
      <c r="A116" s="619"/>
      <c r="B116" s="620" t="s">
        <v>202</v>
      </c>
      <c r="C116" s="620">
        <f>C114 - (C107*(C104-C102))</f>
        <v>2608.7199999999998</v>
      </c>
      <c r="D116" s="618"/>
      <c r="E116" s="619"/>
      <c r="F116" s="618" t="s">
        <v>200</v>
      </c>
      <c r="G116" s="618"/>
      <c r="H116" s="618"/>
      <c r="I116" s="618">
        <f>C103*D109*C102</f>
        <v>1664.26</v>
      </c>
      <c r="J116" s="619"/>
      <c r="K116" s="618" t="s">
        <v>204</v>
      </c>
      <c r="L116" s="618">
        <f>C118</f>
        <v>2828.2799999999997</v>
      </c>
      <c r="M116" s="618">
        <f>I116</f>
        <v>1664.26</v>
      </c>
      <c r="N116" s="618">
        <f>L116-M116</f>
        <v>1164.0199999999998</v>
      </c>
      <c r="O116" s="618">
        <f>N116*$C$109</f>
        <v>1280.4219999999998</v>
      </c>
      <c r="P116" s="619"/>
      <c r="Q116" s="619"/>
      <c r="R116" s="619"/>
      <c r="S116" s="619"/>
      <c r="T116" s="619"/>
      <c r="U116" s="613"/>
    </row>
    <row r="117" spans="1:21" x14ac:dyDescent="0.25">
      <c r="A117" s="619"/>
      <c r="B117" s="620" t="s">
        <v>205</v>
      </c>
      <c r="C117" s="618" t="s">
        <v>872</v>
      </c>
      <c r="D117" s="619"/>
      <c r="E117" s="619"/>
      <c r="F117" s="619"/>
      <c r="G117" s="619"/>
      <c r="H117" s="619"/>
      <c r="I117" s="619"/>
      <c r="J117" s="619"/>
      <c r="K117" s="619"/>
      <c r="L117" s="619"/>
      <c r="M117" s="619"/>
      <c r="N117" s="619"/>
      <c r="O117" s="619"/>
      <c r="P117" s="619"/>
      <c r="Q117" s="619"/>
      <c r="R117" s="619"/>
      <c r="S117" s="619"/>
      <c r="T117" s="619"/>
      <c r="U117" s="613"/>
    </row>
    <row r="118" spans="1:21" x14ac:dyDescent="0.25">
      <c r="A118" s="619"/>
      <c r="B118" s="631" t="s">
        <v>873</v>
      </c>
      <c r="C118" s="618">
        <f>(C106*D109*C102)</f>
        <v>2828.2799999999997</v>
      </c>
      <c r="D118" s="619"/>
      <c r="E118" s="619"/>
      <c r="F118" s="619"/>
      <c r="G118" s="619"/>
      <c r="H118" s="619"/>
      <c r="I118" s="619"/>
      <c r="J118" s="619"/>
      <c r="K118" s="619"/>
      <c r="L118" s="619"/>
      <c r="M118" s="613"/>
    </row>
    <row r="119" spans="1:21" x14ac:dyDescent="0.25">
      <c r="A119" s="619"/>
      <c r="B119" s="619"/>
      <c r="C119" s="619"/>
      <c r="D119" s="619"/>
      <c r="E119" s="619"/>
      <c r="F119" s="619"/>
      <c r="G119" s="619"/>
      <c r="H119" s="619"/>
      <c r="I119" s="619"/>
      <c r="J119" s="619"/>
      <c r="K119" s="613"/>
    </row>
    <row r="120" spans="1:21" x14ac:dyDescent="0.25">
      <c r="A120" s="619"/>
      <c r="B120" s="628" t="s">
        <v>886</v>
      </c>
      <c r="C120" s="619"/>
      <c r="D120" s="619"/>
      <c r="E120" s="619"/>
      <c r="F120" s="619"/>
      <c r="G120" s="619"/>
      <c r="H120" s="619"/>
      <c r="I120" s="619"/>
      <c r="J120" s="613"/>
    </row>
    <row r="121" spans="1:21" x14ac:dyDescent="0.25">
      <c r="A121" s="619"/>
      <c r="B121" s="628" t="s">
        <v>885</v>
      </c>
      <c r="C121" s="619"/>
      <c r="D121" s="619"/>
      <c r="E121" s="619"/>
      <c r="F121" s="619"/>
      <c r="G121" s="619"/>
      <c r="H121" s="619"/>
      <c r="I121" s="619"/>
      <c r="J121" s="613"/>
    </row>
    <row r="122" spans="1:21" x14ac:dyDescent="0.25">
      <c r="A122" s="619"/>
      <c r="B122" s="618" t="s">
        <v>193</v>
      </c>
      <c r="C122" s="618">
        <v>0</v>
      </c>
      <c r="D122" s="619"/>
      <c r="E122" s="619"/>
      <c r="F122" s="619"/>
      <c r="G122" s="619"/>
      <c r="H122" s="619"/>
      <c r="I122" s="619"/>
      <c r="J122" s="619"/>
      <c r="K122" s="613"/>
    </row>
    <row r="123" spans="1:21" x14ac:dyDescent="0.25">
      <c r="A123" s="619"/>
      <c r="B123" s="636" t="s">
        <v>217</v>
      </c>
      <c r="C123" s="618">
        <v>0</v>
      </c>
      <c r="D123" s="619"/>
      <c r="E123" s="619"/>
      <c r="F123" s="619"/>
      <c r="G123" s="619"/>
      <c r="H123" s="619"/>
      <c r="I123" s="619"/>
      <c r="J123" s="613"/>
    </row>
    <row r="124" spans="1:21" x14ac:dyDescent="0.25">
      <c r="A124" s="619"/>
      <c r="B124" s="636"/>
      <c r="C124" s="619"/>
      <c r="D124" s="619"/>
      <c r="E124" s="202"/>
      <c r="F124" s="202"/>
      <c r="G124" s="202"/>
      <c r="H124" s="202"/>
      <c r="I124" s="202"/>
    </row>
    <row r="125" spans="1:21" x14ac:dyDescent="0.25">
      <c r="A125" s="619"/>
      <c r="B125" s="639" t="s">
        <v>887</v>
      </c>
      <c r="C125" s="618"/>
      <c r="D125" s="619"/>
      <c r="E125" s="202"/>
      <c r="F125" s="202"/>
      <c r="G125" s="202"/>
      <c r="H125" s="202"/>
      <c r="I125" s="202"/>
    </row>
    <row r="126" spans="1:21" x14ac:dyDescent="0.25">
      <c r="A126" s="619"/>
      <c r="B126" s="618" t="s">
        <v>214</v>
      </c>
      <c r="C126" s="618">
        <v>0</v>
      </c>
      <c r="D126" s="619"/>
      <c r="E126" s="619"/>
      <c r="F126" s="619"/>
      <c r="G126" s="619"/>
      <c r="H126" s="619"/>
      <c r="I126" s="619"/>
      <c r="J126" s="619"/>
      <c r="K126" s="619"/>
      <c r="L126" s="619"/>
      <c r="M126" s="613"/>
    </row>
    <row r="127" spans="1:21" x14ac:dyDescent="0.25">
      <c r="A127" s="202"/>
      <c r="B127" s="618" t="s">
        <v>217</v>
      </c>
      <c r="C127" s="330">
        <v>1731.6</v>
      </c>
      <c r="D127" s="202"/>
      <c r="E127" s="202"/>
      <c r="F127" s="202"/>
      <c r="G127" s="202"/>
      <c r="H127" s="202"/>
      <c r="I127" s="202"/>
      <c r="J127" s="202"/>
      <c r="K127" s="202"/>
    </row>
    <row r="128" spans="1:21" x14ac:dyDescent="0.25">
      <c r="A128" s="202"/>
      <c r="B128" s="619"/>
      <c r="C128" s="619"/>
      <c r="D128" s="619"/>
      <c r="E128" s="202"/>
      <c r="F128" s="202"/>
      <c r="G128" s="202"/>
      <c r="H128" s="202"/>
      <c r="I128" s="202"/>
      <c r="J128" s="202"/>
      <c r="K128" s="202"/>
      <c r="L128" s="202"/>
    </row>
    <row r="129" spans="1:23" x14ac:dyDescent="0.25">
      <c r="A129" s="202"/>
      <c r="B129" s="628" t="s">
        <v>212</v>
      </c>
      <c r="C129" s="619"/>
      <c r="D129" s="619"/>
      <c r="E129" s="202"/>
      <c r="F129" s="202"/>
      <c r="G129" s="202"/>
      <c r="H129" s="202"/>
      <c r="I129" s="202"/>
      <c r="J129" s="202"/>
      <c r="K129" s="202"/>
      <c r="L129" s="202"/>
      <c r="M129" s="202"/>
      <c r="N129" s="202"/>
      <c r="O129" s="202"/>
      <c r="P129" s="202"/>
    </row>
    <row r="130" spans="1:23" x14ac:dyDescent="0.25">
      <c r="A130" s="202"/>
      <c r="B130" s="618" t="s">
        <v>2</v>
      </c>
      <c r="C130" s="618" t="s">
        <v>194</v>
      </c>
      <c r="D130" s="618" t="s">
        <v>195</v>
      </c>
      <c r="E130" s="330" t="s">
        <v>215</v>
      </c>
      <c r="F130" s="330" t="s">
        <v>216</v>
      </c>
      <c r="G130" s="202"/>
      <c r="H130" s="202"/>
      <c r="I130" s="202"/>
      <c r="J130" s="202"/>
      <c r="K130" s="202"/>
      <c r="L130" s="202"/>
      <c r="M130" s="202"/>
      <c r="N130" s="202"/>
      <c r="O130" s="202"/>
      <c r="P130" s="202"/>
      <c r="Q130" s="202"/>
      <c r="R130" s="202"/>
    </row>
    <row r="131" spans="1:23" x14ac:dyDescent="0.25">
      <c r="A131" s="202"/>
      <c r="B131" s="618" t="s">
        <v>201</v>
      </c>
      <c r="C131" s="618">
        <v>0</v>
      </c>
      <c r="D131" s="618">
        <v>0</v>
      </c>
      <c r="E131" s="19">
        <v>0</v>
      </c>
      <c r="F131" s="330">
        <v>0</v>
      </c>
      <c r="G131" s="202"/>
      <c r="H131" s="347" t="s">
        <v>211</v>
      </c>
      <c r="I131" s="348"/>
      <c r="J131" s="348"/>
      <c r="K131" s="342"/>
      <c r="L131" s="348"/>
      <c r="M131" s="202"/>
      <c r="N131" s="202"/>
      <c r="O131" s="330" t="s">
        <v>212</v>
      </c>
      <c r="P131" s="330"/>
      <c r="Q131" s="330"/>
      <c r="R131" s="330"/>
      <c r="S131" s="330"/>
      <c r="T131" s="202"/>
      <c r="U131" s="202"/>
      <c r="V131" s="202"/>
    </row>
    <row r="132" spans="1:23" x14ac:dyDescent="0.25">
      <c r="A132" s="202"/>
      <c r="B132" s="644" t="s">
        <v>204</v>
      </c>
      <c r="C132" s="618">
        <v>0</v>
      </c>
      <c r="D132" s="330">
        <v>1731.6</v>
      </c>
      <c r="E132" s="19">
        <v>1731.6</v>
      </c>
      <c r="F132" s="330">
        <v>1731.6</v>
      </c>
      <c r="G132" s="202"/>
      <c r="H132" s="347" t="s">
        <v>214</v>
      </c>
      <c r="I132" s="345"/>
      <c r="J132" s="345"/>
      <c r="K132" s="347"/>
      <c r="L132" s="202"/>
      <c r="M132" s="330" t="s">
        <v>2</v>
      </c>
      <c r="N132" s="330" t="s">
        <v>194</v>
      </c>
      <c r="O132" s="330" t="s">
        <v>195</v>
      </c>
      <c r="P132" s="330" t="s">
        <v>215</v>
      </c>
      <c r="Q132" s="330" t="s">
        <v>216</v>
      </c>
      <c r="R132" s="202"/>
      <c r="S132" s="202"/>
      <c r="T132" s="202"/>
    </row>
    <row r="133" spans="1:23" x14ac:dyDescent="0.25">
      <c r="A133" s="202"/>
      <c r="B133" s="619"/>
      <c r="C133" s="619"/>
      <c r="D133" s="202"/>
      <c r="F133" s="202"/>
      <c r="G133" s="202"/>
      <c r="H133" s="330" t="s">
        <v>217</v>
      </c>
      <c r="I133" s="330"/>
      <c r="J133" s="330"/>
      <c r="K133" s="345">
        <v>0</v>
      </c>
      <c r="L133" s="202"/>
      <c r="M133" s="330" t="s">
        <v>201</v>
      </c>
      <c r="N133" s="330">
        <v>0</v>
      </c>
      <c r="O133" s="330">
        <v>0</v>
      </c>
      <c r="P133" s="330">
        <v>0</v>
      </c>
      <c r="Q133" s="330">
        <f>P133*$C$110</f>
        <v>0</v>
      </c>
      <c r="R133" s="202"/>
      <c r="S133" s="202"/>
      <c r="T133" s="202"/>
    </row>
    <row r="134" spans="1:23" x14ac:dyDescent="0.25">
      <c r="A134" s="202"/>
      <c r="B134" s="202"/>
      <c r="C134" s="202"/>
      <c r="D134" s="202"/>
      <c r="E134" s="202"/>
      <c r="F134" s="202"/>
      <c r="G134" s="202"/>
      <c r="H134" s="202"/>
      <c r="I134" s="202"/>
      <c r="J134" s="330">
        <f>I116</f>
        <v>1664.26</v>
      </c>
      <c r="K134" s="202"/>
      <c r="L134" s="330" t="s">
        <v>204</v>
      </c>
      <c r="M134" s="330">
        <v>0</v>
      </c>
      <c r="N134" s="330">
        <f>J134</f>
        <v>1664.26</v>
      </c>
      <c r="O134" s="330">
        <f>N134-M134</f>
        <v>1664.26</v>
      </c>
      <c r="P134" s="330">
        <f>O134*$C$110</f>
        <v>1664.26</v>
      </c>
      <c r="Q134" s="202"/>
      <c r="R134" s="202"/>
      <c r="S134" s="202"/>
    </row>
    <row r="135" spans="1:23" x14ac:dyDescent="0.25">
      <c r="A135" s="202"/>
      <c r="B135" s="202"/>
      <c r="C135" s="202"/>
      <c r="D135" s="202"/>
      <c r="F135" s="202"/>
      <c r="G135" s="202"/>
      <c r="H135" s="202"/>
      <c r="I135" s="202"/>
      <c r="J135" s="202"/>
      <c r="K135" s="202"/>
      <c r="L135" s="202"/>
      <c r="M135" s="202"/>
      <c r="N135" s="202"/>
      <c r="O135" s="202"/>
      <c r="P135" s="202"/>
      <c r="Q135" s="202"/>
      <c r="R135" s="202"/>
      <c r="S135" s="202"/>
      <c r="T135" s="39"/>
      <c r="U135" s="39"/>
      <c r="V135" s="39"/>
      <c r="W135" s="39"/>
    </row>
    <row r="136" spans="1:23" x14ac:dyDescent="0.25">
      <c r="B136" s="202"/>
      <c r="C136" s="202"/>
      <c r="D136" s="202"/>
      <c r="F136" s="202"/>
      <c r="G136" s="202"/>
      <c r="H136" s="202"/>
      <c r="I136" s="202"/>
      <c r="J136" s="202"/>
    </row>
    <row r="137" spans="1:23" x14ac:dyDescent="0.25">
      <c r="B137" s="202"/>
      <c r="C137" s="202"/>
      <c r="D137" s="315"/>
      <c r="F137" s="202" t="s">
        <v>244</v>
      </c>
      <c r="G137" s="202"/>
      <c r="H137" s="202"/>
      <c r="I137" s="202"/>
      <c r="J137" s="202"/>
    </row>
    <row r="138" spans="1:23" x14ac:dyDescent="0.25">
      <c r="B138" s="202"/>
      <c r="C138" s="202"/>
      <c r="D138" s="39"/>
      <c r="J138" s="202"/>
    </row>
    <row r="139" spans="1:23" x14ac:dyDescent="0.25">
      <c r="B139" s="39"/>
      <c r="D139" s="39"/>
    </row>
    <row r="140" spans="1:23" ht="26.25" x14ac:dyDescent="0.4">
      <c r="B140" s="619"/>
      <c r="C140" s="640"/>
      <c r="D140" s="619"/>
      <c r="E140" s="619"/>
      <c r="F140" s="619"/>
      <c r="G140" s="619"/>
      <c r="H140" s="619"/>
      <c r="I140" s="613"/>
      <c r="J140" s="613"/>
    </row>
    <row r="141" spans="1:23" ht="26.25" x14ac:dyDescent="0.4">
      <c r="B141" s="373" t="s">
        <v>243</v>
      </c>
      <c r="C141" s="645"/>
      <c r="D141" s="202"/>
      <c r="E141" s="202"/>
      <c r="F141" s="619"/>
      <c r="G141" s="619"/>
      <c r="H141" s="619"/>
      <c r="I141" s="613"/>
      <c r="J141" s="613"/>
    </row>
    <row r="142" spans="1:23" x14ac:dyDescent="0.25">
      <c r="A142" s="202"/>
      <c r="B142" s="342" t="s">
        <v>877</v>
      </c>
      <c r="C142" s="342">
        <v>10975</v>
      </c>
      <c r="D142" s="347"/>
      <c r="E142" s="202"/>
      <c r="F142" s="619"/>
      <c r="G142" s="619"/>
      <c r="H142" s="619"/>
      <c r="I142" s="613"/>
      <c r="J142" s="613"/>
    </row>
    <row r="143" spans="1:23" x14ac:dyDescent="0.25">
      <c r="A143" s="202"/>
      <c r="B143" s="342" t="s">
        <v>878</v>
      </c>
      <c r="C143" s="342">
        <v>6200</v>
      </c>
      <c r="D143" s="347"/>
      <c r="E143" s="202"/>
      <c r="F143" s="619"/>
      <c r="G143" s="619"/>
      <c r="H143" s="619"/>
      <c r="I143" s="613"/>
      <c r="J143" s="613"/>
    </row>
    <row r="144" spans="1:23" x14ac:dyDescent="0.25">
      <c r="A144" s="202"/>
      <c r="B144" s="330" t="s">
        <v>879</v>
      </c>
      <c r="C144" s="342">
        <v>10200</v>
      </c>
      <c r="D144" s="347"/>
      <c r="E144" s="202"/>
      <c r="F144" s="619"/>
      <c r="G144" s="613"/>
      <c r="H144" s="613"/>
      <c r="I144" s="613"/>
      <c r="J144" s="613"/>
    </row>
    <row r="145" spans="1:19" x14ac:dyDescent="0.25">
      <c r="A145" s="202"/>
      <c r="B145" s="330" t="s">
        <v>880</v>
      </c>
      <c r="C145" s="342">
        <v>10</v>
      </c>
      <c r="D145" s="347"/>
      <c r="E145" s="202"/>
      <c r="F145" s="619"/>
      <c r="G145" s="613"/>
      <c r="H145" s="613"/>
      <c r="I145" s="613"/>
      <c r="J145" s="613"/>
    </row>
    <row r="146" spans="1:19" x14ac:dyDescent="0.25">
      <c r="A146" s="202"/>
      <c r="B146" s="330" t="s">
        <v>183</v>
      </c>
      <c r="C146" s="342">
        <v>0.1</v>
      </c>
      <c r="D146" s="347"/>
      <c r="E146" s="202"/>
      <c r="F146" s="619"/>
      <c r="G146" s="613"/>
      <c r="H146" s="613"/>
      <c r="I146" s="613"/>
      <c r="J146" s="613"/>
    </row>
    <row r="147" spans="1:19" x14ac:dyDescent="0.25">
      <c r="A147" s="202"/>
      <c r="B147" s="330" t="s">
        <v>881</v>
      </c>
      <c r="C147" s="379">
        <v>9</v>
      </c>
      <c r="D147" s="350"/>
      <c r="E147" s="202"/>
      <c r="F147" s="619"/>
      <c r="G147" s="613"/>
      <c r="H147" s="613"/>
      <c r="I147" s="613"/>
      <c r="J147" s="613"/>
    </row>
    <row r="148" spans="1:19" x14ac:dyDescent="0.25">
      <c r="A148" s="202"/>
      <c r="B148" s="330" t="s">
        <v>239</v>
      </c>
      <c r="C148" s="348">
        <v>10000</v>
      </c>
      <c r="D148" s="331"/>
      <c r="E148" s="202"/>
      <c r="F148" s="619"/>
      <c r="G148" s="613"/>
      <c r="H148" s="613"/>
      <c r="I148" s="613"/>
      <c r="J148" s="613"/>
    </row>
    <row r="149" spans="1:19" x14ac:dyDescent="0.25">
      <c r="A149" s="202"/>
      <c r="B149" s="330" t="s">
        <v>184</v>
      </c>
      <c r="C149" s="348"/>
      <c r="D149" s="345"/>
      <c r="E149" s="202"/>
      <c r="F149" s="619"/>
      <c r="G149" s="613"/>
      <c r="H149" s="613"/>
      <c r="I149" s="613"/>
      <c r="J149" s="613"/>
    </row>
    <row r="150" spans="1:19" x14ac:dyDescent="0.25">
      <c r="A150" s="202"/>
      <c r="B150" s="330" t="s">
        <v>186</v>
      </c>
      <c r="C150" s="342">
        <v>1.1000000000000001</v>
      </c>
      <c r="D150" s="345" t="s">
        <v>882</v>
      </c>
      <c r="E150" s="330">
        <v>11.5</v>
      </c>
      <c r="F150" s="619"/>
      <c r="G150" s="613"/>
      <c r="H150" s="613"/>
      <c r="I150" s="613"/>
      <c r="J150" s="613"/>
      <c r="K150" s="202"/>
      <c r="L150" s="202"/>
      <c r="M150" s="202"/>
      <c r="N150" s="202"/>
      <c r="O150" s="202"/>
      <c r="P150" s="202"/>
      <c r="Q150" s="202"/>
      <c r="R150" s="202"/>
      <c r="S150" s="202"/>
    </row>
    <row r="151" spans="1:19" x14ac:dyDescent="0.25">
      <c r="A151" s="202"/>
      <c r="B151" s="330" t="s">
        <v>187</v>
      </c>
      <c r="C151" s="345">
        <v>1</v>
      </c>
      <c r="D151" s="330" t="s">
        <v>225</v>
      </c>
      <c r="E151" s="330">
        <v>11.2</v>
      </c>
      <c r="F151" s="619"/>
      <c r="G151" s="613"/>
      <c r="H151" s="613"/>
      <c r="I151" s="613"/>
      <c r="J151" s="613"/>
      <c r="K151" s="202"/>
      <c r="L151" s="202"/>
      <c r="M151" s="202"/>
      <c r="N151" s="202"/>
      <c r="O151" s="202"/>
      <c r="P151" s="202"/>
      <c r="Q151" s="202"/>
      <c r="R151" s="202"/>
      <c r="S151" s="202"/>
    </row>
    <row r="152" spans="1:19" x14ac:dyDescent="0.25">
      <c r="A152" s="202"/>
      <c r="B152" s="619"/>
      <c r="C152" s="633">
        <v>5.1999999999999998E-2</v>
      </c>
      <c r="D152" s="619"/>
      <c r="E152" s="619"/>
      <c r="F152" s="619"/>
      <c r="G152" s="643" t="s">
        <v>892</v>
      </c>
      <c r="H152" s="613"/>
      <c r="I152" s="613"/>
      <c r="J152" s="613"/>
      <c r="K152" s="202"/>
      <c r="L152" s="202"/>
      <c r="M152" s="202"/>
      <c r="N152" s="202"/>
      <c r="O152" s="202"/>
      <c r="P152" s="202"/>
      <c r="Q152" s="202"/>
      <c r="R152" s="202"/>
      <c r="S152" s="202"/>
    </row>
    <row r="153" spans="1:19" x14ac:dyDescent="0.25">
      <c r="A153" s="202"/>
      <c r="B153" s="619"/>
      <c r="C153" s="619"/>
      <c r="D153" s="619"/>
      <c r="E153" s="633"/>
      <c r="F153" s="619"/>
      <c r="G153" s="614" t="s">
        <v>893</v>
      </c>
      <c r="H153" s="614"/>
      <c r="I153" s="614"/>
      <c r="J153" s="614">
        <f>D144*C152*C142</f>
        <v>0</v>
      </c>
      <c r="K153" s="202"/>
      <c r="L153" s="330" t="s">
        <v>191</v>
      </c>
      <c r="M153" s="330"/>
      <c r="N153" s="330"/>
      <c r="O153" s="330"/>
      <c r="P153" s="330"/>
      <c r="Q153" s="202"/>
      <c r="R153" s="202"/>
      <c r="S153" s="202"/>
    </row>
    <row r="154" spans="1:19" x14ac:dyDescent="0.25">
      <c r="A154" s="202"/>
      <c r="B154" s="619"/>
      <c r="C154" s="619"/>
      <c r="D154" s="619"/>
      <c r="E154" s="633">
        <v>10</v>
      </c>
      <c r="F154" s="619"/>
      <c r="G154" s="614" t="s">
        <v>227</v>
      </c>
      <c r="H154" s="614"/>
      <c r="I154" s="614"/>
      <c r="J154" s="614">
        <f>E151*C152*C148</f>
        <v>5823.9999999999991</v>
      </c>
      <c r="K154" s="202"/>
      <c r="L154" s="330" t="s">
        <v>2</v>
      </c>
      <c r="M154" s="330" t="s">
        <v>194</v>
      </c>
      <c r="N154" s="330" t="s">
        <v>195</v>
      </c>
      <c r="O154" s="330" t="s">
        <v>196</v>
      </c>
      <c r="P154" s="330" t="s">
        <v>197</v>
      </c>
      <c r="Q154" s="202"/>
      <c r="R154" s="202"/>
      <c r="S154" s="202"/>
    </row>
    <row r="155" spans="1:19" x14ac:dyDescent="0.25">
      <c r="A155" s="202"/>
      <c r="B155" s="629" t="s">
        <v>188</v>
      </c>
      <c r="C155" s="623"/>
      <c r="D155" s="619"/>
      <c r="E155" s="202"/>
      <c r="F155" s="619"/>
      <c r="G155" s="613"/>
      <c r="H155" s="613"/>
      <c r="I155" s="613"/>
      <c r="J155" s="613"/>
      <c r="K155" s="202"/>
      <c r="L155" s="330" t="s">
        <v>248</v>
      </c>
      <c r="M155" s="330">
        <f>D159</f>
        <v>4284</v>
      </c>
      <c r="N155" s="330">
        <v>0</v>
      </c>
      <c r="O155" s="330">
        <f>M155-N155</f>
        <v>4284</v>
      </c>
      <c r="P155" s="330">
        <f>O155*$C$150</f>
        <v>4712.4000000000005</v>
      </c>
      <c r="Q155" s="202"/>
      <c r="R155" s="202"/>
      <c r="S155" s="202"/>
    </row>
    <row r="156" spans="1:19" x14ac:dyDescent="0.25">
      <c r="A156" s="202"/>
      <c r="B156" s="641" t="s">
        <v>891</v>
      </c>
      <c r="C156" s="377"/>
      <c r="D156" s="377"/>
      <c r="E156" s="377"/>
      <c r="F156" s="346"/>
      <c r="G156" s="613"/>
      <c r="H156" s="613"/>
      <c r="I156" s="613"/>
      <c r="J156" s="613"/>
      <c r="K156" s="202"/>
      <c r="L156" s="330" t="s">
        <v>228</v>
      </c>
      <c r="M156" s="330">
        <f>D160</f>
        <v>10675.84</v>
      </c>
      <c r="N156" s="330">
        <f>J154</f>
        <v>5823.9999999999991</v>
      </c>
      <c r="O156" s="330">
        <f>M156-N156</f>
        <v>4851.8400000000011</v>
      </c>
      <c r="P156" s="330">
        <f>O156*$C$150</f>
        <v>5337.0240000000013</v>
      </c>
      <c r="Q156" s="202"/>
      <c r="R156" s="202"/>
      <c r="S156" s="202"/>
    </row>
    <row r="157" spans="1:19" x14ac:dyDescent="0.25">
      <c r="A157" s="202"/>
      <c r="B157" s="642" t="s">
        <v>890</v>
      </c>
      <c r="C157" s="379"/>
      <c r="D157" s="379"/>
      <c r="E157" s="379"/>
      <c r="F157" s="350"/>
      <c r="G157" s="613"/>
      <c r="H157" s="613"/>
      <c r="I157" s="613"/>
      <c r="J157" s="613"/>
      <c r="K157" s="202"/>
      <c r="L157" s="202"/>
      <c r="M157" s="202"/>
      <c r="N157" s="202"/>
      <c r="O157" s="202"/>
      <c r="P157" s="202"/>
      <c r="Q157" s="202"/>
      <c r="R157" s="202"/>
      <c r="S157" s="202"/>
    </row>
    <row r="158" spans="1:19" x14ac:dyDescent="0.25">
      <c r="A158" s="202"/>
      <c r="B158" s="345" t="s">
        <v>242</v>
      </c>
      <c r="C158" s="345"/>
      <c r="D158" s="345">
        <f>C152*C145*C144</f>
        <v>5304</v>
      </c>
      <c r="E158" s="202"/>
      <c r="F158" s="202"/>
      <c r="G158" s="613"/>
      <c r="H158" s="613"/>
      <c r="I158" s="613"/>
      <c r="J158" s="613"/>
      <c r="K158" s="202"/>
      <c r="L158" s="202"/>
      <c r="M158" s="202"/>
      <c r="N158" s="202"/>
      <c r="O158" s="202"/>
      <c r="P158" s="202"/>
      <c r="Q158" s="202"/>
      <c r="R158" s="202"/>
      <c r="S158" s="202"/>
    </row>
    <row r="159" spans="1:19" x14ac:dyDescent="0.25">
      <c r="A159" s="202"/>
      <c r="B159" s="330" t="s">
        <v>245</v>
      </c>
      <c r="C159" s="330"/>
      <c r="D159" s="330">
        <f>D158-(C146*C144)</f>
        <v>4284</v>
      </c>
      <c r="E159" s="202"/>
      <c r="F159" s="202"/>
      <c r="G159" s="613"/>
      <c r="H159" s="613"/>
      <c r="I159" s="613"/>
      <c r="J159" s="613"/>
      <c r="K159" s="202"/>
      <c r="L159" s="202"/>
      <c r="M159" s="202"/>
      <c r="N159" s="202"/>
      <c r="O159" s="202"/>
      <c r="P159" s="202"/>
      <c r="Q159" s="202"/>
      <c r="R159" s="202"/>
      <c r="S159" s="202"/>
    </row>
    <row r="160" spans="1:19" x14ac:dyDescent="0.25">
      <c r="A160" s="202"/>
      <c r="B160" s="330" t="s">
        <v>246</v>
      </c>
      <c r="C160" s="330"/>
      <c r="D160" s="330">
        <f>D159+(E151*C152*C142)</f>
        <v>10675.84</v>
      </c>
      <c r="E160" s="202"/>
      <c r="F160" s="202"/>
      <c r="G160" s="613"/>
      <c r="H160" s="613"/>
      <c r="I160" s="613"/>
      <c r="J160" s="613"/>
      <c r="K160" s="202"/>
      <c r="L160" s="330" t="s">
        <v>212</v>
      </c>
      <c r="M160" s="330"/>
      <c r="N160" s="330"/>
      <c r="O160" s="330"/>
      <c r="P160" s="330"/>
      <c r="Q160" s="202"/>
      <c r="R160" s="202"/>
      <c r="S160" s="202"/>
    </row>
    <row r="161" spans="1:19" x14ac:dyDescent="0.25">
      <c r="A161" s="202"/>
      <c r="B161" s="330" t="s">
        <v>227</v>
      </c>
      <c r="C161" s="330"/>
      <c r="D161" s="330">
        <f>D159+(E151*C152*C148)</f>
        <v>10108</v>
      </c>
      <c r="E161" s="202"/>
      <c r="F161" s="202"/>
      <c r="G161" s="613"/>
      <c r="H161" s="613"/>
      <c r="I161" s="613"/>
      <c r="J161" s="613"/>
      <c r="K161" s="202"/>
      <c r="L161" s="330" t="s">
        <v>2</v>
      </c>
      <c r="M161" s="330" t="s">
        <v>194</v>
      </c>
      <c r="N161" s="330" t="s">
        <v>195</v>
      </c>
      <c r="O161" s="330" t="s">
        <v>215</v>
      </c>
      <c r="P161" s="330" t="s">
        <v>216</v>
      </c>
      <c r="Q161" s="202"/>
      <c r="R161" s="202"/>
      <c r="S161" s="202"/>
    </row>
    <row r="162" spans="1:19" x14ac:dyDescent="0.25">
      <c r="A162" s="202"/>
      <c r="B162" s="202"/>
      <c r="C162" s="202"/>
      <c r="D162" s="202"/>
      <c r="E162" s="202"/>
      <c r="F162" s="202"/>
      <c r="G162" s="613"/>
      <c r="H162" s="613"/>
      <c r="I162" s="613"/>
      <c r="K162" s="202"/>
      <c r="L162" s="330" t="str">
        <f>L155</f>
        <v>P. bottom @ prod Csh</v>
      </c>
      <c r="M162" s="330">
        <v>0</v>
      </c>
      <c r="N162" s="330" t="e">
        <f>#REF!</f>
        <v>#REF!</v>
      </c>
      <c r="O162" s="330" t="e">
        <f>N162-M162</f>
        <v>#REF!</v>
      </c>
      <c r="P162" s="330" t="e">
        <f>O162*$C$151</f>
        <v>#REF!</v>
      </c>
      <c r="Q162" s="202"/>
      <c r="R162" s="202"/>
      <c r="S162" s="202"/>
    </row>
    <row r="163" spans="1:19" x14ac:dyDescent="0.25">
      <c r="A163" s="202"/>
      <c r="B163" s="382" t="s">
        <v>190</v>
      </c>
      <c r="C163" s="202"/>
      <c r="D163" s="202"/>
      <c r="E163" s="202"/>
      <c r="F163" s="202"/>
      <c r="G163" s="202"/>
      <c r="H163" s="202"/>
      <c r="I163" s="202"/>
      <c r="J163" s="202"/>
      <c r="K163" s="202"/>
      <c r="L163" s="330" t="str">
        <f>L156</f>
        <v>TOP OF PACKER</v>
      </c>
      <c r="M163" s="330">
        <v>0</v>
      </c>
      <c r="N163" s="330" t="e">
        <f>#REF!</f>
        <v>#REF!</v>
      </c>
      <c r="O163" s="330" t="e">
        <f>N163-M163</f>
        <v>#REF!</v>
      </c>
      <c r="P163" s="330" t="e">
        <f>O163*$C$151</f>
        <v>#REF!</v>
      </c>
      <c r="Q163" s="202"/>
      <c r="R163" s="202"/>
      <c r="S163" s="202"/>
    </row>
    <row r="164" spans="1:19" x14ac:dyDescent="0.25">
      <c r="A164" s="202"/>
      <c r="B164" s="330" t="s">
        <v>247</v>
      </c>
      <c r="C164" s="330"/>
      <c r="D164" s="330">
        <f>E164</f>
        <v>3803.8</v>
      </c>
      <c r="E164" s="381">
        <v>3803.8</v>
      </c>
      <c r="F164" s="202"/>
      <c r="G164" s="202"/>
      <c r="H164" s="202"/>
      <c r="I164" s="202"/>
      <c r="J164" s="202"/>
      <c r="K164" s="202"/>
      <c r="L164" s="202"/>
      <c r="M164" s="202"/>
      <c r="N164" s="202"/>
      <c r="O164" s="202"/>
      <c r="P164" s="202"/>
      <c r="Q164" s="202"/>
      <c r="R164" s="202"/>
      <c r="S164" s="202"/>
    </row>
    <row r="165" spans="1:19" x14ac:dyDescent="0.25">
      <c r="A165" s="202"/>
      <c r="B165" s="330" t="s">
        <v>227</v>
      </c>
      <c r="C165" s="330"/>
      <c r="D165" s="330">
        <f>E165</f>
        <v>3902.6</v>
      </c>
      <c r="E165" s="381">
        <v>3902.6</v>
      </c>
      <c r="F165" s="202"/>
      <c r="G165" s="202"/>
      <c r="H165" s="202"/>
      <c r="I165" s="202"/>
      <c r="J165" s="202"/>
      <c r="K165" s="202"/>
      <c r="L165" s="202"/>
      <c r="M165" s="202"/>
      <c r="N165" s="202"/>
      <c r="O165" s="202"/>
      <c r="P165" s="202"/>
      <c r="Q165" s="202"/>
      <c r="R165" s="202"/>
      <c r="S165" s="202"/>
    </row>
    <row r="166" spans="1:19" x14ac:dyDescent="0.25">
      <c r="A166" s="619"/>
      <c r="B166" s="619"/>
      <c r="C166" s="619"/>
      <c r="D166" s="619"/>
      <c r="E166" s="619"/>
      <c r="F166" s="619"/>
      <c r="G166" s="619"/>
      <c r="H166" s="619"/>
      <c r="I166" s="202"/>
      <c r="J166" s="202"/>
      <c r="K166" s="202"/>
      <c r="L166" s="202"/>
      <c r="M166" s="202"/>
      <c r="N166" s="202"/>
      <c r="O166" s="202"/>
      <c r="P166" s="202"/>
      <c r="Q166" s="202"/>
      <c r="R166" s="202"/>
      <c r="S166" s="202"/>
    </row>
    <row r="167" spans="1:19" x14ac:dyDescent="0.25">
      <c r="A167" s="619"/>
      <c r="B167" s="382" t="s">
        <v>209</v>
      </c>
      <c r="C167" s="202"/>
      <c r="D167" s="202"/>
      <c r="E167" s="202"/>
      <c r="F167" s="202"/>
      <c r="G167" s="619"/>
      <c r="H167" s="619"/>
      <c r="I167" s="202"/>
      <c r="J167" s="202"/>
    </row>
    <row r="168" spans="1:19" x14ac:dyDescent="0.25">
      <c r="A168" s="619"/>
      <c r="B168" s="641" t="s">
        <v>897</v>
      </c>
      <c r="C168" s="377"/>
      <c r="D168" s="330"/>
      <c r="E168" s="202"/>
      <c r="F168" s="202"/>
      <c r="G168" s="619"/>
      <c r="H168" s="619"/>
      <c r="I168" s="202"/>
      <c r="J168" s="202"/>
    </row>
    <row r="169" spans="1:19" x14ac:dyDescent="0.25">
      <c r="A169" s="619"/>
      <c r="B169" s="330" t="s">
        <v>193</v>
      </c>
      <c r="C169" s="330">
        <v>0</v>
      </c>
      <c r="D169" s="202"/>
      <c r="E169" s="202"/>
      <c r="F169" s="202"/>
      <c r="G169" s="619"/>
      <c r="H169" s="619"/>
      <c r="I169" s="202"/>
      <c r="J169" s="202"/>
    </row>
    <row r="170" spans="1:19" x14ac:dyDescent="0.25">
      <c r="A170" s="619"/>
      <c r="B170" s="330" t="str">
        <f>B174</f>
        <v>PRESSURE AT TOP OF PACKER</v>
      </c>
      <c r="C170" s="330">
        <v>0</v>
      </c>
      <c r="D170" s="202"/>
      <c r="E170" s="202"/>
      <c r="F170" s="202"/>
      <c r="G170" s="619"/>
      <c r="H170" s="619"/>
      <c r="I170" s="202"/>
      <c r="J170" s="202"/>
    </row>
    <row r="171" spans="1:19" x14ac:dyDescent="0.25">
      <c r="A171" s="619"/>
      <c r="B171" s="202"/>
      <c r="C171" s="202"/>
      <c r="D171" s="202"/>
      <c r="E171" s="202"/>
      <c r="F171" s="202"/>
      <c r="G171" s="619"/>
      <c r="H171" s="619"/>
      <c r="I171" s="202"/>
      <c r="J171" s="202"/>
    </row>
    <row r="172" spans="1:19" x14ac:dyDescent="0.25">
      <c r="A172" s="619"/>
      <c r="B172" s="382" t="s">
        <v>898</v>
      </c>
      <c r="C172" s="202"/>
      <c r="D172" s="202"/>
      <c r="E172" s="202"/>
      <c r="F172" s="202"/>
      <c r="G172" s="619"/>
      <c r="H172" s="619"/>
      <c r="I172" s="202"/>
      <c r="J172" s="202"/>
    </row>
    <row r="173" spans="1:19" x14ac:dyDescent="0.25">
      <c r="A173" s="619"/>
      <c r="B173" s="330" t="s">
        <v>247</v>
      </c>
      <c r="C173" s="330">
        <v>0</v>
      </c>
      <c r="D173" s="381">
        <v>0</v>
      </c>
      <c r="E173" s="202"/>
      <c r="F173" s="202"/>
      <c r="G173" s="619"/>
      <c r="H173" s="619"/>
      <c r="I173" s="202"/>
      <c r="J173" s="202"/>
    </row>
    <row r="174" spans="1:19" x14ac:dyDescent="0.25">
      <c r="A174" s="619"/>
      <c r="B174" s="330" t="s">
        <v>227</v>
      </c>
      <c r="C174" s="330">
        <v>5304</v>
      </c>
      <c r="D174" s="381">
        <v>5304</v>
      </c>
      <c r="E174" s="202"/>
      <c r="F174" s="202"/>
      <c r="G174" s="619"/>
      <c r="H174" s="619"/>
      <c r="I174" s="202"/>
      <c r="J174" s="202"/>
    </row>
    <row r="175" spans="1:19" x14ac:dyDescent="0.25">
      <c r="A175" s="619"/>
      <c r="B175" s="202"/>
      <c r="C175" s="202"/>
      <c r="D175" s="202"/>
      <c r="E175" s="202"/>
      <c r="F175" s="202"/>
      <c r="G175" s="619"/>
      <c r="H175" s="619"/>
      <c r="I175" s="202"/>
      <c r="J175" s="202"/>
    </row>
    <row r="176" spans="1:19" x14ac:dyDescent="0.25">
      <c r="A176" s="619"/>
      <c r="B176" s="383" t="s">
        <v>212</v>
      </c>
      <c r="C176" s="348"/>
      <c r="D176" s="348"/>
      <c r="E176" s="348"/>
      <c r="F176" s="347"/>
      <c r="G176" s="619"/>
      <c r="H176" s="619"/>
      <c r="I176" s="202"/>
      <c r="J176" s="202"/>
    </row>
    <row r="177" spans="1:10" x14ac:dyDescent="0.25">
      <c r="A177" s="619"/>
      <c r="B177" s="330" t="s">
        <v>2</v>
      </c>
      <c r="C177" s="330" t="s">
        <v>194</v>
      </c>
      <c r="D177" s="330" t="s">
        <v>195</v>
      </c>
      <c r="E177" s="330" t="s">
        <v>215</v>
      </c>
      <c r="F177" s="330" t="s">
        <v>216</v>
      </c>
      <c r="G177" s="619"/>
      <c r="H177" s="619"/>
      <c r="I177" s="202"/>
      <c r="J177" s="202"/>
    </row>
    <row r="178" spans="1:10" x14ac:dyDescent="0.25">
      <c r="A178" s="619"/>
      <c r="B178" s="330" t="s">
        <v>248</v>
      </c>
      <c r="C178" s="330">
        <v>0</v>
      </c>
      <c r="D178" s="330">
        <v>0</v>
      </c>
      <c r="E178" s="330">
        <v>0</v>
      </c>
      <c r="F178" s="330">
        <v>0</v>
      </c>
      <c r="G178" s="619"/>
      <c r="H178" s="619"/>
      <c r="I178" s="202"/>
      <c r="J178" s="202"/>
    </row>
    <row r="179" spans="1:10" x14ac:dyDescent="0.25">
      <c r="A179" s="619"/>
      <c r="B179" s="330" t="s">
        <v>228</v>
      </c>
      <c r="C179" s="330">
        <v>0</v>
      </c>
      <c r="D179" s="330">
        <v>5304</v>
      </c>
      <c r="E179" s="330">
        <v>5304</v>
      </c>
      <c r="F179" s="330">
        <v>5304</v>
      </c>
      <c r="G179" s="619"/>
      <c r="H179" s="619"/>
      <c r="I179" s="202"/>
      <c r="J179" s="202"/>
    </row>
    <row r="180" spans="1:10" x14ac:dyDescent="0.25">
      <c r="A180" s="613"/>
      <c r="B180" s="619"/>
      <c r="C180" s="619"/>
      <c r="D180" s="619"/>
      <c r="E180" s="619"/>
      <c r="F180" s="619"/>
      <c r="G180" s="619"/>
      <c r="H180" s="619"/>
      <c r="I180" s="202"/>
      <c r="J180" s="202"/>
    </row>
    <row r="181" spans="1:10" x14ac:dyDescent="0.25">
      <c r="A181" s="613"/>
      <c r="B181" s="619"/>
      <c r="C181" s="619"/>
      <c r="D181" s="619"/>
      <c r="E181" s="619"/>
      <c r="F181" s="620"/>
      <c r="G181" s="619"/>
      <c r="H181" s="619"/>
      <c r="I181" s="202"/>
      <c r="J181" s="202"/>
    </row>
    <row r="182" spans="1:10" x14ac:dyDescent="0.25">
      <c r="D182" s="202"/>
      <c r="E182" s="202"/>
      <c r="F182" s="330">
        <v>11.5</v>
      </c>
      <c r="G182" s="202"/>
      <c r="H182" s="202"/>
      <c r="I182" s="202"/>
      <c r="J182" s="202"/>
    </row>
    <row r="183" spans="1:10" x14ac:dyDescent="0.25">
      <c r="B183" s="202"/>
      <c r="C183" s="202"/>
      <c r="D183" s="202"/>
      <c r="E183" s="202"/>
      <c r="F183" s="202"/>
      <c r="G183" s="202"/>
      <c r="H183" s="202"/>
      <c r="I183" s="202"/>
      <c r="J183" s="202"/>
    </row>
    <row r="184" spans="1:10" ht="26.25" x14ac:dyDescent="0.4">
      <c r="B184" s="202"/>
      <c r="C184" s="452" t="s">
        <v>177</v>
      </c>
      <c r="D184" s="453"/>
      <c r="E184" s="330"/>
      <c r="F184" s="202">
        <v>9</v>
      </c>
    </row>
    <row r="185" spans="1:10" x14ac:dyDescent="0.25">
      <c r="B185" s="202"/>
      <c r="C185" s="330" t="s">
        <v>178</v>
      </c>
      <c r="D185" s="330"/>
      <c r="E185" s="330">
        <f>D179</f>
        <v>5304</v>
      </c>
      <c r="F185" s="202"/>
    </row>
    <row r="186" spans="1:10" x14ac:dyDescent="0.25">
      <c r="B186" s="202"/>
      <c r="C186" s="330" t="s">
        <v>179</v>
      </c>
      <c r="D186" s="330"/>
      <c r="E186" s="330">
        <v>8.5</v>
      </c>
      <c r="F186" s="202"/>
    </row>
    <row r="187" spans="1:10" x14ac:dyDescent="0.25">
      <c r="B187" s="202"/>
      <c r="C187" s="331" t="s">
        <v>180</v>
      </c>
      <c r="D187" s="331"/>
      <c r="E187" s="331">
        <f>D180</f>
        <v>0</v>
      </c>
    </row>
    <row r="188" spans="1:10" x14ac:dyDescent="0.25">
      <c r="B188" s="202"/>
      <c r="C188" s="330" t="s">
        <v>181</v>
      </c>
      <c r="D188" s="330"/>
      <c r="E188" s="330"/>
    </row>
    <row r="189" spans="1:10" x14ac:dyDescent="0.25">
      <c r="B189" s="202"/>
      <c r="C189" s="330" t="s">
        <v>182</v>
      </c>
      <c r="D189" s="330"/>
      <c r="E189" s="330"/>
    </row>
    <row r="190" spans="1:10" x14ac:dyDescent="0.25">
      <c r="B190" s="202"/>
      <c r="C190" s="343" t="s">
        <v>183</v>
      </c>
      <c r="D190" s="343"/>
      <c r="E190" s="345">
        <v>0.1</v>
      </c>
    </row>
    <row r="191" spans="1:10" x14ac:dyDescent="0.25">
      <c r="B191" s="202"/>
      <c r="C191" s="344" t="s">
        <v>184</v>
      </c>
      <c r="D191" s="346"/>
      <c r="E191" s="202" t="s">
        <v>185</v>
      </c>
    </row>
    <row r="192" spans="1:10" x14ac:dyDescent="0.25">
      <c r="B192" s="202"/>
      <c r="C192" s="380" t="s">
        <v>186</v>
      </c>
      <c r="D192" s="349">
        <v>1.1000000000000001</v>
      </c>
      <c r="E192" s="202"/>
    </row>
    <row r="193" spans="2:5" x14ac:dyDescent="0.25">
      <c r="B193" s="202"/>
      <c r="C193" s="378" t="s">
        <v>187</v>
      </c>
      <c r="D193" s="350">
        <v>1</v>
      </c>
      <c r="E193" s="202"/>
    </row>
    <row r="210" spans="1:20" x14ac:dyDescent="0.25">
      <c r="K210" s="613"/>
      <c r="L210" s="613"/>
      <c r="M210" s="613"/>
      <c r="N210" s="613"/>
      <c r="O210" s="613"/>
      <c r="P210" s="613"/>
      <c r="Q210" s="613"/>
      <c r="R210" s="613"/>
      <c r="S210" s="613"/>
      <c r="T210" s="613"/>
    </row>
    <row r="211" spans="1:20" x14ac:dyDescent="0.25">
      <c r="K211" s="619"/>
      <c r="L211" s="619"/>
      <c r="M211" s="619"/>
      <c r="N211" s="619"/>
      <c r="O211" s="619"/>
      <c r="P211" s="619"/>
      <c r="Q211" s="619"/>
      <c r="R211" s="619"/>
      <c r="S211" s="613"/>
      <c r="T211" s="613"/>
    </row>
    <row r="212" spans="1:20" x14ac:dyDescent="0.25">
      <c r="K212" s="619"/>
      <c r="L212" s="619"/>
      <c r="M212" s="619"/>
      <c r="N212" s="619"/>
      <c r="O212" s="619"/>
      <c r="P212" s="619"/>
      <c r="Q212" s="619"/>
      <c r="R212" s="619"/>
      <c r="S212" s="613"/>
      <c r="T212" s="613"/>
    </row>
    <row r="213" spans="1:20" x14ac:dyDescent="0.25">
      <c r="K213" s="619"/>
      <c r="L213" s="641" t="s">
        <v>188</v>
      </c>
      <c r="M213" s="346"/>
      <c r="N213" s="202"/>
      <c r="O213" s="202"/>
      <c r="P213" s="202"/>
      <c r="Q213" s="619"/>
      <c r="R213" s="619"/>
      <c r="S213" s="613"/>
      <c r="T213" s="613"/>
    </row>
    <row r="214" spans="1:20" x14ac:dyDescent="0.25">
      <c r="K214" s="619"/>
      <c r="L214" s="641" t="s">
        <v>891</v>
      </c>
      <c r="M214" s="377"/>
      <c r="N214" s="377"/>
      <c r="O214" s="377"/>
      <c r="P214" s="346"/>
      <c r="Q214" s="619"/>
      <c r="R214" s="619"/>
      <c r="S214" s="613"/>
      <c r="T214" s="613"/>
    </row>
    <row r="215" spans="1:20" x14ac:dyDescent="0.25">
      <c r="K215" s="619"/>
      <c r="L215" s="642" t="s">
        <v>890</v>
      </c>
      <c r="M215" s="379"/>
      <c r="N215" s="379"/>
      <c r="O215" s="379"/>
      <c r="P215" s="350"/>
      <c r="Q215" s="619"/>
      <c r="R215" s="619"/>
      <c r="S215" s="613"/>
      <c r="T215" s="613"/>
    </row>
    <row r="216" spans="1:20" x14ac:dyDescent="0.25">
      <c r="A216" s="202"/>
      <c r="B216" s="202"/>
      <c r="C216" s="202"/>
      <c r="D216" s="202"/>
      <c r="E216" s="202"/>
      <c r="F216" s="202"/>
      <c r="K216" s="619"/>
      <c r="L216" s="330" t="s">
        <v>242</v>
      </c>
      <c r="M216" s="330"/>
      <c r="N216" s="330">
        <v>5304</v>
      </c>
      <c r="O216" s="202"/>
      <c r="P216" s="202"/>
      <c r="Q216" s="619"/>
      <c r="R216" s="619"/>
      <c r="S216" s="613"/>
      <c r="T216" s="613"/>
    </row>
    <row r="217" spans="1:20" x14ac:dyDescent="0.25">
      <c r="A217" s="619"/>
      <c r="B217" s="619"/>
      <c r="C217" s="619"/>
      <c r="D217" s="619"/>
      <c r="E217" s="619"/>
      <c r="F217" s="619"/>
      <c r="G217" s="613"/>
      <c r="H217" s="613"/>
      <c r="I217" s="613"/>
      <c r="K217" s="619"/>
      <c r="L217" s="330" t="s">
        <v>245</v>
      </c>
      <c r="M217" s="330"/>
      <c r="N217" s="330">
        <v>4284</v>
      </c>
      <c r="O217" s="202"/>
      <c r="P217" s="202"/>
      <c r="Q217" s="619"/>
      <c r="R217" s="619"/>
      <c r="S217" s="613"/>
      <c r="T217" s="613"/>
    </row>
    <row r="218" spans="1:20" x14ac:dyDescent="0.25">
      <c r="A218" s="619"/>
      <c r="B218" s="628" t="s">
        <v>886</v>
      </c>
      <c r="C218" s="619"/>
      <c r="D218" s="619"/>
      <c r="E218" s="619"/>
      <c r="F218" s="619"/>
      <c r="G218" s="619"/>
      <c r="H218" s="619"/>
      <c r="I218" s="619"/>
      <c r="K218" s="619"/>
      <c r="L218" s="330" t="s">
        <v>246</v>
      </c>
      <c r="M218" s="330"/>
      <c r="N218" s="330">
        <v>10675.84</v>
      </c>
      <c r="O218" s="202"/>
      <c r="P218" s="202"/>
      <c r="Q218" s="619"/>
      <c r="R218" s="619"/>
      <c r="S218" s="613"/>
      <c r="T218" s="613"/>
    </row>
    <row r="219" spans="1:20" x14ac:dyDescent="0.25">
      <c r="A219" s="619"/>
      <c r="B219" s="632" t="s">
        <v>888</v>
      </c>
      <c r="C219" s="618"/>
      <c r="D219" s="618"/>
      <c r="E219" s="635"/>
      <c r="F219" s="619"/>
      <c r="G219" s="619"/>
      <c r="H219" s="619"/>
      <c r="I219" s="619"/>
      <c r="K219" s="619"/>
      <c r="L219" s="330" t="s">
        <v>227</v>
      </c>
      <c r="M219" s="330"/>
      <c r="N219" s="330">
        <v>10108</v>
      </c>
      <c r="O219" s="202"/>
      <c r="P219" s="202"/>
      <c r="Q219" s="619"/>
      <c r="R219" s="619"/>
      <c r="S219" s="613"/>
      <c r="T219" s="613"/>
    </row>
    <row r="220" spans="1:20" x14ac:dyDescent="0.25">
      <c r="A220" s="619"/>
      <c r="B220" s="631" t="s">
        <v>193</v>
      </c>
      <c r="C220" s="631">
        <v>0</v>
      </c>
      <c r="D220" s="631"/>
      <c r="E220" s="619"/>
      <c r="F220" s="619"/>
      <c r="G220" s="619"/>
      <c r="H220" s="619"/>
      <c r="I220" s="619"/>
      <c r="K220" s="619"/>
      <c r="L220" s="202"/>
      <c r="M220" s="202"/>
      <c r="N220" s="202"/>
      <c r="O220" s="202"/>
      <c r="P220" s="202"/>
      <c r="Q220" s="619"/>
      <c r="R220" s="619"/>
      <c r="S220" s="613"/>
      <c r="T220" s="613"/>
    </row>
    <row r="221" spans="1:20" x14ac:dyDescent="0.25">
      <c r="A221" s="619"/>
      <c r="B221" s="618" t="s">
        <v>217</v>
      </c>
      <c r="C221" s="618">
        <v>0</v>
      </c>
      <c r="D221" s="618">
        <v>9</v>
      </c>
      <c r="E221" s="619"/>
      <c r="F221" s="619"/>
      <c r="G221" s="619"/>
      <c r="H221" s="619"/>
      <c r="I221" s="619"/>
      <c r="K221" s="619"/>
      <c r="L221" s="382" t="s">
        <v>892</v>
      </c>
      <c r="M221" s="202"/>
      <c r="N221" s="202"/>
      <c r="O221" s="202"/>
      <c r="P221" s="202"/>
      <c r="Q221" s="619"/>
      <c r="R221" s="619"/>
      <c r="S221" s="613"/>
      <c r="T221" s="613"/>
    </row>
    <row r="222" spans="1:20" x14ac:dyDescent="0.25">
      <c r="A222" s="619"/>
      <c r="B222" s="619"/>
      <c r="C222" s="619"/>
      <c r="D222" s="619"/>
      <c r="E222" s="619"/>
      <c r="F222" s="619"/>
      <c r="G222" s="619"/>
      <c r="H222" s="619"/>
      <c r="I222" s="619"/>
      <c r="J222" s="202"/>
      <c r="K222" s="619"/>
      <c r="L222" s="330" t="s">
        <v>893</v>
      </c>
      <c r="M222" s="330"/>
      <c r="N222" s="330">
        <v>0</v>
      </c>
      <c r="O222" s="202"/>
      <c r="P222" s="202"/>
      <c r="Q222" s="619"/>
      <c r="R222" s="619"/>
      <c r="S222" s="613"/>
      <c r="T222" s="613"/>
    </row>
    <row r="223" spans="1:20" x14ac:dyDescent="0.25">
      <c r="A223" s="619"/>
      <c r="B223" s="634" t="s">
        <v>889</v>
      </c>
      <c r="C223" s="638"/>
      <c r="D223" s="638"/>
      <c r="E223" s="638"/>
      <c r="F223" s="635"/>
      <c r="G223" s="619"/>
      <c r="H223" s="619"/>
      <c r="I223" s="619"/>
      <c r="J223" s="202"/>
      <c r="K223" s="619"/>
      <c r="L223" s="330" t="s">
        <v>227</v>
      </c>
      <c r="M223" s="330"/>
      <c r="N223" s="330">
        <v>5823.9999999999991</v>
      </c>
      <c r="O223" s="202"/>
      <c r="P223" s="202"/>
      <c r="Q223" s="619"/>
      <c r="R223" s="619"/>
      <c r="S223" s="613"/>
      <c r="T223" s="613"/>
    </row>
    <row r="224" spans="1:20" x14ac:dyDescent="0.25">
      <c r="A224" s="619"/>
      <c r="B224" s="631" t="s">
        <v>214</v>
      </c>
      <c r="C224" s="631">
        <v>0</v>
      </c>
      <c r="D224" s="619"/>
      <c r="E224" s="619"/>
      <c r="F224" s="619"/>
      <c r="G224" s="619"/>
      <c r="H224" s="619"/>
      <c r="I224" s="619"/>
      <c r="J224" s="202"/>
      <c r="K224" s="619"/>
      <c r="L224" s="202"/>
      <c r="M224" s="202"/>
      <c r="N224" s="202"/>
      <c r="O224" s="202"/>
      <c r="P224" s="202"/>
      <c r="Q224" s="619"/>
      <c r="R224" s="619"/>
      <c r="S224" s="613"/>
      <c r="T224" s="613"/>
    </row>
    <row r="225" spans="1:20" x14ac:dyDescent="0.25">
      <c r="A225" s="619"/>
      <c r="B225" s="618" t="s">
        <v>217</v>
      </c>
      <c r="C225" s="618">
        <v>1060.8</v>
      </c>
      <c r="D225" s="619"/>
      <c r="E225" s="619"/>
      <c r="F225" s="619"/>
      <c r="G225" s="619"/>
      <c r="H225" s="619"/>
      <c r="I225" s="619"/>
      <c r="J225" s="202"/>
      <c r="K225" s="619"/>
      <c r="L225" s="382" t="s">
        <v>895</v>
      </c>
      <c r="M225" s="202"/>
      <c r="N225" s="202"/>
      <c r="O225" s="202"/>
      <c r="P225" s="202"/>
      <c r="Q225" s="619"/>
      <c r="R225" s="619"/>
      <c r="S225" s="613"/>
      <c r="T225" s="613"/>
    </row>
    <row r="226" spans="1:20" x14ac:dyDescent="0.25">
      <c r="A226" s="619"/>
      <c r="B226" s="619"/>
      <c r="C226" s="619"/>
      <c r="D226" s="619"/>
      <c r="E226" s="619"/>
      <c r="F226" s="619"/>
      <c r="G226" s="619"/>
      <c r="H226" s="619"/>
      <c r="I226" s="619"/>
      <c r="J226" s="202"/>
      <c r="K226" s="619"/>
      <c r="L226" s="330" t="s">
        <v>2</v>
      </c>
      <c r="M226" s="330" t="s">
        <v>194</v>
      </c>
      <c r="N226" s="330" t="s">
        <v>195</v>
      </c>
      <c r="O226" s="330" t="s">
        <v>196</v>
      </c>
      <c r="P226" s="330" t="s">
        <v>197</v>
      </c>
      <c r="Q226" s="619"/>
      <c r="R226" s="619"/>
      <c r="S226" s="613"/>
      <c r="T226" s="613"/>
    </row>
    <row r="227" spans="1:20" x14ac:dyDescent="0.25">
      <c r="A227" s="619"/>
      <c r="B227" s="628" t="s">
        <v>212</v>
      </c>
      <c r="C227" s="619"/>
      <c r="D227" s="619"/>
      <c r="E227" s="619"/>
      <c r="F227" s="619"/>
      <c r="G227" s="619"/>
      <c r="H227" s="619"/>
      <c r="I227" s="619"/>
      <c r="J227" s="202"/>
      <c r="K227" s="619"/>
      <c r="L227" s="330" t="s">
        <v>894</v>
      </c>
      <c r="M227" s="330">
        <v>4284</v>
      </c>
      <c r="N227" s="330">
        <v>0</v>
      </c>
      <c r="O227" s="330">
        <v>4284</v>
      </c>
      <c r="P227" s="330">
        <v>4712.4000000000005</v>
      </c>
      <c r="Q227" s="619"/>
      <c r="R227" s="619"/>
      <c r="S227" s="613"/>
      <c r="T227" s="613"/>
    </row>
    <row r="228" spans="1:20" x14ac:dyDescent="0.25">
      <c r="A228" s="619"/>
      <c r="B228" s="618" t="s">
        <v>2</v>
      </c>
      <c r="C228" s="618" t="s">
        <v>194</v>
      </c>
      <c r="D228" s="618" t="s">
        <v>195</v>
      </c>
      <c r="E228" s="618" t="s">
        <v>215</v>
      </c>
      <c r="F228" s="618" t="s">
        <v>216</v>
      </c>
      <c r="G228" s="619"/>
      <c r="H228" s="619"/>
      <c r="I228" s="619"/>
      <c r="J228" s="202"/>
      <c r="K228" s="619"/>
      <c r="L228" s="330" t="s">
        <v>228</v>
      </c>
      <c r="M228" s="330">
        <v>10675.84</v>
      </c>
      <c r="N228" s="330">
        <v>5823.9999999999991</v>
      </c>
      <c r="O228" s="330">
        <v>4851.8400000000011</v>
      </c>
      <c r="P228" s="330">
        <v>5337.0240000000013</v>
      </c>
      <c r="Q228" s="619"/>
      <c r="R228" s="619"/>
      <c r="S228" s="613"/>
      <c r="T228" s="613"/>
    </row>
    <row r="229" spans="1:20" x14ac:dyDescent="0.25">
      <c r="A229" s="619"/>
      <c r="B229" s="618" t="s">
        <v>201</v>
      </c>
      <c r="C229" s="618">
        <v>0</v>
      </c>
      <c r="D229" s="618">
        <v>0</v>
      </c>
      <c r="E229" s="618">
        <v>0</v>
      </c>
      <c r="F229" s="618">
        <v>0</v>
      </c>
      <c r="G229" s="619"/>
      <c r="H229" s="619"/>
      <c r="I229" s="619"/>
      <c r="J229" s="202"/>
      <c r="K229" s="619"/>
      <c r="L229" s="202"/>
      <c r="M229" s="202"/>
      <c r="N229" s="202"/>
      <c r="O229" s="202"/>
      <c r="P229" s="202"/>
      <c r="Q229" s="619"/>
      <c r="R229" s="619"/>
      <c r="S229" s="613"/>
      <c r="T229" s="613"/>
    </row>
    <row r="230" spans="1:20" x14ac:dyDescent="0.25">
      <c r="A230" s="619"/>
      <c r="B230" s="618" t="s">
        <v>204</v>
      </c>
      <c r="C230" s="618">
        <v>0</v>
      </c>
      <c r="D230" s="618">
        <v>1060.8</v>
      </c>
      <c r="E230" s="618">
        <v>1060.8</v>
      </c>
      <c r="F230" s="618">
        <v>1060.8</v>
      </c>
      <c r="G230" s="638"/>
      <c r="H230" s="635"/>
      <c r="I230" s="619"/>
      <c r="J230" s="202"/>
      <c r="K230" s="619"/>
      <c r="L230" s="619"/>
      <c r="M230" s="619"/>
      <c r="N230" s="619"/>
      <c r="O230" s="619"/>
      <c r="P230" s="619"/>
      <c r="Q230" s="619"/>
      <c r="R230" s="619"/>
      <c r="S230" s="613"/>
      <c r="T230" s="613"/>
    </row>
    <row r="231" spans="1:20" x14ac:dyDescent="0.25">
      <c r="A231" s="619"/>
      <c r="B231" s="619"/>
      <c r="C231" s="619"/>
      <c r="D231" s="619"/>
      <c r="E231" s="619"/>
      <c r="F231" s="619"/>
      <c r="G231" s="619"/>
      <c r="H231" s="619"/>
      <c r="I231" s="619"/>
      <c r="J231" s="202"/>
      <c r="K231" s="619"/>
      <c r="L231" s="619"/>
      <c r="M231" s="619"/>
      <c r="N231" s="619"/>
      <c r="O231" s="619"/>
      <c r="P231" s="619"/>
      <c r="Q231" s="619"/>
      <c r="R231" s="619"/>
      <c r="S231" s="613"/>
      <c r="T231" s="613"/>
    </row>
    <row r="232" spans="1:20" x14ac:dyDescent="0.25">
      <c r="A232" s="619"/>
      <c r="B232" s="619"/>
      <c r="C232" s="619"/>
      <c r="D232" s="619"/>
      <c r="E232" s="619"/>
      <c r="F232" s="619"/>
      <c r="G232" s="619"/>
      <c r="H232" s="619"/>
      <c r="I232" s="619"/>
      <c r="J232" s="202"/>
      <c r="K232" s="619"/>
      <c r="L232" s="619"/>
      <c r="M232" s="619"/>
      <c r="N232" s="619"/>
      <c r="O232" s="619"/>
      <c r="P232" s="619"/>
      <c r="Q232" s="619"/>
      <c r="R232" s="619"/>
      <c r="S232" s="613"/>
      <c r="T232" s="613"/>
    </row>
    <row r="233" spans="1:20" x14ac:dyDescent="0.25">
      <c r="A233" s="202"/>
      <c r="B233" s="202"/>
      <c r="C233" s="202"/>
      <c r="D233" s="202"/>
      <c r="E233" s="202"/>
      <c r="F233" s="202"/>
      <c r="G233" s="202"/>
      <c r="H233" s="202"/>
      <c r="I233" s="202"/>
      <c r="J233" s="202"/>
      <c r="K233" s="613"/>
      <c r="L233" s="613"/>
      <c r="M233" s="613"/>
      <c r="N233" s="613"/>
      <c r="O233" s="613"/>
      <c r="P233" s="613"/>
      <c r="Q233" s="613"/>
      <c r="R233" s="613"/>
      <c r="S233" s="613"/>
      <c r="T233" s="613"/>
    </row>
    <row r="234" spans="1:20" x14ac:dyDescent="0.25">
      <c r="A234" s="202"/>
      <c r="B234" s="202"/>
      <c r="C234" s="202"/>
      <c r="D234" s="202"/>
      <c r="E234" s="202"/>
      <c r="F234" s="202"/>
      <c r="G234" s="202"/>
      <c r="H234" s="202"/>
      <c r="I234" s="202"/>
    </row>
    <row r="235" spans="1:20" x14ac:dyDescent="0.25">
      <c r="A235" s="202"/>
      <c r="B235" s="202"/>
      <c r="C235" s="202"/>
      <c r="D235" s="202"/>
      <c r="E235" s="202"/>
      <c r="F235" s="202"/>
      <c r="G235" s="202"/>
      <c r="H235" s="202"/>
    </row>
    <row r="236" spans="1:20" x14ac:dyDescent="0.25">
      <c r="A236" s="202"/>
      <c r="B236" s="202"/>
      <c r="C236" s="202"/>
      <c r="D236" s="202"/>
      <c r="E236" s="202"/>
      <c r="F236" s="202"/>
      <c r="G236" s="202"/>
      <c r="H236" s="202"/>
    </row>
    <row r="237" spans="1:20" x14ac:dyDescent="0.25">
      <c r="A237" s="202"/>
      <c r="B237" s="202"/>
      <c r="C237" s="202"/>
      <c r="D237" s="202"/>
      <c r="E237" s="202"/>
      <c r="F237" s="202"/>
      <c r="G237" s="202"/>
      <c r="H237" s="202"/>
      <c r="I237" s="202"/>
    </row>
    <row r="238" spans="1:20" x14ac:dyDescent="0.25">
      <c r="A238" s="202"/>
      <c r="B238" s="202"/>
      <c r="C238" s="202"/>
      <c r="D238" s="202"/>
      <c r="E238" s="202"/>
      <c r="F238" s="202"/>
      <c r="G238" s="202"/>
      <c r="H238" s="202"/>
      <c r="I238" s="202"/>
    </row>
    <row r="239" spans="1:20" x14ac:dyDescent="0.25">
      <c r="A239" s="202"/>
      <c r="B239" s="382" t="s">
        <v>884</v>
      </c>
      <c r="C239" s="202"/>
      <c r="D239" s="202"/>
      <c r="E239" s="202"/>
      <c r="F239" s="202"/>
      <c r="G239" s="202"/>
      <c r="H239" s="202"/>
      <c r="I239" s="202"/>
    </row>
    <row r="240" spans="1:20" x14ac:dyDescent="0.25">
      <c r="A240" s="202"/>
      <c r="B240" s="382" t="s">
        <v>883</v>
      </c>
      <c r="C240" s="202"/>
      <c r="D240" s="202"/>
      <c r="E240" s="202"/>
      <c r="F240" s="202"/>
      <c r="G240" s="202"/>
      <c r="H240" s="202"/>
      <c r="I240" s="202"/>
    </row>
    <row r="241" spans="1:9" x14ac:dyDescent="0.25">
      <c r="A241" s="202"/>
      <c r="B241" s="330" t="s">
        <v>192</v>
      </c>
      <c r="C241" s="330">
        <v>2878.72</v>
      </c>
      <c r="D241" s="330"/>
      <c r="E241" s="202"/>
      <c r="F241" s="202"/>
      <c r="G241" s="202"/>
      <c r="H241" s="202"/>
      <c r="I241" s="202"/>
    </row>
    <row r="242" spans="1:9" x14ac:dyDescent="0.25">
      <c r="A242" s="202"/>
      <c r="B242" s="330" t="s">
        <v>198</v>
      </c>
      <c r="C242" s="330">
        <v>2238.7199999999998</v>
      </c>
      <c r="D242" s="330"/>
      <c r="E242" s="202"/>
      <c r="F242" s="202"/>
      <c r="G242" s="202"/>
      <c r="H242" s="202"/>
      <c r="I242" s="202"/>
    </row>
    <row r="243" spans="1:9" x14ac:dyDescent="0.25">
      <c r="A243" s="202"/>
      <c r="B243" s="330" t="s">
        <v>202</v>
      </c>
      <c r="C243" s="330">
        <v>2608.7199999999998</v>
      </c>
      <c r="D243" s="330"/>
      <c r="E243" s="202"/>
      <c r="F243" s="202"/>
      <c r="G243" s="202"/>
      <c r="H243" s="202"/>
      <c r="I243" s="202"/>
    </row>
    <row r="244" spans="1:9" x14ac:dyDescent="0.25">
      <c r="A244" s="202"/>
      <c r="B244" s="330" t="s">
        <v>205</v>
      </c>
      <c r="C244" s="330" t="s">
        <v>872</v>
      </c>
      <c r="D244" s="330"/>
      <c r="E244" s="202"/>
      <c r="F244" s="202"/>
      <c r="G244" s="202"/>
      <c r="H244" s="202"/>
      <c r="I244" s="202"/>
    </row>
    <row r="245" spans="1:9" x14ac:dyDescent="0.25">
      <c r="A245" s="202"/>
      <c r="B245" s="330" t="s">
        <v>873</v>
      </c>
      <c r="C245" s="330">
        <v>2828.2799999999997</v>
      </c>
      <c r="D245" s="330"/>
      <c r="E245" s="202"/>
      <c r="F245" s="202"/>
      <c r="G245" s="202"/>
      <c r="H245" s="202"/>
      <c r="I245" s="202"/>
    </row>
    <row r="246" spans="1:9" x14ac:dyDescent="0.25">
      <c r="A246" s="202"/>
      <c r="B246" s="202"/>
      <c r="C246" s="202"/>
      <c r="D246" s="202"/>
      <c r="E246" s="202"/>
      <c r="F246" s="202"/>
      <c r="G246" s="202"/>
      <c r="H246" s="202"/>
      <c r="I246" s="202"/>
    </row>
    <row r="247" spans="1:9" x14ac:dyDescent="0.25">
      <c r="A247" s="202"/>
      <c r="B247" s="460" t="s">
        <v>876</v>
      </c>
      <c r="C247" s="348"/>
      <c r="D247" s="348"/>
      <c r="E247" s="348"/>
      <c r="F247" s="348"/>
      <c r="G247" s="347"/>
      <c r="H247" s="202"/>
      <c r="I247" s="202"/>
    </row>
    <row r="248" spans="1:9" x14ac:dyDescent="0.25">
      <c r="A248" s="202"/>
      <c r="B248" s="330" t="s">
        <v>193</v>
      </c>
      <c r="C248" s="330">
        <v>0</v>
      </c>
      <c r="D248" s="202"/>
      <c r="E248" s="202"/>
      <c r="F248" s="202"/>
      <c r="G248" s="202"/>
      <c r="H248" s="202"/>
      <c r="I248" s="202"/>
    </row>
    <row r="249" spans="1:9" x14ac:dyDescent="0.25">
      <c r="A249" s="202"/>
      <c r="B249" s="330" t="s">
        <v>200</v>
      </c>
      <c r="C249" s="330">
        <v>1731.6</v>
      </c>
      <c r="D249" s="202"/>
      <c r="E249" s="202"/>
      <c r="F249" s="202"/>
      <c r="G249" s="202"/>
      <c r="H249" s="202"/>
      <c r="I249" s="202"/>
    </row>
    <row r="250" spans="1:9" x14ac:dyDescent="0.25">
      <c r="A250" s="202"/>
      <c r="B250" s="202"/>
      <c r="C250" s="202"/>
      <c r="D250" s="202"/>
      <c r="E250" s="202"/>
      <c r="F250" s="202"/>
      <c r="G250" s="202"/>
      <c r="H250" s="202"/>
      <c r="I250" s="202"/>
    </row>
    <row r="251" spans="1:9" x14ac:dyDescent="0.25">
      <c r="A251" s="202"/>
      <c r="B251" s="383" t="s">
        <v>191</v>
      </c>
      <c r="C251" s="348"/>
      <c r="D251" s="348"/>
      <c r="E251" s="348"/>
      <c r="F251" s="347"/>
      <c r="G251" s="202"/>
      <c r="H251" s="202"/>
      <c r="I251" s="202"/>
    </row>
    <row r="252" spans="1:9" x14ac:dyDescent="0.25">
      <c r="A252" s="202"/>
      <c r="B252" s="330" t="s">
        <v>2</v>
      </c>
      <c r="C252" s="330" t="s">
        <v>194</v>
      </c>
      <c r="D252" s="330" t="s">
        <v>195</v>
      </c>
      <c r="E252" s="330" t="s">
        <v>196</v>
      </c>
      <c r="F252" s="330" t="s">
        <v>197</v>
      </c>
      <c r="G252" s="202"/>
      <c r="H252" s="202"/>
      <c r="I252" s="202"/>
    </row>
    <row r="253" spans="1:9" x14ac:dyDescent="0.25">
      <c r="A253" s="202"/>
      <c r="B253" s="330" t="s">
        <v>201</v>
      </c>
      <c r="C253" s="330">
        <v>2238.7199999999998</v>
      </c>
      <c r="D253" s="330">
        <v>0</v>
      </c>
      <c r="E253" s="330">
        <v>2238.7199999999998</v>
      </c>
      <c r="F253" s="330">
        <v>2462.5920000000001</v>
      </c>
      <c r="G253" s="202"/>
      <c r="H253" s="202"/>
      <c r="I253" s="202"/>
    </row>
    <row r="254" spans="1:9" x14ac:dyDescent="0.25">
      <c r="A254" s="202"/>
      <c r="B254" s="330" t="s">
        <v>204</v>
      </c>
      <c r="C254" s="330">
        <v>2828.2799999999997</v>
      </c>
      <c r="D254" s="330">
        <v>1731.6</v>
      </c>
      <c r="E254" s="330">
        <v>1096.6799999999998</v>
      </c>
      <c r="F254" s="330">
        <v>1206.348</v>
      </c>
      <c r="G254" s="202"/>
      <c r="H254" s="202"/>
      <c r="I254" s="202"/>
    </row>
    <row r="255" spans="1:9" x14ac:dyDescent="0.25">
      <c r="A255" s="202"/>
      <c r="B255" s="202"/>
      <c r="C255" s="202"/>
      <c r="D255" s="202"/>
      <c r="E255" s="202"/>
      <c r="F255" s="202"/>
      <c r="G255" s="202"/>
      <c r="H255" s="202"/>
      <c r="I255" s="202"/>
    </row>
    <row r="256" spans="1:9" x14ac:dyDescent="0.25">
      <c r="A256" s="202"/>
      <c r="B256" s="202"/>
      <c r="C256" s="202"/>
      <c r="D256" s="202"/>
      <c r="E256" s="202"/>
      <c r="F256" s="202"/>
      <c r="G256" s="202"/>
      <c r="H256" s="202"/>
      <c r="I256" s="202"/>
    </row>
    <row r="257" spans="1:1" x14ac:dyDescent="0.25">
      <c r="A257" s="202"/>
    </row>
  </sheetData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93207-0092-4379-9694-42F3D4278F8F}">
  <sheetPr codeName="Sheet8"/>
  <dimension ref="F7:V499"/>
  <sheetViews>
    <sheetView tabSelected="1" topLeftCell="I36" workbookViewId="0">
      <selection activeCell="R49" sqref="R49"/>
    </sheetView>
  </sheetViews>
  <sheetFormatPr defaultRowHeight="15" x14ac:dyDescent="0.25"/>
  <cols>
    <col min="11" max="11" width="25" customWidth="1"/>
    <col min="12" max="12" width="21.5703125" customWidth="1"/>
    <col min="13" max="13" width="17.5703125" customWidth="1"/>
    <col min="14" max="14" width="44.42578125" customWidth="1"/>
    <col min="15" max="15" width="30.85546875" customWidth="1"/>
    <col min="16" max="16" width="15.42578125" customWidth="1"/>
    <col min="17" max="17" width="22.85546875" customWidth="1"/>
    <col min="18" max="18" width="65" customWidth="1"/>
    <col min="19" max="19" width="41" customWidth="1"/>
    <col min="20" max="20" width="20.7109375" customWidth="1"/>
    <col min="21" max="21" width="27.42578125" customWidth="1"/>
    <col min="22" max="22" width="24" customWidth="1"/>
    <col min="23" max="23" width="42.28515625" customWidth="1"/>
  </cols>
  <sheetData>
    <row r="7" spans="12:22" x14ac:dyDescent="0.25">
      <c r="L7" t="s">
        <v>249</v>
      </c>
      <c r="U7" s="19" t="s">
        <v>250</v>
      </c>
      <c r="V7" s="19" t="s">
        <v>251</v>
      </c>
    </row>
    <row r="8" spans="12:22" x14ac:dyDescent="0.25">
      <c r="L8" s="19" t="s">
        <v>252</v>
      </c>
      <c r="M8" s="19"/>
      <c r="N8" s="19" t="s">
        <v>253</v>
      </c>
      <c r="S8" s="19" t="s">
        <v>254</v>
      </c>
      <c r="T8" s="19" t="s">
        <v>255</v>
      </c>
    </row>
    <row r="9" spans="12:22" x14ac:dyDescent="0.25">
      <c r="L9" s="19" t="s">
        <v>256</v>
      </c>
      <c r="M9" s="19"/>
      <c r="N9" s="19" t="s">
        <v>257</v>
      </c>
      <c r="S9" s="19" t="s">
        <v>258</v>
      </c>
      <c r="T9" s="19" t="s">
        <v>259</v>
      </c>
    </row>
    <row r="10" spans="12:22" x14ac:dyDescent="0.25">
      <c r="L10" s="19"/>
      <c r="M10" s="19"/>
      <c r="N10" s="19" t="s">
        <v>260</v>
      </c>
      <c r="S10" s="19" t="s">
        <v>261</v>
      </c>
      <c r="T10" s="19">
        <v>1600</v>
      </c>
    </row>
    <row r="11" spans="12:22" x14ac:dyDescent="0.25">
      <c r="L11" s="19"/>
      <c r="M11" s="19"/>
      <c r="N11" s="19" t="s">
        <v>262</v>
      </c>
      <c r="S11" s="19" t="s">
        <v>263</v>
      </c>
      <c r="T11" s="19">
        <v>1200</v>
      </c>
    </row>
    <row r="12" spans="12:22" x14ac:dyDescent="0.25">
      <c r="L12" s="19"/>
      <c r="M12" s="19"/>
      <c r="N12" s="19" t="s">
        <v>264</v>
      </c>
      <c r="S12" s="19"/>
      <c r="T12" s="19"/>
    </row>
    <row r="13" spans="12:22" x14ac:dyDescent="0.25">
      <c r="S13" t="s">
        <v>265</v>
      </c>
    </row>
    <row r="14" spans="12:22" x14ac:dyDescent="0.25">
      <c r="L14" s="19" t="s">
        <v>266</v>
      </c>
      <c r="M14" s="19"/>
      <c r="N14" s="19"/>
      <c r="S14" s="19" t="s">
        <v>30</v>
      </c>
      <c r="T14" s="19" t="s">
        <v>267</v>
      </c>
      <c r="U14" s="19"/>
    </row>
    <row r="15" spans="12:22" x14ac:dyDescent="0.25">
      <c r="L15" s="19" t="s">
        <v>268</v>
      </c>
      <c r="M15" s="19"/>
      <c r="N15" s="19" t="s">
        <v>253</v>
      </c>
      <c r="S15" s="19">
        <v>26</v>
      </c>
      <c r="T15" s="19" t="s">
        <v>269</v>
      </c>
      <c r="U15" s="19" t="s">
        <v>270</v>
      </c>
    </row>
    <row r="16" spans="12:22" x14ac:dyDescent="0.25">
      <c r="L16" s="19"/>
      <c r="M16" s="19"/>
      <c r="N16" s="19" t="s">
        <v>257</v>
      </c>
      <c r="S16" s="19">
        <v>17.5</v>
      </c>
      <c r="T16" s="19" t="s">
        <v>271</v>
      </c>
      <c r="U16" s="19" t="s">
        <v>272</v>
      </c>
    </row>
    <row r="17" spans="8:21" x14ac:dyDescent="0.25">
      <c r="L17" s="19"/>
      <c r="M17" s="19"/>
      <c r="N17" s="19" t="s">
        <v>260</v>
      </c>
      <c r="S17" s="19">
        <v>12.25</v>
      </c>
      <c r="T17" s="19" t="s">
        <v>273</v>
      </c>
      <c r="U17" s="19" t="s">
        <v>274</v>
      </c>
    </row>
    <row r="18" spans="8:21" x14ac:dyDescent="0.25">
      <c r="L18" s="19"/>
      <c r="M18" s="19"/>
      <c r="N18" s="19" t="s">
        <v>262</v>
      </c>
    </row>
    <row r="19" spans="8:21" x14ac:dyDescent="0.25">
      <c r="L19" s="19"/>
      <c r="M19" s="19"/>
      <c r="N19" s="19" t="s">
        <v>264</v>
      </c>
    </row>
    <row r="20" spans="8:21" x14ac:dyDescent="0.25">
      <c r="L20" s="19"/>
      <c r="M20" s="19"/>
      <c r="N20" s="19" t="s">
        <v>275</v>
      </c>
    </row>
    <row r="22" spans="8:21" x14ac:dyDescent="0.25">
      <c r="L22" s="19" t="s">
        <v>276</v>
      </c>
      <c r="M22" s="19"/>
      <c r="N22" s="19" t="s">
        <v>253</v>
      </c>
    </row>
    <row r="23" spans="8:21" x14ac:dyDescent="0.25">
      <c r="L23" s="19"/>
      <c r="M23" s="19"/>
      <c r="N23" s="19" t="s">
        <v>257</v>
      </c>
    </row>
    <row r="24" spans="8:21" x14ac:dyDescent="0.25">
      <c r="L24" s="19"/>
      <c r="M24" s="19"/>
      <c r="N24" s="19" t="s">
        <v>260</v>
      </c>
    </row>
    <row r="25" spans="8:21" x14ac:dyDescent="0.25">
      <c r="L25" s="19"/>
      <c r="M25" s="19"/>
      <c r="N25" s="19" t="s">
        <v>262</v>
      </c>
    </row>
    <row r="26" spans="8:21" x14ac:dyDescent="0.25">
      <c r="L26" s="19"/>
      <c r="M26" s="19"/>
      <c r="N26" s="19" t="s">
        <v>264</v>
      </c>
    </row>
    <row r="27" spans="8:21" x14ac:dyDescent="0.25">
      <c r="L27" s="19"/>
      <c r="M27" s="19"/>
      <c r="N27" s="19" t="s">
        <v>275</v>
      </c>
    </row>
    <row r="29" spans="8:21" x14ac:dyDescent="0.25">
      <c r="H29" s="202"/>
      <c r="I29" s="202"/>
      <c r="J29" s="202"/>
      <c r="K29" s="202"/>
      <c r="L29" s="202" t="s">
        <v>277</v>
      </c>
      <c r="M29" s="202"/>
      <c r="N29" s="202"/>
      <c r="O29" s="202"/>
      <c r="P29" s="202"/>
      <c r="Q29" s="202"/>
      <c r="R29" s="202"/>
    </row>
    <row r="30" spans="8:21" x14ac:dyDescent="0.25">
      <c r="H30" s="202"/>
      <c r="I30" s="202"/>
      <c r="J30" s="202"/>
      <c r="K30" s="202"/>
      <c r="L30" s="330" t="s">
        <v>278</v>
      </c>
      <c r="M30" s="330">
        <v>0.26800000000000002</v>
      </c>
      <c r="N30" s="347" t="s">
        <v>279</v>
      </c>
      <c r="O30" s="330">
        <v>13.2</v>
      </c>
      <c r="P30" s="202"/>
      <c r="Q30" s="202"/>
      <c r="R30" s="202"/>
    </row>
    <row r="31" spans="8:21" x14ac:dyDescent="0.25">
      <c r="H31" s="202"/>
      <c r="I31" s="202"/>
      <c r="J31" s="202"/>
      <c r="K31" s="202"/>
      <c r="L31" s="330" t="s">
        <v>280</v>
      </c>
      <c r="M31" s="330">
        <v>0.41437400000000002</v>
      </c>
      <c r="N31" s="347" t="s">
        <v>281</v>
      </c>
      <c r="O31" s="330">
        <v>1.89</v>
      </c>
      <c r="P31" s="202" t="s">
        <v>282</v>
      </c>
      <c r="Q31" s="202"/>
      <c r="R31" s="202"/>
    </row>
    <row r="32" spans="8:21" x14ac:dyDescent="0.25">
      <c r="H32" s="202"/>
      <c r="I32" s="202"/>
      <c r="J32" s="202"/>
      <c r="K32" s="202"/>
      <c r="L32" s="330" t="s">
        <v>283</v>
      </c>
      <c r="M32" s="330">
        <v>0.34078000000000003</v>
      </c>
      <c r="N32" s="347" t="s">
        <v>284</v>
      </c>
      <c r="O32" s="330">
        <v>1.37</v>
      </c>
      <c r="P32" s="202" t="str">
        <f>P31</f>
        <v>ft3/sks</v>
      </c>
      <c r="Q32" s="202"/>
      <c r="R32" s="202"/>
    </row>
    <row r="33" spans="8:18" x14ac:dyDescent="0.25">
      <c r="H33" s="202"/>
      <c r="I33" s="202"/>
      <c r="J33" s="202"/>
      <c r="K33" s="202"/>
      <c r="L33" s="330" t="s">
        <v>285</v>
      </c>
      <c r="M33" s="330">
        <v>0.65668000000000004</v>
      </c>
      <c r="N33" s="202"/>
      <c r="O33" s="202"/>
      <c r="P33" s="202"/>
      <c r="Q33" s="202"/>
      <c r="R33" s="202"/>
    </row>
    <row r="34" spans="8:18" x14ac:dyDescent="0.25">
      <c r="H34" s="202"/>
      <c r="I34" s="202"/>
      <c r="J34" s="202"/>
      <c r="K34" s="202"/>
      <c r="L34" s="330"/>
      <c r="M34" s="330"/>
      <c r="N34" s="330" t="s">
        <v>279</v>
      </c>
      <c r="O34" s="330">
        <v>15.8</v>
      </c>
      <c r="P34" s="202"/>
      <c r="Q34" s="202"/>
      <c r="R34" s="202"/>
    </row>
    <row r="35" spans="8:18" x14ac:dyDescent="0.25">
      <c r="H35" s="202"/>
      <c r="I35" s="202"/>
      <c r="J35" s="202"/>
      <c r="K35" s="202"/>
      <c r="L35" s="330" t="s">
        <v>286</v>
      </c>
      <c r="M35" s="330">
        <f xml:space="preserve"> 590*M30</f>
        <v>158.12</v>
      </c>
      <c r="N35" s="330" t="s">
        <v>281</v>
      </c>
      <c r="O35" s="330">
        <v>1.18</v>
      </c>
      <c r="P35" s="202" t="s">
        <v>282</v>
      </c>
      <c r="Q35" s="202"/>
      <c r="R35" s="202"/>
    </row>
    <row r="36" spans="8:18" x14ac:dyDescent="0.25">
      <c r="H36" s="202"/>
      <c r="I36" s="202"/>
      <c r="J36" s="202"/>
      <c r="K36" s="202"/>
      <c r="L36" s="330" t="s">
        <v>287</v>
      </c>
      <c r="M36" s="330">
        <f>M35+(M35*0.2)</f>
        <v>189.744</v>
      </c>
      <c r="N36" s="330" t="s">
        <v>284</v>
      </c>
      <c r="O36" s="330">
        <v>0.67</v>
      </c>
      <c r="P36" s="202" t="str">
        <f>P35</f>
        <v>ft3/sks</v>
      </c>
      <c r="Q36" s="202"/>
      <c r="R36" s="202"/>
    </row>
    <row r="37" spans="8:18" x14ac:dyDescent="0.25">
      <c r="H37" s="202"/>
      <c r="I37" s="202"/>
      <c r="J37" s="202"/>
      <c r="K37" s="202"/>
      <c r="L37" s="460" t="s">
        <v>288</v>
      </c>
      <c r="M37" s="330">
        <f>SUM(M35:M36)</f>
        <v>347.86400000000003</v>
      </c>
      <c r="N37" s="202"/>
      <c r="O37" s="202"/>
      <c r="P37" s="202"/>
      <c r="Q37" s="202"/>
      <c r="R37" s="202"/>
    </row>
    <row r="38" spans="8:18" x14ac:dyDescent="0.25">
      <c r="H38" s="202"/>
      <c r="I38" s="202"/>
      <c r="J38" s="202"/>
      <c r="K38" s="202"/>
      <c r="L38" s="330" t="s">
        <v>289</v>
      </c>
      <c r="M38" s="330">
        <f>40*M32</f>
        <v>13.631200000000002</v>
      </c>
      <c r="N38" s="202"/>
      <c r="O38" s="202"/>
      <c r="P38" s="202"/>
      <c r="Q38" s="202"/>
      <c r="R38" s="202"/>
    </row>
    <row r="39" spans="8:18" x14ac:dyDescent="0.25">
      <c r="H39" s="202"/>
      <c r="I39" s="202"/>
      <c r="J39" s="202"/>
      <c r="K39" s="202"/>
      <c r="L39" s="330" t="s">
        <v>290</v>
      </c>
      <c r="M39" s="330">
        <f>10*M33</f>
        <v>6.5668000000000006</v>
      </c>
      <c r="N39" s="202"/>
      <c r="O39" s="202"/>
      <c r="P39" s="202"/>
      <c r="Q39" s="202"/>
      <c r="R39" s="202"/>
    </row>
    <row r="40" spans="8:18" x14ac:dyDescent="0.25">
      <c r="H40" s="202"/>
      <c r="I40" s="202"/>
      <c r="J40" s="202"/>
      <c r="K40" s="202"/>
      <c r="L40" s="330" t="s">
        <v>287</v>
      </c>
      <c r="M40" s="330">
        <f>M39+(M39*0.2)</f>
        <v>7.8801600000000009</v>
      </c>
      <c r="N40" s="202"/>
      <c r="O40" s="202"/>
      <c r="P40" s="202"/>
      <c r="Q40" s="202"/>
      <c r="R40" s="202"/>
    </row>
    <row r="41" spans="8:18" x14ac:dyDescent="0.25">
      <c r="H41" s="202"/>
      <c r="I41" s="202"/>
      <c r="J41" s="202"/>
      <c r="K41" s="202"/>
      <c r="L41" s="460" t="s">
        <v>291</v>
      </c>
      <c r="M41" s="330">
        <f>SUM(M39:M40)</f>
        <v>14.446960000000001</v>
      </c>
      <c r="N41" s="202"/>
      <c r="O41" s="202"/>
      <c r="P41" s="202"/>
      <c r="Q41" s="202"/>
      <c r="R41" s="202"/>
    </row>
    <row r="42" spans="8:18" x14ac:dyDescent="0.25">
      <c r="H42" s="202"/>
      <c r="I42" s="202"/>
      <c r="J42" s="202"/>
      <c r="K42" s="202"/>
      <c r="L42" s="460" t="s">
        <v>292</v>
      </c>
      <c r="M42" s="330">
        <f>M41+M37+M38</f>
        <v>375.94216</v>
      </c>
      <c r="N42" s="381">
        <f>M42*5.614</f>
        <v>2110.5392862399999</v>
      </c>
      <c r="O42" s="202"/>
      <c r="P42" s="202" t="s">
        <v>293</v>
      </c>
      <c r="Q42" s="202"/>
      <c r="R42" s="202"/>
    </row>
    <row r="43" spans="8:18" x14ac:dyDescent="0.25">
      <c r="H43" s="202"/>
      <c r="I43" s="202"/>
      <c r="J43" s="202"/>
      <c r="K43" s="202"/>
      <c r="L43" s="460" t="s">
        <v>294</v>
      </c>
      <c r="M43" s="461">
        <f>N42/O35</f>
        <v>1788.5926154576271</v>
      </c>
      <c r="N43" s="202" t="s">
        <v>295</v>
      </c>
      <c r="O43" s="202"/>
      <c r="P43" s="202"/>
      <c r="Q43" s="202"/>
      <c r="R43" s="202"/>
    </row>
    <row r="44" spans="8:18" x14ac:dyDescent="0.25">
      <c r="H44" s="202"/>
      <c r="I44" s="202"/>
      <c r="J44" s="202"/>
      <c r="K44" s="202"/>
      <c r="L44" s="330"/>
      <c r="M44" s="330"/>
      <c r="N44" s="202"/>
      <c r="O44" s="202"/>
      <c r="P44" s="202"/>
      <c r="Q44" s="202"/>
      <c r="R44" s="202"/>
    </row>
    <row r="45" spans="8:18" x14ac:dyDescent="0.25">
      <c r="H45" s="202"/>
      <c r="I45" s="202"/>
      <c r="J45" s="202"/>
      <c r="K45" s="202"/>
      <c r="L45" s="330" t="s">
        <v>296</v>
      </c>
      <c r="M45" s="330"/>
      <c r="N45" s="202"/>
      <c r="O45" s="202"/>
      <c r="P45" s="202"/>
      <c r="Q45" s="202"/>
      <c r="R45" s="202"/>
    </row>
    <row r="46" spans="8:18" x14ac:dyDescent="0.25">
      <c r="H46" s="202"/>
      <c r="I46" s="202"/>
      <c r="J46" s="202"/>
      <c r="K46" s="202"/>
      <c r="L46" s="330" t="s">
        <v>297</v>
      </c>
      <c r="M46" s="330">
        <f>500 *M31</f>
        <v>207.18700000000001</v>
      </c>
      <c r="N46" s="202">
        <f>M46*5.614</f>
        <v>1163.1478180000001</v>
      </c>
      <c r="O46" s="202"/>
      <c r="P46" s="381" t="s">
        <v>293</v>
      </c>
      <c r="Q46" s="202"/>
      <c r="R46" s="202"/>
    </row>
    <row r="47" spans="8:18" x14ac:dyDescent="0.25">
      <c r="H47" s="202"/>
      <c r="I47" s="202"/>
      <c r="J47" s="202"/>
      <c r="K47" s="202"/>
      <c r="L47" s="460" t="s">
        <v>298</v>
      </c>
      <c r="M47" s="461">
        <f>N46/O31</f>
        <v>615.42212592592603</v>
      </c>
      <c r="N47" s="202" t="s">
        <v>295</v>
      </c>
      <c r="O47" s="202"/>
      <c r="P47" s="202"/>
      <c r="Q47" s="202"/>
      <c r="R47" s="202"/>
    </row>
    <row r="48" spans="8:18" x14ac:dyDescent="0.25">
      <c r="H48" s="202"/>
      <c r="I48" s="202"/>
      <c r="J48" s="202"/>
      <c r="K48" s="202"/>
      <c r="L48" s="202"/>
      <c r="M48" s="202"/>
      <c r="N48" s="202"/>
      <c r="O48" s="202"/>
      <c r="P48" s="202"/>
      <c r="Q48" s="202"/>
      <c r="R48" s="202"/>
    </row>
    <row r="49" spans="8:18" x14ac:dyDescent="0.25">
      <c r="H49" s="202"/>
      <c r="I49" s="202"/>
      <c r="J49" s="202"/>
      <c r="K49" s="202"/>
      <c r="L49" s="330" t="s">
        <v>299</v>
      </c>
      <c r="M49" s="330"/>
      <c r="N49" s="202"/>
      <c r="O49" s="202"/>
      <c r="P49" s="202"/>
      <c r="Q49" s="202"/>
      <c r="R49" s="202">
        <f>0</f>
        <v>0</v>
      </c>
    </row>
    <row r="50" spans="8:18" x14ac:dyDescent="0.25">
      <c r="H50" s="202"/>
      <c r="I50" s="202"/>
      <c r="J50" s="202"/>
      <c r="K50" s="202"/>
      <c r="L50" s="330" t="s">
        <v>300</v>
      </c>
      <c r="M50" s="461">
        <f>M43*O36</f>
        <v>1198.3570523566102</v>
      </c>
      <c r="N50" s="202" t="s">
        <v>293</v>
      </c>
      <c r="O50" s="202"/>
      <c r="P50" s="202"/>
      <c r="Q50" s="202"/>
      <c r="R50" s="202"/>
    </row>
    <row r="51" spans="8:18" x14ac:dyDescent="0.25">
      <c r="H51" s="202"/>
      <c r="I51" s="202"/>
      <c r="J51" s="202"/>
      <c r="K51" s="202"/>
      <c r="L51" s="330" t="s">
        <v>301</v>
      </c>
      <c r="M51" s="461">
        <f>N46*O32</f>
        <v>1593.5125106600003</v>
      </c>
      <c r="N51" s="202" t="str">
        <f>N50</f>
        <v>ft3</v>
      </c>
      <c r="O51" s="202"/>
      <c r="P51" s="202"/>
      <c r="Q51" s="202"/>
      <c r="R51" s="202"/>
    </row>
    <row r="52" spans="8:18" x14ac:dyDescent="0.25"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</row>
    <row r="53" spans="8:18" x14ac:dyDescent="0.25">
      <c r="H53" s="202"/>
      <c r="I53" s="202"/>
      <c r="J53" s="202"/>
      <c r="K53" s="202"/>
      <c r="L53" s="202" t="s">
        <v>302</v>
      </c>
      <c r="M53" s="202"/>
      <c r="N53" s="202"/>
      <c r="O53" s="202"/>
      <c r="P53" s="202"/>
      <c r="Q53" s="202"/>
      <c r="R53" s="202"/>
    </row>
    <row r="54" spans="8:18" x14ac:dyDescent="0.25">
      <c r="H54" s="202"/>
      <c r="I54" s="202"/>
      <c r="J54" s="202"/>
      <c r="K54" s="202"/>
      <c r="L54" s="460" t="s">
        <v>913</v>
      </c>
      <c r="M54" s="330"/>
      <c r="N54" s="720" t="s">
        <v>914</v>
      </c>
      <c r="O54" s="381" t="e">
        <f>N55-N54</f>
        <v>#VALUE!</v>
      </c>
      <c r="P54" s="202"/>
      <c r="Q54" s="202"/>
      <c r="R54" s="202"/>
    </row>
    <row r="55" spans="8:18" x14ac:dyDescent="0.25">
      <c r="H55" s="202"/>
      <c r="I55" s="202"/>
      <c r="J55" s="202"/>
      <c r="K55" s="202"/>
      <c r="L55" s="330" t="s">
        <v>304</v>
      </c>
      <c r="M55" s="461">
        <v>5093.92</v>
      </c>
      <c r="N55" s="720" t="s">
        <v>915</v>
      </c>
      <c r="O55" s="381" t="e">
        <f>#REF!-N54</f>
        <v>#REF!</v>
      </c>
      <c r="P55" s="202"/>
      <c r="Q55" s="202"/>
      <c r="R55" s="202"/>
    </row>
    <row r="56" spans="8:18" x14ac:dyDescent="0.25">
      <c r="H56" s="202"/>
      <c r="I56" s="202"/>
      <c r="J56" s="202"/>
      <c r="K56" s="202"/>
      <c r="L56" s="460" t="s">
        <v>916</v>
      </c>
      <c r="M56" s="720">
        <v>9085</v>
      </c>
      <c r="N56" s="721" t="s">
        <v>917</v>
      </c>
      <c r="O56" s="202">
        <v>0</v>
      </c>
      <c r="P56" s="202"/>
    </row>
    <row r="57" spans="8:18" x14ac:dyDescent="0.25">
      <c r="H57" s="202"/>
      <c r="I57" s="202"/>
      <c r="J57" s="202"/>
      <c r="K57" s="202"/>
      <c r="L57" s="202"/>
      <c r="M57" s="462"/>
      <c r="N57" s="202"/>
      <c r="O57" s="202"/>
      <c r="P57" s="202"/>
      <c r="Q57" s="202">
        <f>15.8 * 6200 * 0.052</f>
        <v>5093.92</v>
      </c>
      <c r="R57" s="202"/>
    </row>
    <row r="58" spans="8:18" x14ac:dyDescent="0.25">
      <c r="H58" s="202"/>
      <c r="I58" s="202"/>
      <c r="J58" s="202"/>
      <c r="K58" s="202"/>
      <c r="L58" s="460" t="s">
        <v>301</v>
      </c>
      <c r="M58" s="330"/>
      <c r="N58" s="202"/>
      <c r="O58" s="202"/>
      <c r="P58" s="202"/>
      <c r="Q58" s="202">
        <f>SUM(Q56:Q57)</f>
        <v>5093.92</v>
      </c>
      <c r="R58" s="202"/>
    </row>
    <row r="59" spans="8:18" x14ac:dyDescent="0.25">
      <c r="H59" s="202"/>
      <c r="I59" s="202"/>
      <c r="J59" s="202"/>
      <c r="K59" s="202"/>
      <c r="L59" s="330" t="s">
        <v>304</v>
      </c>
      <c r="M59" s="330">
        <f>(2610*13.2*0.052)</f>
        <v>1791.5039999999999</v>
      </c>
      <c r="N59" s="202"/>
      <c r="O59" s="202"/>
      <c r="P59" s="202"/>
      <c r="Q59" s="202"/>
      <c r="R59" s="202"/>
    </row>
    <row r="60" spans="8:18" x14ac:dyDescent="0.25">
      <c r="H60" s="202"/>
      <c r="I60" s="202"/>
      <c r="J60" s="202"/>
      <c r="K60" s="202"/>
      <c r="L60" s="330" t="s">
        <v>305</v>
      </c>
      <c r="M60" s="330">
        <f>SUM(M59:M59)</f>
        <v>1791.5039999999999</v>
      </c>
      <c r="N60" s="382" t="s">
        <v>306</v>
      </c>
      <c r="O60" s="202"/>
      <c r="P60" s="202"/>
      <c r="Q60" s="202"/>
      <c r="R60" s="202"/>
    </row>
    <row r="61" spans="8:18" x14ac:dyDescent="0.25"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</row>
    <row r="62" spans="8:18" x14ac:dyDescent="0.25">
      <c r="H62" s="202"/>
      <c r="I62" s="202"/>
      <c r="J62" s="202"/>
      <c r="K62" s="202"/>
      <c r="O62" s="202"/>
      <c r="P62" s="202"/>
      <c r="Q62" s="202"/>
      <c r="R62" s="202"/>
    </row>
    <row r="65" spans="14:21" x14ac:dyDescent="0.25">
      <c r="N65">
        <f xml:space="preserve"> 10975+ 10</f>
        <v>10985</v>
      </c>
    </row>
    <row r="66" spans="14:21" x14ac:dyDescent="0.25">
      <c r="P66" s="1" t="s">
        <v>30</v>
      </c>
      <c r="Q66" s="1" t="s">
        <v>307</v>
      </c>
      <c r="S66" t="s">
        <v>308</v>
      </c>
      <c r="U66">
        <f>9</f>
        <v>9</v>
      </c>
    </row>
    <row r="67" spans="14:21" ht="78.75" customHeight="1" x14ac:dyDescent="0.35">
      <c r="P67" t="s">
        <v>309</v>
      </c>
      <c r="R67" s="207" t="s">
        <v>310</v>
      </c>
      <c r="S67" t="s">
        <v>311</v>
      </c>
    </row>
    <row r="68" spans="14:21" ht="78" customHeight="1" x14ac:dyDescent="0.35">
      <c r="P68" t="s">
        <v>312</v>
      </c>
      <c r="R68" s="207" t="str">
        <f>R67</f>
        <v>MILLED TOOTH</v>
      </c>
      <c r="S68" t="s">
        <v>313</v>
      </c>
    </row>
    <row r="69" spans="14:21" ht="79.5" customHeight="1" x14ac:dyDescent="0.35">
      <c r="P69" t="s">
        <v>314</v>
      </c>
      <c r="R69" s="207" t="s">
        <v>273</v>
      </c>
      <c r="S69" t="s">
        <v>315</v>
      </c>
    </row>
    <row r="70" spans="14:21" x14ac:dyDescent="0.25">
      <c r="P70" t="s">
        <v>316</v>
      </c>
      <c r="R70" t="str">
        <f>R69</f>
        <v>PDC</v>
      </c>
      <c r="S70" t="s">
        <v>317</v>
      </c>
    </row>
    <row r="76" spans="14:21" x14ac:dyDescent="0.25">
      <c r="N76" s="210" t="s">
        <v>318</v>
      </c>
    </row>
    <row r="77" spans="14:21" x14ac:dyDescent="0.25">
      <c r="N77" s="211" t="s">
        <v>319</v>
      </c>
    </row>
    <row r="78" spans="14:21" x14ac:dyDescent="0.25">
      <c r="N78" s="211" t="s">
        <v>320</v>
      </c>
      <c r="O78" s="208" t="s">
        <v>43</v>
      </c>
    </row>
    <row r="79" spans="14:21" ht="30" x14ac:dyDescent="0.25">
      <c r="N79" s="211" t="s">
        <v>322</v>
      </c>
      <c r="O79" s="209" t="s">
        <v>321</v>
      </c>
    </row>
    <row r="80" spans="14:21" ht="45" x14ac:dyDescent="0.25">
      <c r="N80" s="211" t="s">
        <v>324</v>
      </c>
      <c r="O80" s="209" t="s">
        <v>323</v>
      </c>
    </row>
    <row r="81" spans="14:15" ht="45" x14ac:dyDescent="0.25">
      <c r="N81" s="211" t="s">
        <v>326</v>
      </c>
      <c r="O81" s="209" t="s">
        <v>325</v>
      </c>
    </row>
    <row r="82" spans="14:15" ht="45" x14ac:dyDescent="0.25">
      <c r="N82" s="212" t="s">
        <v>328</v>
      </c>
      <c r="O82" s="209" t="s">
        <v>327</v>
      </c>
    </row>
    <row r="83" spans="14:15" ht="45" x14ac:dyDescent="0.25">
      <c r="N83" s="32"/>
      <c r="O83" s="209" t="s">
        <v>329</v>
      </c>
    </row>
    <row r="84" spans="14:15" x14ac:dyDescent="0.25">
      <c r="O84" s="27" t="s">
        <v>330</v>
      </c>
    </row>
    <row r="85" spans="14:15" x14ac:dyDescent="0.25">
      <c r="O85" s="30" t="s">
        <v>331</v>
      </c>
    </row>
    <row r="106" spans="12:18" x14ac:dyDescent="0.25">
      <c r="N106" t="s">
        <v>332</v>
      </c>
    </row>
    <row r="110" spans="12:18" x14ac:dyDescent="0.25">
      <c r="L110" s="202"/>
      <c r="M110" s="202"/>
      <c r="N110" s="202"/>
    </row>
    <row r="111" spans="12:18" x14ac:dyDescent="0.25">
      <c r="L111" s="202"/>
      <c r="M111" s="202"/>
      <c r="N111" s="202"/>
      <c r="O111" s="202"/>
      <c r="P111" s="202"/>
      <c r="Q111" s="202"/>
      <c r="R111" s="202"/>
    </row>
    <row r="112" spans="12:18" x14ac:dyDescent="0.25">
      <c r="L112" s="202"/>
      <c r="M112" s="202"/>
      <c r="N112" s="202"/>
      <c r="O112" s="202"/>
      <c r="P112" s="202"/>
      <c r="Q112" s="202"/>
      <c r="R112" s="202"/>
    </row>
    <row r="113" spans="12:18" ht="16.5" x14ac:dyDescent="0.3">
      <c r="L113" s="202" t="s">
        <v>333</v>
      </c>
      <c r="M113" s="202"/>
      <c r="N113" s="534" t="s">
        <v>30</v>
      </c>
      <c r="O113" s="202"/>
      <c r="P113" s="202"/>
      <c r="Q113" s="202"/>
      <c r="R113" s="202"/>
    </row>
    <row r="114" spans="12:18" ht="16.5" x14ac:dyDescent="0.3">
      <c r="L114" s="202"/>
      <c r="M114" s="202"/>
      <c r="N114" s="525" t="s">
        <v>338</v>
      </c>
      <c r="O114" s="534" t="s">
        <v>334</v>
      </c>
      <c r="P114" s="534" t="s">
        <v>335</v>
      </c>
      <c r="Q114" s="535" t="s">
        <v>336</v>
      </c>
      <c r="R114" s="534" t="s">
        <v>337</v>
      </c>
    </row>
    <row r="115" spans="12:18" ht="16.5" x14ac:dyDescent="0.3">
      <c r="L115" s="202"/>
      <c r="M115" s="202"/>
      <c r="N115" s="527"/>
      <c r="O115" s="525" t="s">
        <v>339</v>
      </c>
      <c r="P115" s="525" t="s">
        <v>340</v>
      </c>
      <c r="Q115" s="526" t="s">
        <v>341</v>
      </c>
      <c r="R115" s="525" t="s">
        <v>342</v>
      </c>
    </row>
    <row r="116" spans="12:18" ht="16.5" x14ac:dyDescent="0.3">
      <c r="L116" s="202"/>
      <c r="M116" s="202"/>
      <c r="N116" s="527"/>
      <c r="O116" s="527"/>
      <c r="P116" s="527" t="s">
        <v>343</v>
      </c>
      <c r="Q116" s="526" t="s">
        <v>344</v>
      </c>
      <c r="R116" s="528" t="s">
        <v>345</v>
      </c>
    </row>
    <row r="117" spans="12:18" ht="16.5" x14ac:dyDescent="0.3">
      <c r="L117" s="202"/>
      <c r="M117" s="202"/>
      <c r="N117" s="527"/>
      <c r="O117" s="527"/>
      <c r="P117" s="527"/>
      <c r="Q117" s="526" t="s">
        <v>263</v>
      </c>
      <c r="R117" s="527" t="s">
        <v>346</v>
      </c>
    </row>
    <row r="118" spans="12:18" ht="16.5" x14ac:dyDescent="0.3">
      <c r="L118" s="202"/>
      <c r="M118" s="202"/>
      <c r="N118" s="525" t="s">
        <v>348</v>
      </c>
      <c r="O118" s="527"/>
      <c r="P118" s="527"/>
      <c r="Q118" s="526" t="s">
        <v>347</v>
      </c>
      <c r="R118" s="528" t="s">
        <v>325</v>
      </c>
    </row>
    <row r="119" spans="12:18" ht="16.5" x14ac:dyDescent="0.3">
      <c r="L119" s="202"/>
      <c r="M119" s="202"/>
      <c r="N119" s="527" t="s">
        <v>351</v>
      </c>
      <c r="O119" s="525" t="s">
        <v>349</v>
      </c>
      <c r="P119" s="525" t="s">
        <v>350</v>
      </c>
      <c r="Q119" s="526" t="s">
        <v>341</v>
      </c>
      <c r="R119" s="525" t="str">
        <f>R115</f>
        <v>cutting through the rock</v>
      </c>
    </row>
    <row r="120" spans="12:18" ht="16.5" x14ac:dyDescent="0.3">
      <c r="L120" s="202"/>
      <c r="M120" s="202"/>
      <c r="N120" s="527"/>
      <c r="O120" s="527"/>
      <c r="P120" s="527" t="s">
        <v>343</v>
      </c>
      <c r="Q120" s="526" t="str">
        <f>Q116</f>
        <v>DRILL COLLAR</v>
      </c>
      <c r="R120" s="527" t="str">
        <f>R116</f>
        <v>Adds weight on bit (WOB) and stiffness to avoid buckling.</v>
      </c>
    </row>
    <row r="121" spans="12:18" ht="16.5" x14ac:dyDescent="0.3">
      <c r="L121" s="202"/>
      <c r="M121" s="202"/>
      <c r="N121" s="527"/>
      <c r="O121" s="527"/>
      <c r="P121" s="527"/>
      <c r="Q121" s="526" t="str">
        <f>Q117</f>
        <v>HWDP</v>
      </c>
      <c r="R121" s="527" t="s">
        <v>352</v>
      </c>
    </row>
    <row r="122" spans="12:18" ht="16.5" x14ac:dyDescent="0.3">
      <c r="L122" s="202"/>
      <c r="M122" s="202"/>
      <c r="N122" s="527"/>
      <c r="O122" s="527"/>
      <c r="P122" s="527"/>
      <c r="Q122" s="526" t="str">
        <f>Q118</f>
        <v>STABILIZER</v>
      </c>
      <c r="R122" s="527" t="str">
        <f>R118</f>
        <v>Centralizes the BHA in the hole, minimizing deviation and vibration.</v>
      </c>
    </row>
    <row r="123" spans="12:18" ht="16.5" x14ac:dyDescent="0.3">
      <c r="L123" s="202"/>
      <c r="M123" s="202"/>
      <c r="N123" s="527"/>
      <c r="O123" s="527"/>
      <c r="P123" s="527"/>
      <c r="Q123" s="526" t="s">
        <v>353</v>
      </c>
      <c r="R123" s="527" t="s">
        <v>354</v>
      </c>
    </row>
    <row r="124" spans="12:18" ht="16.5" x14ac:dyDescent="0.3">
      <c r="L124" s="202"/>
      <c r="M124" s="202"/>
      <c r="N124" s="529"/>
      <c r="O124" s="527"/>
      <c r="P124" s="527"/>
      <c r="Q124" s="526" t="s">
        <v>355</v>
      </c>
      <c r="R124" s="527" t="s">
        <v>356</v>
      </c>
    </row>
    <row r="125" spans="12:18" ht="16.5" x14ac:dyDescent="0.3">
      <c r="L125" s="202"/>
      <c r="M125" s="202"/>
      <c r="N125" s="525" t="s">
        <v>359</v>
      </c>
      <c r="O125" s="529"/>
      <c r="P125" s="529"/>
      <c r="Q125" s="526" t="s">
        <v>357</v>
      </c>
      <c r="R125" s="529" t="s">
        <v>358</v>
      </c>
    </row>
    <row r="126" spans="12:18" ht="16.5" x14ac:dyDescent="0.3">
      <c r="L126" s="202"/>
      <c r="M126" s="202"/>
      <c r="N126" s="527" t="s">
        <v>361</v>
      </c>
      <c r="O126" s="525" t="s">
        <v>349</v>
      </c>
      <c r="P126" s="525" t="str">
        <f>P119</f>
        <v xml:space="preserve">     FULLCRUM </v>
      </c>
      <c r="Q126" s="526" t="s">
        <v>360</v>
      </c>
      <c r="R126" s="530" t="str">
        <f>R115</f>
        <v>cutting through the rock</v>
      </c>
    </row>
    <row r="127" spans="12:18" ht="16.5" x14ac:dyDescent="0.3">
      <c r="L127" s="202"/>
      <c r="M127" s="202"/>
      <c r="N127" s="527"/>
      <c r="O127" s="527"/>
      <c r="P127" s="527" t="str">
        <f>P120</f>
        <v xml:space="preserve">    ASSEMBLY</v>
      </c>
      <c r="Q127" s="526" t="str">
        <f>Q120</f>
        <v>DRILL COLLAR</v>
      </c>
      <c r="R127" s="531" t="str">
        <f>R116</f>
        <v>Adds weight on bit (WOB) and stiffness to avoid buckling.</v>
      </c>
    </row>
    <row r="128" spans="12:18" ht="16.5" x14ac:dyDescent="0.3">
      <c r="L128" s="202"/>
      <c r="M128" s="202"/>
      <c r="N128" s="527"/>
      <c r="O128" s="527"/>
      <c r="P128" s="527"/>
      <c r="Q128" s="526" t="str">
        <f>Q121</f>
        <v>HWDP</v>
      </c>
      <c r="R128" s="531" t="str">
        <f>R121</f>
        <v>additional stiifness to drillcollars when drilling  high angle section</v>
      </c>
    </row>
    <row r="129" spans="12:21" ht="16.5" x14ac:dyDescent="0.3">
      <c r="L129" s="202"/>
      <c r="M129" s="202"/>
      <c r="N129" s="527"/>
      <c r="O129" s="527"/>
      <c r="P129" s="527"/>
      <c r="Q129" s="526" t="str">
        <f>Q122</f>
        <v>STABILIZER</v>
      </c>
      <c r="R129" s="531" t="str">
        <f>R122</f>
        <v>Centralizes the BHA in the hole, minimizing deviation and vibration.</v>
      </c>
    </row>
    <row r="130" spans="12:21" ht="16.5" x14ac:dyDescent="0.3">
      <c r="L130" s="202"/>
      <c r="M130" s="202"/>
      <c r="N130" s="527"/>
      <c r="O130" s="527"/>
      <c r="P130" s="527"/>
      <c r="Q130" s="526" t="s">
        <v>362</v>
      </c>
      <c r="R130" s="532" t="s">
        <v>363</v>
      </c>
    </row>
    <row r="131" spans="12:21" ht="16.5" x14ac:dyDescent="0.3">
      <c r="L131" s="202"/>
      <c r="M131" s="202"/>
      <c r="N131" s="529"/>
      <c r="O131" s="527"/>
      <c r="P131" s="527"/>
      <c r="Q131" s="526" t="s">
        <v>355</v>
      </c>
      <c r="R131" s="531" t="str">
        <f>R124</f>
        <v>ability to orient the bit in the desired direction</v>
      </c>
    </row>
    <row r="132" spans="12:21" ht="16.5" x14ac:dyDescent="0.3">
      <c r="L132" s="202"/>
      <c r="M132" s="202"/>
      <c r="N132" s="202"/>
      <c r="O132" s="529"/>
      <c r="P132" s="529"/>
      <c r="Q132" s="526" t="str">
        <f>Q125</f>
        <v>MUD MOTOR</v>
      </c>
      <c r="R132" s="533" t="str">
        <f>R125</f>
        <v>allows for circulation whilst drilling in the desired orientation</v>
      </c>
    </row>
    <row r="133" spans="12:21" x14ac:dyDescent="0.25">
      <c r="L133" s="202"/>
      <c r="M133" s="202"/>
      <c r="N133" s="202"/>
      <c r="O133" s="202"/>
      <c r="P133" s="202"/>
      <c r="Q133" s="202"/>
      <c r="R133" s="202"/>
    </row>
    <row r="134" spans="12:21" x14ac:dyDescent="0.25">
      <c r="L134" s="202"/>
      <c r="M134" s="202"/>
      <c r="N134" s="202"/>
      <c r="O134" s="202"/>
      <c r="P134" s="202"/>
      <c r="Q134" s="202"/>
      <c r="R134" s="202"/>
    </row>
    <row r="135" spans="12:21" x14ac:dyDescent="0.25">
      <c r="L135" s="202"/>
      <c r="M135" s="202"/>
      <c r="N135" s="202"/>
      <c r="O135" s="202"/>
      <c r="P135" s="202"/>
      <c r="Q135" s="202"/>
      <c r="R135" s="202"/>
    </row>
    <row r="136" spans="12:21" x14ac:dyDescent="0.25">
      <c r="L136" s="202"/>
      <c r="M136" s="202"/>
      <c r="O136" s="202"/>
      <c r="P136" s="202"/>
      <c r="Q136" s="202"/>
      <c r="R136" s="202"/>
    </row>
    <row r="138" spans="12:21" ht="15.75" x14ac:dyDescent="0.25">
      <c r="N138" s="351" t="s">
        <v>364</v>
      </c>
    </row>
    <row r="139" spans="12:21" ht="15.75" x14ac:dyDescent="0.25">
      <c r="N139" s="352" t="s">
        <v>367</v>
      </c>
      <c r="O139" s="351"/>
      <c r="P139" s="681" t="s">
        <v>365</v>
      </c>
      <c r="Q139" s="681"/>
      <c r="R139" s="351" t="s">
        <v>366</v>
      </c>
    </row>
    <row r="140" spans="12:21" ht="15.75" customHeight="1" x14ac:dyDescent="0.25">
      <c r="N140" s="352" t="s">
        <v>371</v>
      </c>
      <c r="O140" s="352"/>
      <c r="P140" s="680" t="s">
        <v>368</v>
      </c>
      <c r="Q140" s="680"/>
      <c r="R140" s="352" t="s">
        <v>369</v>
      </c>
      <c r="S140" s="351"/>
      <c r="T140" s="681" t="s">
        <v>370</v>
      </c>
      <c r="U140" s="681"/>
    </row>
    <row r="141" spans="12:21" ht="15.75" customHeight="1" x14ac:dyDescent="0.25">
      <c r="N141" s="351" t="s">
        <v>372</v>
      </c>
      <c r="O141" s="352"/>
      <c r="P141" s="680" t="s">
        <v>371</v>
      </c>
      <c r="Q141" s="680"/>
      <c r="R141" s="352" t="s">
        <v>371</v>
      </c>
      <c r="S141" s="352"/>
      <c r="T141" s="680">
        <v>35</v>
      </c>
      <c r="U141" s="680"/>
    </row>
    <row r="142" spans="12:21" ht="15.75" customHeight="1" x14ac:dyDescent="0.25">
      <c r="N142" s="351" t="s">
        <v>375</v>
      </c>
      <c r="O142" s="351"/>
      <c r="P142" s="680" t="s">
        <v>373</v>
      </c>
      <c r="Q142" s="680"/>
      <c r="R142" s="351" t="s">
        <v>374</v>
      </c>
      <c r="S142" s="352"/>
      <c r="T142" s="680" t="s">
        <v>371</v>
      </c>
      <c r="U142" s="680"/>
    </row>
    <row r="143" spans="12:21" ht="15.75" customHeight="1" x14ac:dyDescent="0.25">
      <c r="N143" s="352" t="s">
        <v>376</v>
      </c>
      <c r="O143" s="681" t="s">
        <v>365</v>
      </c>
      <c r="P143" s="681"/>
      <c r="Q143" s="681" t="s">
        <v>366</v>
      </c>
      <c r="R143" s="681"/>
      <c r="S143" s="351"/>
      <c r="T143" s="680">
        <v>315</v>
      </c>
      <c r="U143" s="680"/>
    </row>
    <row r="144" spans="12:21" ht="15.75" customHeight="1" x14ac:dyDescent="0.25">
      <c r="L144" s="202"/>
      <c r="M144" s="202"/>
      <c r="N144" s="557" t="s">
        <v>371</v>
      </c>
      <c r="O144" s="680" t="s">
        <v>368</v>
      </c>
      <c r="P144" s="680"/>
      <c r="Q144" s="680" t="s">
        <v>369</v>
      </c>
      <c r="R144" s="680"/>
      <c r="S144" s="681" t="s">
        <v>370</v>
      </c>
      <c r="T144" s="681"/>
    </row>
    <row r="145" spans="12:20" ht="15.75" customHeight="1" x14ac:dyDescent="0.25">
      <c r="L145" s="202"/>
      <c r="M145" s="202"/>
      <c r="N145" s="558" t="s">
        <v>377</v>
      </c>
      <c r="O145" s="682" t="s">
        <v>371</v>
      </c>
      <c r="P145" s="682"/>
      <c r="Q145" s="682" t="s">
        <v>371</v>
      </c>
      <c r="R145" s="682"/>
      <c r="S145" s="680">
        <v>35</v>
      </c>
      <c r="T145" s="680"/>
    </row>
    <row r="146" spans="12:20" ht="15.75" customHeight="1" x14ac:dyDescent="0.25">
      <c r="L146" s="202"/>
      <c r="M146" s="202"/>
      <c r="N146" s="202"/>
      <c r="O146" s="682" t="s">
        <v>378</v>
      </c>
      <c r="P146" s="682"/>
      <c r="Q146" s="683" t="s">
        <v>379</v>
      </c>
      <c r="R146" s="683"/>
      <c r="S146" s="680" t="s">
        <v>371</v>
      </c>
      <c r="T146" s="680"/>
    </row>
    <row r="147" spans="12:20" ht="15.75" customHeight="1" x14ac:dyDescent="0.25">
      <c r="L147" s="202"/>
      <c r="M147" s="202"/>
      <c r="N147" s="202"/>
      <c r="O147" s="202"/>
      <c r="P147" s="202"/>
      <c r="Q147" s="202"/>
      <c r="R147" s="202"/>
      <c r="S147" s="680">
        <v>280</v>
      </c>
      <c r="T147" s="680"/>
    </row>
    <row r="148" spans="12:20" x14ac:dyDescent="0.25">
      <c r="L148" s="202"/>
      <c r="M148" s="202"/>
      <c r="N148" s="555" t="s">
        <v>380</v>
      </c>
      <c r="O148" s="202"/>
      <c r="P148" s="202"/>
      <c r="Q148" s="202"/>
      <c r="R148" s="202"/>
    </row>
    <row r="149" spans="12:20" x14ac:dyDescent="0.25">
      <c r="L149" s="202"/>
      <c r="M149" s="202"/>
      <c r="N149" s="330" t="s">
        <v>384</v>
      </c>
      <c r="O149" s="555" t="s">
        <v>381</v>
      </c>
      <c r="P149" s="555" t="s">
        <v>382</v>
      </c>
      <c r="Q149" s="555" t="s">
        <v>383</v>
      </c>
      <c r="R149" s="202"/>
    </row>
    <row r="150" spans="12:20" x14ac:dyDescent="0.25">
      <c r="L150" s="202"/>
      <c r="M150" s="202"/>
      <c r="N150" s="330" t="s">
        <v>385</v>
      </c>
      <c r="O150" s="562">
        <v>45989</v>
      </c>
      <c r="P150" s="559">
        <v>46024</v>
      </c>
      <c r="Q150" s="330">
        <v>35</v>
      </c>
      <c r="R150" s="202">
        <v>35</v>
      </c>
    </row>
    <row r="151" spans="12:20" x14ac:dyDescent="0.25">
      <c r="L151" s="202"/>
      <c r="M151" s="202"/>
      <c r="N151" s="330" t="s">
        <v>386</v>
      </c>
      <c r="O151" s="559">
        <f>P150</f>
        <v>46024</v>
      </c>
      <c r="P151" s="559">
        <v>46059</v>
      </c>
      <c r="Q151" s="330">
        <f>Q150+R150</f>
        <v>70</v>
      </c>
      <c r="R151" s="202"/>
    </row>
    <row r="152" spans="12:20" x14ac:dyDescent="0.25">
      <c r="L152" s="202"/>
      <c r="M152" s="202"/>
      <c r="N152" s="330" t="s">
        <v>388</v>
      </c>
      <c r="O152" s="559">
        <f>P151</f>
        <v>46059</v>
      </c>
      <c r="P152" s="559">
        <v>46094</v>
      </c>
      <c r="Q152" s="330">
        <f>Q151+R150</f>
        <v>105</v>
      </c>
      <c r="R152" s="202" t="s">
        <v>387</v>
      </c>
    </row>
    <row r="153" spans="12:20" x14ac:dyDescent="0.25">
      <c r="L153" s="202"/>
      <c r="M153" s="202"/>
      <c r="N153" s="202"/>
      <c r="O153" s="559">
        <f>P152</f>
        <v>46094</v>
      </c>
      <c r="P153" s="559">
        <v>46129</v>
      </c>
      <c r="Q153" s="330">
        <f>Q152+R150</f>
        <v>140</v>
      </c>
      <c r="R153" s="202"/>
    </row>
    <row r="154" spans="12:20" x14ac:dyDescent="0.25">
      <c r="L154" s="202"/>
      <c r="M154" s="202"/>
      <c r="N154" s="555" t="s">
        <v>389</v>
      </c>
      <c r="O154" s="560"/>
      <c r="P154" s="560"/>
      <c r="Q154" s="202"/>
      <c r="R154" s="202">
        <v>28</v>
      </c>
    </row>
    <row r="155" spans="12:20" x14ac:dyDescent="0.25">
      <c r="L155" s="202"/>
      <c r="M155" s="202"/>
      <c r="N155" s="330" t="s">
        <v>390</v>
      </c>
      <c r="O155" s="555" t="str">
        <f>O149</f>
        <v>SPUD</v>
      </c>
      <c r="P155" s="555" t="str">
        <f>P149</f>
        <v>END DATE</v>
      </c>
      <c r="Q155" s="555" t="str">
        <f>Q162</f>
        <v>CUMULATIVE RIG DAYS</v>
      </c>
      <c r="R155" s="202"/>
    </row>
    <row r="156" spans="12:20" x14ac:dyDescent="0.25">
      <c r="L156" s="202"/>
      <c r="M156" s="202"/>
      <c r="N156" s="330" t="s">
        <v>391</v>
      </c>
      <c r="O156" s="559">
        <v>45989</v>
      </c>
      <c r="P156" s="559">
        <v>46024</v>
      </c>
      <c r="Q156" s="330">
        <v>35</v>
      </c>
      <c r="R156" s="202"/>
    </row>
    <row r="157" spans="12:20" x14ac:dyDescent="0.25">
      <c r="L157" s="202"/>
      <c r="M157" s="202"/>
      <c r="N157" s="330" t="s">
        <v>392</v>
      </c>
      <c r="O157" s="559">
        <f>P156</f>
        <v>46024</v>
      </c>
      <c r="P157" s="559">
        <v>46059</v>
      </c>
      <c r="Q157" s="330">
        <v>70</v>
      </c>
      <c r="R157" s="202"/>
    </row>
    <row r="158" spans="12:20" x14ac:dyDescent="0.25">
      <c r="L158" s="202"/>
      <c r="M158" s="202"/>
      <c r="N158" s="330" t="s">
        <v>393</v>
      </c>
      <c r="O158" s="559">
        <f>P157</f>
        <v>46059</v>
      </c>
      <c r="P158" s="559">
        <v>46094</v>
      </c>
      <c r="Q158" s="330">
        <v>105</v>
      </c>
      <c r="R158" s="202"/>
    </row>
    <row r="159" spans="12:20" x14ac:dyDescent="0.25">
      <c r="L159" s="202"/>
      <c r="M159" s="202"/>
      <c r="N159" s="330" t="s">
        <v>394</v>
      </c>
      <c r="O159" s="559">
        <f>P158</f>
        <v>46094</v>
      </c>
      <c r="P159" s="559">
        <v>46129</v>
      </c>
      <c r="Q159" s="330">
        <f>Q158+R150</f>
        <v>140</v>
      </c>
      <c r="R159" s="202"/>
    </row>
    <row r="160" spans="12:20" x14ac:dyDescent="0.25">
      <c r="L160" s="202"/>
      <c r="M160" s="202"/>
      <c r="N160" s="202"/>
      <c r="O160" s="559">
        <f>P159</f>
        <v>46129</v>
      </c>
      <c r="P160" s="559">
        <v>46164</v>
      </c>
      <c r="Q160" s="330">
        <f>Q159+R150</f>
        <v>175</v>
      </c>
      <c r="R160" s="202"/>
    </row>
    <row r="161" spans="12:18" x14ac:dyDescent="0.25">
      <c r="L161" s="202"/>
      <c r="M161" s="202"/>
      <c r="N161" s="555" t="s">
        <v>395</v>
      </c>
      <c r="O161" s="202"/>
      <c r="P161" s="202"/>
      <c r="Q161" s="202"/>
      <c r="R161" s="202"/>
    </row>
    <row r="162" spans="12:18" x14ac:dyDescent="0.25">
      <c r="L162" s="202"/>
      <c r="M162" s="202"/>
      <c r="N162" s="555"/>
      <c r="O162" s="555" t="str">
        <f>O149</f>
        <v>SPUD</v>
      </c>
      <c r="P162" s="555" t="str">
        <f>P155</f>
        <v>END DATE</v>
      </c>
      <c r="Q162" s="555" t="str">
        <f>Q149</f>
        <v>CUMULATIVE RIG DAYS</v>
      </c>
      <c r="R162" s="202"/>
    </row>
    <row r="163" spans="12:18" x14ac:dyDescent="0.25">
      <c r="L163" s="202"/>
      <c r="M163" s="202"/>
      <c r="N163" s="330" t="s">
        <v>397</v>
      </c>
      <c r="O163" s="555"/>
      <c r="P163" s="555"/>
      <c r="Q163" s="555" t="s">
        <v>396</v>
      </c>
      <c r="R163" s="202"/>
    </row>
    <row r="164" spans="12:18" x14ac:dyDescent="0.25">
      <c r="L164" s="202"/>
      <c r="M164" s="202"/>
      <c r="N164" s="330" t="s">
        <v>398</v>
      </c>
      <c r="O164" s="559">
        <v>45989</v>
      </c>
      <c r="P164" s="559">
        <v>46024</v>
      </c>
      <c r="Q164" s="330">
        <v>35</v>
      </c>
      <c r="R164" s="202">
        <f>9</f>
        <v>9</v>
      </c>
    </row>
    <row r="165" spans="12:18" x14ac:dyDescent="0.25">
      <c r="L165" s="202"/>
      <c r="M165" s="202"/>
      <c r="N165" s="330" t="s">
        <v>399</v>
      </c>
      <c r="O165" s="559">
        <v>46027</v>
      </c>
      <c r="P165" s="559">
        <v>46061</v>
      </c>
      <c r="Q165" s="330">
        <v>73</v>
      </c>
      <c r="R165" s="202"/>
    </row>
    <row r="166" spans="12:18" x14ac:dyDescent="0.25">
      <c r="L166" s="202"/>
      <c r="M166" s="202"/>
      <c r="N166" s="330" t="s">
        <v>398</v>
      </c>
      <c r="O166" s="559">
        <v>46064</v>
      </c>
      <c r="P166" s="559">
        <v>46099</v>
      </c>
      <c r="Q166" s="330">
        <v>111</v>
      </c>
      <c r="R166" s="202"/>
    </row>
    <row r="167" spans="12:18" x14ac:dyDescent="0.25">
      <c r="L167" s="202"/>
      <c r="M167" s="202"/>
      <c r="N167" s="330" t="s">
        <v>400</v>
      </c>
      <c r="O167" s="559">
        <v>46102</v>
      </c>
      <c r="P167" s="559">
        <v>46137</v>
      </c>
      <c r="Q167" s="330">
        <v>149</v>
      </c>
      <c r="R167" s="202"/>
    </row>
    <row r="168" spans="12:18" x14ac:dyDescent="0.25">
      <c r="L168" s="202"/>
      <c r="M168" s="202"/>
      <c r="N168" s="330" t="s">
        <v>401</v>
      </c>
      <c r="O168" s="559">
        <v>46140</v>
      </c>
      <c r="P168" s="559">
        <v>46175</v>
      </c>
      <c r="Q168" s="330">
        <v>187</v>
      </c>
      <c r="R168" s="202"/>
    </row>
    <row r="169" spans="12:18" x14ac:dyDescent="0.25">
      <c r="L169" s="202"/>
      <c r="M169" s="202"/>
      <c r="N169" s="330" t="s">
        <v>402</v>
      </c>
      <c r="O169" s="559">
        <v>46178</v>
      </c>
      <c r="P169" s="559">
        <v>46213</v>
      </c>
      <c r="Q169" s="330">
        <v>225</v>
      </c>
      <c r="R169" s="202"/>
    </row>
    <row r="170" spans="12:18" x14ac:dyDescent="0.25">
      <c r="L170" s="202"/>
      <c r="M170" s="202"/>
      <c r="N170" s="330" t="s">
        <v>403</v>
      </c>
      <c r="O170" s="559">
        <v>46216</v>
      </c>
      <c r="P170" s="559">
        <v>46251</v>
      </c>
      <c r="Q170" s="330">
        <v>263</v>
      </c>
      <c r="R170" s="202"/>
    </row>
    <row r="171" spans="12:18" x14ac:dyDescent="0.25">
      <c r="L171" s="202"/>
      <c r="M171" s="202"/>
      <c r="N171" s="202"/>
      <c r="O171" s="559">
        <v>46254</v>
      </c>
      <c r="P171" s="562">
        <v>46289</v>
      </c>
      <c r="Q171" s="330">
        <v>301</v>
      </c>
      <c r="R171" s="202"/>
    </row>
    <row r="172" spans="12:18" x14ac:dyDescent="0.25">
      <c r="L172" s="202"/>
      <c r="M172" s="202"/>
      <c r="N172" s="202"/>
      <c r="O172" s="202"/>
      <c r="P172" s="202"/>
      <c r="Q172" s="202"/>
      <c r="R172" s="202"/>
    </row>
    <row r="173" spans="12:18" x14ac:dyDescent="0.25">
      <c r="N173" t="s">
        <v>404</v>
      </c>
      <c r="O173" s="202"/>
      <c r="P173" s="202"/>
      <c r="Q173" s="202"/>
      <c r="R173" s="202"/>
    </row>
    <row r="174" spans="12:18" x14ac:dyDescent="0.25">
      <c r="N174" t="s">
        <v>405</v>
      </c>
    </row>
    <row r="175" spans="12:18" x14ac:dyDescent="0.25">
      <c r="N175" t="s">
        <v>406</v>
      </c>
    </row>
    <row r="176" spans="12:18" x14ac:dyDescent="0.25">
      <c r="N176" t="s">
        <v>41</v>
      </c>
    </row>
    <row r="178" spans="12:16" x14ac:dyDescent="0.25">
      <c r="N178" s="19" t="s">
        <v>407</v>
      </c>
    </row>
    <row r="179" spans="12:16" x14ac:dyDescent="0.25">
      <c r="N179" s="19" t="s">
        <v>410</v>
      </c>
      <c r="O179" s="19" t="s">
        <v>408</v>
      </c>
      <c r="P179" s="19" t="s">
        <v>409</v>
      </c>
    </row>
    <row r="180" spans="12:16" x14ac:dyDescent="0.25">
      <c r="L180" t="s">
        <v>413</v>
      </c>
      <c r="N180" s="19" t="s">
        <v>414</v>
      </c>
      <c r="O180" s="19" t="s">
        <v>411</v>
      </c>
      <c r="P180" s="19" t="s">
        <v>412</v>
      </c>
    </row>
    <row r="181" spans="12:16" x14ac:dyDescent="0.25">
      <c r="L181" s="311">
        <v>13.375</v>
      </c>
      <c r="M181" s="311"/>
      <c r="N181" s="19" t="s">
        <v>417</v>
      </c>
      <c r="O181" s="19" t="s">
        <v>415</v>
      </c>
      <c r="P181" s="19" t="s">
        <v>416</v>
      </c>
    </row>
    <row r="182" spans="12:16" x14ac:dyDescent="0.25">
      <c r="L182" s="311">
        <v>9.625</v>
      </c>
      <c r="M182" s="311"/>
      <c r="N182" t="s">
        <v>420</v>
      </c>
      <c r="O182" s="19" t="s">
        <v>418</v>
      </c>
      <c r="P182" s="19" t="s">
        <v>419</v>
      </c>
    </row>
    <row r="183" spans="12:16" x14ac:dyDescent="0.25">
      <c r="L183">
        <v>7</v>
      </c>
    </row>
    <row r="184" spans="12:16" x14ac:dyDescent="0.25">
      <c r="L184">
        <v>52658000</v>
      </c>
    </row>
    <row r="185" spans="12:16" x14ac:dyDescent="0.25">
      <c r="L185">
        <f>L184/4</f>
        <v>13164500</v>
      </c>
    </row>
    <row r="186" spans="12:16" x14ac:dyDescent="0.25">
      <c r="L186">
        <v>59105000</v>
      </c>
    </row>
    <row r="187" spans="12:16" x14ac:dyDescent="0.25">
      <c r="L187">
        <f>L186/5</f>
        <v>11821000</v>
      </c>
    </row>
    <row r="188" spans="12:16" x14ac:dyDescent="0.25">
      <c r="L188">
        <v>146561000</v>
      </c>
    </row>
    <row r="189" spans="12:16" x14ac:dyDescent="0.25">
      <c r="L189">
        <f>L188/8</f>
        <v>18320125</v>
      </c>
    </row>
    <row r="191" spans="12:16" x14ac:dyDescent="0.25">
      <c r="L191" t="s">
        <v>407</v>
      </c>
    </row>
    <row r="192" spans="12:16" x14ac:dyDescent="0.25">
      <c r="N192" s="22" t="s">
        <v>407</v>
      </c>
    </row>
    <row r="193" spans="11:18" x14ac:dyDescent="0.25">
      <c r="L193" s="22" t="s">
        <v>422</v>
      </c>
      <c r="M193" s="22" t="s">
        <v>423</v>
      </c>
      <c r="N193" s="19" t="s">
        <v>424</v>
      </c>
      <c r="O193" s="22" t="s">
        <v>421</v>
      </c>
    </row>
    <row r="194" spans="11:18" x14ac:dyDescent="0.25">
      <c r="L194" s="19" t="s">
        <v>426</v>
      </c>
      <c r="M194" s="19" t="s">
        <v>427</v>
      </c>
      <c r="N194" s="19" t="str">
        <f>N193</f>
        <v>FIXED PLATFORM RIG</v>
      </c>
      <c r="O194" s="19" t="s">
        <v>425</v>
      </c>
    </row>
    <row r="195" spans="11:18" x14ac:dyDescent="0.25">
      <c r="L195" s="19" t="s">
        <v>428</v>
      </c>
      <c r="M195" s="19" t="s">
        <v>429</v>
      </c>
      <c r="N195" s="19" t="s">
        <v>395</v>
      </c>
      <c r="O195" s="19" t="str">
        <f>O194</f>
        <v>DEVIATED WELLS</v>
      </c>
    </row>
    <row r="196" spans="11:18" x14ac:dyDescent="0.25">
      <c r="L196" s="19" t="s">
        <v>431</v>
      </c>
      <c r="M196" s="19" t="s">
        <v>432</v>
      </c>
      <c r="O196" s="19" t="s">
        <v>430</v>
      </c>
    </row>
    <row r="199" spans="11:18" x14ac:dyDescent="0.25">
      <c r="N199" t="s">
        <v>433</v>
      </c>
      <c r="R199">
        <f>9</f>
        <v>9</v>
      </c>
    </row>
    <row r="200" spans="11:18" x14ac:dyDescent="0.25">
      <c r="L200" t="s">
        <v>407</v>
      </c>
      <c r="M200" t="s">
        <v>435</v>
      </c>
      <c r="O200" t="s">
        <v>434</v>
      </c>
    </row>
    <row r="201" spans="11:18" x14ac:dyDescent="0.25">
      <c r="L201" t="s">
        <v>436</v>
      </c>
      <c r="M201" t="s">
        <v>437</v>
      </c>
      <c r="N201" t="s">
        <v>438</v>
      </c>
      <c r="O201">
        <v>88</v>
      </c>
    </row>
    <row r="202" spans="11:18" x14ac:dyDescent="0.25">
      <c r="L202" t="str">
        <f>N195</f>
        <v>HAKURYU -14 JACK UP</v>
      </c>
      <c r="N202" t="s">
        <v>439</v>
      </c>
    </row>
    <row r="203" spans="11:18" x14ac:dyDescent="0.25">
      <c r="M203" t="s">
        <v>440</v>
      </c>
      <c r="N203" s="353" t="s">
        <v>441</v>
      </c>
    </row>
    <row r="205" spans="11:18" x14ac:dyDescent="0.25">
      <c r="L205" s="202"/>
      <c r="M205" s="202"/>
      <c r="N205" s="202"/>
    </row>
    <row r="206" spans="11:18" x14ac:dyDescent="0.25">
      <c r="K206" s="202"/>
      <c r="L206" s="202"/>
      <c r="M206" s="202"/>
      <c r="N206" s="202"/>
      <c r="O206" s="202"/>
      <c r="P206" s="202"/>
    </row>
    <row r="207" spans="11:18" ht="16.5" x14ac:dyDescent="0.3">
      <c r="K207" s="202"/>
      <c r="L207" s="563" t="str">
        <f>M200</f>
        <v>RIG PROPERTIES</v>
      </c>
      <c r="M207" s="563" t="str">
        <f>L201</f>
        <v>FIXED PLATFORM</v>
      </c>
      <c r="N207" s="564" t="str">
        <f>L202</f>
        <v>HAKURYU -14 JACK UP</v>
      </c>
      <c r="O207" s="202"/>
      <c r="P207" s="202"/>
    </row>
    <row r="208" spans="11:18" ht="16.5" x14ac:dyDescent="0.3">
      <c r="K208" s="202"/>
      <c r="L208" s="566" t="str">
        <f>M201</f>
        <v>WATER DEPTH</v>
      </c>
      <c r="M208" s="567" t="s">
        <v>442</v>
      </c>
      <c r="N208" s="568" t="str">
        <f>N201</f>
        <v>400FT</v>
      </c>
      <c r="O208" s="565" t="str">
        <f>O200</f>
        <v>FIELD PROPERTIES</v>
      </c>
      <c r="P208" s="202"/>
    </row>
    <row r="209" spans="11:16" ht="16.5" x14ac:dyDescent="0.3">
      <c r="K209" s="202"/>
      <c r="L209" s="547" t="str">
        <f>M203</f>
        <v>HOISTING CAPACITY</v>
      </c>
      <c r="M209" s="549" t="s">
        <v>444</v>
      </c>
      <c r="N209" s="525" t="str">
        <f>N202</f>
        <v>CROWN BLOCK ( NOV CBC-1100 2,200,000 lbs load, 10 sheaves</v>
      </c>
      <c r="O209" s="569" t="s">
        <v>443</v>
      </c>
      <c r="P209" s="202"/>
    </row>
    <row r="210" spans="11:16" ht="16.5" x14ac:dyDescent="0.3">
      <c r="K210" s="202"/>
      <c r="L210" s="550"/>
      <c r="M210" s="551"/>
      <c r="N210" s="529" t="str">
        <f>N203</f>
        <v>TRAVELLING BLOCK (NOV HTB-1100, 2,200,000 lbs, (7 x 72 sheaves)</v>
      </c>
      <c r="O210" s="530" t="s">
        <v>445</v>
      </c>
      <c r="P210" s="202"/>
    </row>
    <row r="211" spans="11:16" ht="16.5" x14ac:dyDescent="0.3">
      <c r="K211" s="202"/>
      <c r="L211" s="566" t="s">
        <v>447</v>
      </c>
      <c r="M211" s="567" t="s">
        <v>448</v>
      </c>
      <c r="N211" s="570" t="s">
        <v>449</v>
      </c>
      <c r="O211" s="533" t="s">
        <v>446</v>
      </c>
      <c r="P211" s="202"/>
    </row>
    <row r="212" spans="11:16" ht="16.5" x14ac:dyDescent="0.3">
      <c r="K212" s="202"/>
      <c r="L212" s="552" t="s">
        <v>451</v>
      </c>
      <c r="M212" s="548" t="str">
        <f>L212</f>
        <v>MULTI- WELL SLOTS</v>
      </c>
      <c r="N212" s="527"/>
      <c r="O212" s="571" t="s">
        <v>450</v>
      </c>
      <c r="P212" s="202"/>
    </row>
    <row r="213" spans="11:16" ht="16.5" x14ac:dyDescent="0.3">
      <c r="K213" s="202"/>
      <c r="L213" s="551" t="s">
        <v>452</v>
      </c>
      <c r="M213" s="551" t="s">
        <v>453</v>
      </c>
      <c r="N213" s="553" t="s">
        <v>454</v>
      </c>
      <c r="O213" s="531"/>
      <c r="P213" s="202"/>
    </row>
    <row r="214" spans="11:16" ht="16.5" x14ac:dyDescent="0.3">
      <c r="K214" s="202"/>
      <c r="L214" s="202"/>
      <c r="M214" s="202"/>
      <c r="N214" s="202"/>
      <c r="O214" s="554"/>
      <c r="P214" s="202"/>
    </row>
    <row r="215" spans="11:16" x14ac:dyDescent="0.25">
      <c r="K215" s="202"/>
      <c r="L215" s="202"/>
      <c r="M215" s="202"/>
      <c r="N215" s="202"/>
      <c r="O215" s="202"/>
      <c r="P215" s="202"/>
    </row>
    <row r="216" spans="11:16" x14ac:dyDescent="0.25">
      <c r="K216" s="202"/>
      <c r="L216" s="202"/>
      <c r="M216" s="202"/>
      <c r="N216" s="202"/>
      <c r="O216" s="202"/>
      <c r="P216" s="202"/>
    </row>
    <row r="217" spans="11:16" x14ac:dyDescent="0.25">
      <c r="K217" s="202"/>
      <c r="L217" s="202"/>
      <c r="M217" s="202"/>
      <c r="N217" s="202"/>
      <c r="O217" s="202"/>
      <c r="P217" s="202"/>
    </row>
    <row r="218" spans="11:16" x14ac:dyDescent="0.25">
      <c r="K218" s="202"/>
      <c r="L218" s="202"/>
      <c r="M218" s="202"/>
      <c r="N218" s="202"/>
      <c r="O218" s="202"/>
      <c r="P218" s="202"/>
    </row>
    <row r="219" spans="11:16" x14ac:dyDescent="0.25">
      <c r="K219" s="202"/>
      <c r="O219" s="202"/>
      <c r="P219" s="202"/>
    </row>
    <row r="252" spans="11:12" ht="15.75" thickBot="1" x14ac:dyDescent="0.3"/>
    <row r="253" spans="11:12" ht="15.75" x14ac:dyDescent="0.25">
      <c r="K253" s="609" t="s">
        <v>341</v>
      </c>
      <c r="L253" s="609" t="s">
        <v>341</v>
      </c>
    </row>
    <row r="254" spans="11:12" ht="15.75" x14ac:dyDescent="0.25">
      <c r="K254" s="610" t="s">
        <v>455</v>
      </c>
      <c r="L254" s="610" t="s">
        <v>455</v>
      </c>
    </row>
    <row r="255" spans="11:12" ht="16.5" thickBot="1" x14ac:dyDescent="0.3">
      <c r="K255" s="354" t="s">
        <v>456</v>
      </c>
      <c r="L255" s="354" t="s">
        <v>456</v>
      </c>
    </row>
    <row r="341" spans="6:18" x14ac:dyDescent="0.25">
      <c r="L341" s="202"/>
      <c r="M341" s="202"/>
      <c r="N341" s="202"/>
      <c r="P341" s="202"/>
    </row>
    <row r="342" spans="6:18" x14ac:dyDescent="0.25">
      <c r="J342" s="202"/>
      <c r="K342" s="202"/>
      <c r="L342" s="202"/>
      <c r="M342" s="202"/>
      <c r="N342" s="202"/>
      <c r="O342" s="202"/>
      <c r="P342" s="202"/>
      <c r="R342">
        <f>9</f>
        <v>9</v>
      </c>
    </row>
    <row r="343" spans="6:18" x14ac:dyDescent="0.25">
      <c r="J343" s="202"/>
      <c r="K343" s="202"/>
      <c r="L343" s="202"/>
      <c r="M343" s="202"/>
      <c r="N343" s="202"/>
      <c r="O343" s="202"/>
      <c r="P343" s="202"/>
    </row>
    <row r="344" spans="6:18" x14ac:dyDescent="0.25">
      <c r="J344" s="202"/>
      <c r="K344" s="202"/>
      <c r="L344" s="202"/>
      <c r="M344" s="202"/>
      <c r="N344" s="202"/>
      <c r="O344" s="202"/>
      <c r="P344" s="202"/>
    </row>
    <row r="345" spans="6:18" ht="15.75" x14ac:dyDescent="0.25">
      <c r="J345" s="202"/>
      <c r="K345" s="202"/>
      <c r="L345" s="556" t="s">
        <v>30</v>
      </c>
      <c r="M345" s="600" t="s">
        <v>457</v>
      </c>
      <c r="N345" s="601" t="s">
        <v>458</v>
      </c>
      <c r="O345" s="202"/>
      <c r="P345" s="348"/>
      <c r="Q345" s="41"/>
    </row>
    <row r="346" spans="6:18" ht="18" x14ac:dyDescent="0.25">
      <c r="J346" s="202"/>
      <c r="K346" s="202"/>
      <c r="L346" s="602" t="s">
        <v>459</v>
      </c>
      <c r="M346" s="603"/>
      <c r="N346" s="604"/>
      <c r="O346" s="348"/>
      <c r="P346" s="202"/>
    </row>
    <row r="347" spans="6:18" ht="18.75" x14ac:dyDescent="0.3">
      <c r="J347" s="202"/>
      <c r="K347" s="202"/>
      <c r="L347" s="605" t="s">
        <v>460</v>
      </c>
      <c r="M347" s="603"/>
      <c r="N347" s="604"/>
      <c r="O347" s="202"/>
      <c r="P347" s="202"/>
    </row>
    <row r="348" spans="6:18" ht="18" x14ac:dyDescent="0.25">
      <c r="J348" s="202"/>
      <c r="K348" s="202"/>
      <c r="L348" s="323"/>
      <c r="M348" s="606" t="s">
        <v>461</v>
      </c>
      <c r="N348" s="603"/>
      <c r="O348" s="202"/>
      <c r="P348" s="202"/>
    </row>
    <row r="349" spans="6:18" ht="60.75" customHeight="1" x14ac:dyDescent="0.25">
      <c r="J349" s="202"/>
      <c r="K349" s="202"/>
      <c r="L349" s="607"/>
      <c r="M349" s="611"/>
      <c r="N349" s="603"/>
      <c r="O349" s="202"/>
      <c r="P349" s="202"/>
    </row>
    <row r="350" spans="6:18" ht="78.75" customHeight="1" x14ac:dyDescent="0.25">
      <c r="J350" s="202"/>
      <c r="K350" s="202"/>
      <c r="L350" s="608"/>
      <c r="M350" s="603"/>
      <c r="N350" s="603"/>
      <c r="O350" s="202"/>
      <c r="P350" s="202"/>
    </row>
    <row r="351" spans="6:18" ht="37.5" customHeight="1" x14ac:dyDescent="0.35">
      <c r="J351" s="202"/>
      <c r="K351" s="202"/>
      <c r="L351" s="607"/>
      <c r="M351" s="606" t="s">
        <v>462</v>
      </c>
      <c r="N351" s="603"/>
      <c r="O351" s="202"/>
      <c r="P351" s="202"/>
    </row>
    <row r="352" spans="6:18" ht="82.5" customHeight="1" x14ac:dyDescent="0.25">
      <c r="F352">
        <f>9</f>
        <v>9</v>
      </c>
      <c r="J352" s="202"/>
      <c r="K352" s="202"/>
      <c r="L352" s="202"/>
      <c r="M352" s="202"/>
      <c r="N352" s="202"/>
      <c r="O352" s="202"/>
      <c r="P352" s="202"/>
    </row>
    <row r="353" spans="10:16" x14ac:dyDescent="0.25">
      <c r="J353" s="202"/>
      <c r="K353" s="202"/>
      <c r="L353" s="202"/>
      <c r="M353" s="202"/>
      <c r="N353" s="202"/>
      <c r="O353" s="202"/>
      <c r="P353" s="202"/>
    </row>
    <row r="354" spans="10:16" x14ac:dyDescent="0.25">
      <c r="J354" s="202"/>
      <c r="K354" s="202"/>
      <c r="L354" s="202"/>
      <c r="M354" s="202"/>
      <c r="N354" s="202"/>
      <c r="O354" s="202"/>
      <c r="P354" s="202"/>
    </row>
    <row r="355" spans="10:16" x14ac:dyDescent="0.25">
      <c r="J355" s="202"/>
      <c r="K355" s="202"/>
      <c r="L355" s="202"/>
      <c r="M355" s="202"/>
      <c r="N355" s="202"/>
      <c r="O355" s="202"/>
      <c r="P355" s="202"/>
    </row>
    <row r="356" spans="10:16" x14ac:dyDescent="0.25">
      <c r="J356" s="202"/>
      <c r="K356" s="202"/>
      <c r="O356" s="202"/>
    </row>
    <row r="359" spans="10:16" x14ac:dyDescent="0.25">
      <c r="M359" s="1"/>
    </row>
    <row r="360" spans="10:16" x14ac:dyDescent="0.25">
      <c r="M360" t="s">
        <v>463</v>
      </c>
    </row>
    <row r="361" spans="10:16" x14ac:dyDescent="0.25">
      <c r="M361" t="s">
        <v>464</v>
      </c>
    </row>
    <row r="386" spans="13:18" x14ac:dyDescent="0.25">
      <c r="M386" s="202"/>
      <c r="N386" s="202"/>
      <c r="P386" s="202"/>
      <c r="Q386" s="202"/>
      <c r="R386" s="202"/>
    </row>
    <row r="387" spans="13:18" x14ac:dyDescent="0.25">
      <c r="M387" s="202"/>
      <c r="N387" s="202"/>
      <c r="O387" s="202"/>
      <c r="P387" s="202"/>
      <c r="Q387" s="202"/>
      <c r="R387" s="202"/>
    </row>
    <row r="388" spans="13:18" x14ac:dyDescent="0.25">
      <c r="M388" s="202"/>
      <c r="N388" s="202"/>
      <c r="O388" s="202"/>
      <c r="P388" s="202"/>
      <c r="Q388" s="202"/>
      <c r="R388" s="202"/>
    </row>
    <row r="389" spans="13:18" x14ac:dyDescent="0.25">
      <c r="M389" s="202"/>
      <c r="N389" s="330" t="s">
        <v>30</v>
      </c>
      <c r="O389" s="202"/>
      <c r="P389" s="330" t="s">
        <v>465</v>
      </c>
      <c r="Q389" s="202"/>
      <c r="R389" s="202"/>
    </row>
    <row r="390" spans="13:18" x14ac:dyDescent="0.25">
      <c r="M390" s="202"/>
      <c r="N390" s="330" t="s">
        <v>467</v>
      </c>
      <c r="O390" s="330" t="s">
        <v>466</v>
      </c>
      <c r="P390" s="343"/>
      <c r="Q390" s="202"/>
      <c r="R390" s="202"/>
    </row>
    <row r="391" spans="13:18" x14ac:dyDescent="0.25">
      <c r="M391" s="202"/>
      <c r="N391" s="330" t="s">
        <v>470</v>
      </c>
      <c r="O391" s="345" t="s">
        <v>468</v>
      </c>
      <c r="P391" s="343" t="s">
        <v>469</v>
      </c>
      <c r="Q391" s="202"/>
      <c r="R391" s="202"/>
    </row>
    <row r="392" spans="13:18" x14ac:dyDescent="0.25">
      <c r="M392" s="202"/>
      <c r="N392" s="330" t="s">
        <v>473</v>
      </c>
      <c r="O392" s="330" t="s">
        <v>471</v>
      </c>
      <c r="P392" s="343" t="s">
        <v>472</v>
      </c>
      <c r="Q392" s="202"/>
      <c r="R392" s="202"/>
    </row>
    <row r="393" spans="13:18" x14ac:dyDescent="0.25">
      <c r="M393" s="202"/>
      <c r="N393" s="330" t="s">
        <v>474</v>
      </c>
      <c r="O393" s="330" t="s">
        <v>471</v>
      </c>
      <c r="P393" s="343"/>
      <c r="Q393" s="202"/>
      <c r="R393" s="202"/>
    </row>
    <row r="394" spans="13:18" x14ac:dyDescent="0.25">
      <c r="M394" s="202"/>
      <c r="N394" s="330" t="s">
        <v>475</v>
      </c>
      <c r="O394" s="330" t="s">
        <v>471</v>
      </c>
      <c r="P394" s="345"/>
      <c r="Q394" s="202"/>
      <c r="R394" s="202"/>
    </row>
    <row r="395" spans="13:18" x14ac:dyDescent="0.25">
      <c r="M395" s="202"/>
      <c r="N395" s="202"/>
      <c r="O395" s="330" t="s">
        <v>476</v>
      </c>
      <c r="P395" s="202"/>
      <c r="Q395" s="202"/>
      <c r="R395" s="202"/>
    </row>
    <row r="396" spans="13:18" x14ac:dyDescent="0.25">
      <c r="M396" s="202"/>
      <c r="N396" s="202"/>
      <c r="O396" s="202"/>
      <c r="P396" s="202"/>
      <c r="Q396" s="202"/>
      <c r="R396" s="202"/>
    </row>
    <row r="397" spans="13:18" x14ac:dyDescent="0.25">
      <c r="M397" s="202"/>
      <c r="N397" s="202"/>
      <c r="O397" s="202"/>
      <c r="P397" s="202"/>
      <c r="Q397" s="202"/>
      <c r="R397" s="202"/>
    </row>
    <row r="398" spans="13:18" x14ac:dyDescent="0.25">
      <c r="M398" s="202"/>
      <c r="N398" s="202"/>
      <c r="O398" s="202"/>
      <c r="P398" s="202"/>
      <c r="Q398" s="202"/>
      <c r="R398" s="202"/>
    </row>
    <row r="399" spans="13:18" x14ac:dyDescent="0.25">
      <c r="M399" s="202"/>
      <c r="N399" s="202"/>
      <c r="O399" s="202"/>
      <c r="P399" s="202"/>
      <c r="Q399" s="202"/>
      <c r="R399" s="202"/>
    </row>
    <row r="400" spans="13:18" x14ac:dyDescent="0.25">
      <c r="M400" s="202"/>
      <c r="N400" s="202"/>
      <c r="O400" s="202"/>
      <c r="P400" s="202"/>
      <c r="Q400" s="202"/>
      <c r="R400" s="202"/>
    </row>
    <row r="401" spans="12:18" x14ac:dyDescent="0.25">
      <c r="M401" s="202"/>
      <c r="N401" s="202"/>
      <c r="O401" s="202"/>
      <c r="P401" s="202"/>
      <c r="Q401" s="202"/>
      <c r="R401" s="202"/>
    </row>
    <row r="402" spans="12:18" x14ac:dyDescent="0.25">
      <c r="M402" s="202"/>
      <c r="N402" s="202"/>
      <c r="O402" s="202"/>
      <c r="P402" s="202"/>
      <c r="Q402" s="202"/>
      <c r="R402" s="202"/>
    </row>
    <row r="403" spans="12:18" x14ac:dyDescent="0.25">
      <c r="M403" s="202"/>
      <c r="N403" s="202"/>
      <c r="O403" s="202"/>
      <c r="P403" s="202"/>
      <c r="Q403" s="202"/>
      <c r="R403" s="202"/>
    </row>
    <row r="404" spans="12:18" x14ac:dyDescent="0.25">
      <c r="M404" s="202"/>
      <c r="N404" s="202"/>
      <c r="O404" s="202"/>
      <c r="P404" s="202"/>
      <c r="Q404" s="202"/>
      <c r="R404" s="202"/>
    </row>
    <row r="405" spans="12:18" x14ac:dyDescent="0.25">
      <c r="L405" s="202"/>
      <c r="M405" s="202"/>
      <c r="N405" s="202"/>
      <c r="O405" s="202"/>
      <c r="P405" s="202"/>
      <c r="Q405" s="202"/>
      <c r="R405" s="202"/>
    </row>
    <row r="406" spans="12:18" x14ac:dyDescent="0.25">
      <c r="L406" s="202"/>
      <c r="M406" s="202"/>
      <c r="N406" s="202"/>
      <c r="O406" s="202"/>
      <c r="P406" s="202"/>
      <c r="Q406" s="202"/>
      <c r="R406" s="202"/>
    </row>
    <row r="407" spans="12:18" x14ac:dyDescent="0.25">
      <c r="L407" s="202"/>
      <c r="M407" s="202"/>
      <c r="N407" s="202"/>
      <c r="O407" s="202"/>
      <c r="P407" s="202"/>
      <c r="Q407" s="202"/>
      <c r="R407" s="202"/>
    </row>
    <row r="408" spans="12:18" x14ac:dyDescent="0.25">
      <c r="L408" s="202"/>
      <c r="M408" s="202"/>
      <c r="N408" s="202"/>
      <c r="O408" s="202"/>
      <c r="P408" s="202"/>
      <c r="Q408" s="202"/>
      <c r="R408" s="202"/>
    </row>
    <row r="409" spans="12:18" ht="15.75" thickBot="1" x14ac:dyDescent="0.3">
      <c r="L409" s="202"/>
      <c r="M409" s="202"/>
      <c r="N409" s="202"/>
      <c r="O409" s="202"/>
      <c r="P409" s="202"/>
      <c r="Q409" s="202"/>
      <c r="R409" s="202"/>
    </row>
    <row r="410" spans="12:18" ht="32.25" thickBot="1" x14ac:dyDescent="0.3">
      <c r="L410" s="202"/>
      <c r="M410" s="362" t="s">
        <v>479</v>
      </c>
      <c r="N410" s="363" t="s">
        <v>480</v>
      </c>
      <c r="O410" s="202"/>
      <c r="P410" s="363" t="s">
        <v>477</v>
      </c>
      <c r="Q410" s="363" t="s">
        <v>478</v>
      </c>
      <c r="R410" s="202"/>
    </row>
    <row r="411" spans="12:18" ht="16.5" thickBot="1" x14ac:dyDescent="0.3">
      <c r="L411" s="202"/>
      <c r="M411" s="364"/>
      <c r="N411" s="365"/>
      <c r="O411" s="363" t="s">
        <v>481</v>
      </c>
      <c r="P411" s="366"/>
      <c r="Q411" s="367"/>
      <c r="R411" s="202"/>
    </row>
    <row r="412" spans="12:18" ht="16.5" thickBot="1" x14ac:dyDescent="0.3">
      <c r="L412" s="202"/>
      <c r="M412" s="671" t="s">
        <v>485</v>
      </c>
      <c r="N412" s="671" t="s">
        <v>486</v>
      </c>
      <c r="O412" s="365" t="s">
        <v>482</v>
      </c>
      <c r="P412" s="671" t="s">
        <v>483</v>
      </c>
      <c r="Q412" s="671" t="s">
        <v>484</v>
      </c>
      <c r="R412" s="202"/>
    </row>
    <row r="413" spans="12:18" ht="15.75" x14ac:dyDescent="0.25">
      <c r="L413" s="202"/>
      <c r="M413" s="672"/>
      <c r="N413" s="672"/>
      <c r="O413" s="363" t="s">
        <v>487</v>
      </c>
      <c r="P413" s="672"/>
      <c r="Q413" s="672"/>
      <c r="R413" s="202"/>
    </row>
    <row r="414" spans="12:18" ht="16.5" thickBot="1" x14ac:dyDescent="0.3">
      <c r="L414" s="202"/>
      <c r="M414" s="672"/>
      <c r="N414" s="672"/>
      <c r="O414" s="365" t="s">
        <v>488</v>
      </c>
      <c r="P414" s="672"/>
      <c r="Q414" s="672"/>
      <c r="R414" s="202"/>
    </row>
    <row r="415" spans="12:18" ht="15.75" x14ac:dyDescent="0.25">
      <c r="L415" s="202"/>
      <c r="M415" s="672"/>
      <c r="N415" s="672"/>
      <c r="O415" s="362"/>
      <c r="P415" s="672"/>
      <c r="Q415" s="672" t="s">
        <v>489</v>
      </c>
      <c r="R415" s="202"/>
    </row>
    <row r="416" spans="12:18" ht="16.5" thickBot="1" x14ac:dyDescent="0.3">
      <c r="L416" s="202"/>
      <c r="M416" s="677"/>
      <c r="N416" s="677"/>
      <c r="O416" s="364" t="s">
        <v>490</v>
      </c>
      <c r="P416" s="677"/>
      <c r="Q416" s="677"/>
      <c r="R416" s="202"/>
    </row>
    <row r="417" spans="12:18" ht="16.5" thickBot="1" x14ac:dyDescent="0.3">
      <c r="L417" s="202"/>
      <c r="M417" s="671" t="s">
        <v>493</v>
      </c>
      <c r="N417" s="673" t="s">
        <v>494</v>
      </c>
      <c r="O417" s="368" t="s">
        <v>491</v>
      </c>
      <c r="P417" s="675" t="s">
        <v>492</v>
      </c>
      <c r="Q417" s="671" t="s">
        <v>484</v>
      </c>
      <c r="R417" s="202"/>
    </row>
    <row r="418" spans="12:18" ht="15.75" x14ac:dyDescent="0.25">
      <c r="L418" s="202"/>
      <c r="M418" s="672"/>
      <c r="N418" s="674"/>
      <c r="O418" s="362" t="s">
        <v>495</v>
      </c>
      <c r="P418" s="676"/>
      <c r="Q418" s="672"/>
      <c r="R418" s="202"/>
    </row>
    <row r="419" spans="12:18" ht="15.75" x14ac:dyDescent="0.25">
      <c r="L419" s="202"/>
      <c r="M419" s="672"/>
      <c r="N419" s="674"/>
      <c r="O419" s="371" t="s">
        <v>496</v>
      </c>
      <c r="P419" s="676"/>
      <c r="Q419" s="672"/>
      <c r="R419" s="202"/>
    </row>
    <row r="420" spans="12:18" ht="15.75" x14ac:dyDescent="0.25">
      <c r="L420" s="202"/>
      <c r="M420" s="672"/>
      <c r="N420" s="674"/>
      <c r="O420" s="364"/>
      <c r="P420" s="676" t="s">
        <v>497</v>
      </c>
      <c r="Q420" s="672" t="s">
        <v>498</v>
      </c>
      <c r="R420" s="202"/>
    </row>
    <row r="421" spans="12:18" ht="16.5" thickBot="1" x14ac:dyDescent="0.3">
      <c r="L421" s="202"/>
      <c r="M421" s="677"/>
      <c r="N421" s="678"/>
      <c r="O421" s="364" t="s">
        <v>499</v>
      </c>
      <c r="P421" s="679"/>
      <c r="Q421" s="677"/>
      <c r="R421" s="202"/>
    </row>
    <row r="422" spans="12:18" ht="32.25" thickBot="1" x14ac:dyDescent="0.3">
      <c r="L422" s="202"/>
      <c r="M422" s="369" t="s">
        <v>503</v>
      </c>
      <c r="N422" s="370" t="s">
        <v>504</v>
      </c>
      <c r="O422" s="372" t="s">
        <v>500</v>
      </c>
      <c r="P422" s="366" t="s">
        <v>501</v>
      </c>
      <c r="Q422" s="366" t="s">
        <v>502</v>
      </c>
      <c r="R422" s="202"/>
    </row>
    <row r="423" spans="12:18" ht="32.25" thickBot="1" x14ac:dyDescent="0.3">
      <c r="L423" s="202"/>
      <c r="M423" s="368" t="s">
        <v>316</v>
      </c>
      <c r="N423" s="366" t="s">
        <v>506</v>
      </c>
      <c r="O423" s="366" t="s">
        <v>505</v>
      </c>
      <c r="P423" s="366" t="s">
        <v>501</v>
      </c>
      <c r="Q423" s="366" t="s">
        <v>502</v>
      </c>
      <c r="R423" s="202"/>
    </row>
    <row r="424" spans="12:18" ht="16.5" thickBot="1" x14ac:dyDescent="0.3">
      <c r="L424" s="202"/>
      <c r="M424" s="202"/>
      <c r="N424" s="202"/>
      <c r="O424" s="366" t="s">
        <v>507</v>
      </c>
      <c r="P424" s="202"/>
      <c r="Q424" s="202"/>
      <c r="R424" s="202"/>
    </row>
    <row r="425" spans="12:18" x14ac:dyDescent="0.25">
      <c r="L425" s="202"/>
      <c r="M425" s="202"/>
      <c r="N425" s="202"/>
      <c r="O425" s="202"/>
      <c r="P425" s="202"/>
      <c r="Q425" s="202"/>
      <c r="R425" s="202"/>
    </row>
    <row r="426" spans="12:18" x14ac:dyDescent="0.25">
      <c r="L426" s="202"/>
      <c r="M426" s="202"/>
      <c r="N426" s="202"/>
      <c r="O426" s="202"/>
      <c r="P426" s="202"/>
      <c r="Q426" s="202"/>
      <c r="R426" s="202"/>
    </row>
    <row r="427" spans="12:18" x14ac:dyDescent="0.25">
      <c r="L427" s="202"/>
      <c r="M427" s="202"/>
      <c r="N427" s="202"/>
      <c r="O427" s="202"/>
      <c r="P427" s="202"/>
      <c r="Q427" s="202"/>
      <c r="R427" s="202"/>
    </row>
    <row r="428" spans="12:18" x14ac:dyDescent="0.25">
      <c r="L428" s="202"/>
      <c r="M428" s="202"/>
      <c r="N428" s="202"/>
      <c r="O428" s="202"/>
      <c r="P428" s="202"/>
      <c r="Q428" s="202"/>
      <c r="R428" s="202"/>
    </row>
    <row r="429" spans="12:18" x14ac:dyDescent="0.25">
      <c r="L429" s="202"/>
      <c r="M429" s="202"/>
      <c r="N429" s="202"/>
      <c r="O429" s="202"/>
      <c r="P429" s="202"/>
      <c r="Q429" s="202"/>
      <c r="R429" s="202"/>
    </row>
    <row r="430" spans="12:18" x14ac:dyDescent="0.25">
      <c r="O430" s="202"/>
    </row>
    <row r="436" spans="13:15" x14ac:dyDescent="0.25">
      <c r="M436" s="19" t="s">
        <v>508</v>
      </c>
      <c r="N436" s="19" t="s">
        <v>509</v>
      </c>
    </row>
    <row r="437" spans="13:15" x14ac:dyDescent="0.25">
      <c r="M437" s="19" t="s">
        <v>511</v>
      </c>
      <c r="N437" s="19" t="s">
        <v>512</v>
      </c>
      <c r="O437" s="19" t="s">
        <v>510</v>
      </c>
    </row>
    <row r="438" spans="13:15" x14ac:dyDescent="0.25">
      <c r="M438" s="19" t="s">
        <v>514</v>
      </c>
      <c r="N438" s="19" t="s">
        <v>515</v>
      </c>
      <c r="O438" s="19" t="s">
        <v>513</v>
      </c>
    </row>
    <row r="439" spans="13:15" x14ac:dyDescent="0.25">
      <c r="M439" s="19" t="s">
        <v>517</v>
      </c>
      <c r="N439" s="19" t="s">
        <v>518</v>
      </c>
      <c r="O439" s="19" t="s">
        <v>516</v>
      </c>
    </row>
    <row r="440" spans="13:15" x14ac:dyDescent="0.25">
      <c r="M440" s="19"/>
      <c r="N440" s="19" t="s">
        <v>520</v>
      </c>
      <c r="O440" s="19" t="s">
        <v>519</v>
      </c>
    </row>
    <row r="441" spans="13:15" x14ac:dyDescent="0.25">
      <c r="M441" s="19"/>
      <c r="N441" s="19" t="s">
        <v>522</v>
      </c>
      <c r="O441" s="19" t="s">
        <v>521</v>
      </c>
    </row>
    <row r="442" spans="13:15" x14ac:dyDescent="0.25">
      <c r="M442" s="23"/>
      <c r="N442" s="24" t="s">
        <v>524</v>
      </c>
      <c r="O442" s="19" t="s">
        <v>523</v>
      </c>
    </row>
    <row r="443" spans="13:15" x14ac:dyDescent="0.25">
      <c r="M443" s="28"/>
      <c r="N443" s="29" t="s">
        <v>526</v>
      </c>
      <c r="O443" s="25" t="s">
        <v>525</v>
      </c>
    </row>
    <row r="444" spans="13:15" x14ac:dyDescent="0.25">
      <c r="O444" s="30" t="s">
        <v>527</v>
      </c>
    </row>
    <row r="485" spans="10:17" x14ac:dyDescent="0.25">
      <c r="K485" t="s">
        <v>303</v>
      </c>
      <c r="L485">
        <v>575.12</v>
      </c>
    </row>
    <row r="486" spans="10:17" x14ac:dyDescent="0.25">
      <c r="K486" t="s">
        <v>304</v>
      </c>
      <c r="L486">
        <v>1656.1999999999998</v>
      </c>
    </row>
    <row r="487" spans="10:17" x14ac:dyDescent="0.25">
      <c r="K487" t="s">
        <v>305</v>
      </c>
      <c r="L487" s="202"/>
      <c r="M487" s="202"/>
      <c r="N487" s="202"/>
      <c r="P487" s="202"/>
      <c r="Q487" s="202"/>
    </row>
    <row r="488" spans="10:17" x14ac:dyDescent="0.25">
      <c r="J488" s="202"/>
      <c r="K488" s="202"/>
      <c r="L488" s="202"/>
      <c r="M488" s="202"/>
      <c r="N488" s="202"/>
      <c r="O488" s="202"/>
      <c r="P488" s="202"/>
      <c r="Q488" s="202"/>
    </row>
    <row r="489" spans="10:17" x14ac:dyDescent="0.25">
      <c r="J489" s="202"/>
      <c r="K489" s="202"/>
      <c r="L489" s="384" t="s">
        <v>510</v>
      </c>
      <c r="M489" s="348"/>
      <c r="N489" s="348"/>
      <c r="O489" s="202"/>
      <c r="P489" s="348"/>
      <c r="Q489" s="347"/>
    </row>
    <row r="490" spans="10:17" x14ac:dyDescent="0.25">
      <c r="J490" s="202"/>
      <c r="K490" s="460" t="s">
        <v>509</v>
      </c>
      <c r="L490" s="348" t="s">
        <v>45</v>
      </c>
      <c r="M490" s="348"/>
      <c r="N490" s="348"/>
      <c r="O490" s="348"/>
      <c r="P490" s="348"/>
      <c r="Q490" s="347"/>
    </row>
    <row r="491" spans="10:17" x14ac:dyDescent="0.25">
      <c r="J491" s="202"/>
      <c r="K491" s="330" t="s">
        <v>44</v>
      </c>
      <c r="L491" s="348" t="s">
        <v>47</v>
      </c>
      <c r="M491" s="348"/>
      <c r="N491" s="348"/>
      <c r="O491" s="348"/>
      <c r="P491" s="348"/>
      <c r="Q491" s="347"/>
    </row>
    <row r="492" spans="10:17" x14ac:dyDescent="0.25">
      <c r="J492" s="202"/>
      <c r="K492" s="330" t="s">
        <v>46</v>
      </c>
      <c r="L492" s="347" t="s">
        <v>49</v>
      </c>
      <c r="M492" s="330"/>
      <c r="N492" s="330"/>
      <c r="O492" s="348"/>
      <c r="P492" s="330"/>
      <c r="Q492" s="330"/>
    </row>
    <row r="493" spans="10:17" x14ac:dyDescent="0.25">
      <c r="J493" s="202"/>
      <c r="K493" s="330" t="s">
        <v>48</v>
      </c>
      <c r="L493" s="348" t="s">
        <v>528</v>
      </c>
      <c r="M493" s="348"/>
      <c r="N493" s="348"/>
      <c r="O493" s="330"/>
      <c r="P493" s="348"/>
      <c r="Q493" s="347"/>
    </row>
    <row r="494" spans="10:17" x14ac:dyDescent="0.25">
      <c r="J494" s="202"/>
      <c r="K494" s="330" t="s">
        <v>50</v>
      </c>
      <c r="L494" s="348" t="s">
        <v>529</v>
      </c>
      <c r="M494" s="348"/>
      <c r="N494" s="348"/>
      <c r="O494" s="348"/>
      <c r="P494" s="348"/>
      <c r="Q494" s="347"/>
    </row>
    <row r="495" spans="10:17" x14ac:dyDescent="0.25">
      <c r="J495" s="202"/>
      <c r="K495" s="330" t="s">
        <v>52</v>
      </c>
      <c r="L495" s="348" t="s">
        <v>55</v>
      </c>
      <c r="M495" s="348"/>
      <c r="N495" s="348"/>
      <c r="O495" s="348"/>
      <c r="P495" s="348"/>
      <c r="Q495" s="347"/>
    </row>
    <row r="496" spans="10:17" x14ac:dyDescent="0.25">
      <c r="J496" s="202"/>
      <c r="K496" s="330" t="s">
        <v>54</v>
      </c>
      <c r="L496" s="348" t="s">
        <v>530</v>
      </c>
      <c r="M496" s="348"/>
      <c r="N496" s="348"/>
      <c r="O496" s="348"/>
      <c r="P496" s="348"/>
      <c r="Q496" s="347"/>
    </row>
    <row r="497" spans="10:17" x14ac:dyDescent="0.25">
      <c r="J497" s="202"/>
      <c r="K497" s="330" t="s">
        <v>56</v>
      </c>
      <c r="L497" s="202"/>
      <c r="M497" s="202"/>
      <c r="N497" s="202"/>
      <c r="O497" s="348"/>
      <c r="P497" s="202"/>
      <c r="Q497" s="202"/>
    </row>
    <row r="498" spans="10:17" x14ac:dyDescent="0.25">
      <c r="J498" s="202"/>
      <c r="K498" s="202"/>
      <c r="L498" s="202"/>
      <c r="M498" s="202"/>
      <c r="N498" s="202"/>
      <c r="O498" s="202"/>
      <c r="P498" s="202"/>
      <c r="Q498" s="202"/>
    </row>
    <row r="499" spans="10:17" x14ac:dyDescent="0.25">
      <c r="J499" s="202"/>
      <c r="K499" s="202"/>
      <c r="O499" s="202"/>
    </row>
  </sheetData>
  <mergeCells count="36">
    <mergeCell ref="P139:Q139"/>
    <mergeCell ref="T140:U140"/>
    <mergeCell ref="P140:Q140"/>
    <mergeCell ref="P141:Q141"/>
    <mergeCell ref="T142:U142"/>
    <mergeCell ref="P142:Q142"/>
    <mergeCell ref="T141:U141"/>
    <mergeCell ref="S147:T147"/>
    <mergeCell ref="O143:P143"/>
    <mergeCell ref="Q143:R143"/>
    <mergeCell ref="S144:T144"/>
    <mergeCell ref="O144:P144"/>
    <mergeCell ref="Q144:R144"/>
    <mergeCell ref="S145:T145"/>
    <mergeCell ref="T143:U143"/>
    <mergeCell ref="O145:P145"/>
    <mergeCell ref="Q145:R145"/>
    <mergeCell ref="S146:T146"/>
    <mergeCell ref="O146:P146"/>
    <mergeCell ref="Q146:R146"/>
    <mergeCell ref="M412:M414"/>
    <mergeCell ref="N412:N414"/>
    <mergeCell ref="P412:P414"/>
    <mergeCell ref="Q412:Q414"/>
    <mergeCell ref="M415:M416"/>
    <mergeCell ref="N415:N416"/>
    <mergeCell ref="P415:P416"/>
    <mergeCell ref="Q415:Q416"/>
    <mergeCell ref="M417:M419"/>
    <mergeCell ref="N417:N419"/>
    <mergeCell ref="P417:P419"/>
    <mergeCell ref="Q417:Q419"/>
    <mergeCell ref="M420:M421"/>
    <mergeCell ref="N420:N421"/>
    <mergeCell ref="P420:P421"/>
    <mergeCell ref="Q420:Q421"/>
  </mergeCells>
  <pageMargins left="0.7" right="0.7" top="0.75" bottom="0.75" header="0.3" footer="0.3"/>
  <pageSetup paperSize="9" orientation="portrait" r:id="rId1"/>
  <ignoredErrors>
    <ignoredError sqref="P162" 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36134-A1B6-4C91-B9E1-252491476CFA}">
  <sheetPr codeName="Sheet16"/>
  <dimension ref="C1:T53"/>
  <sheetViews>
    <sheetView topLeftCell="D4" workbookViewId="0">
      <selection activeCell="F20" sqref="F20"/>
    </sheetView>
  </sheetViews>
  <sheetFormatPr defaultRowHeight="15" x14ac:dyDescent="0.25"/>
  <cols>
    <col min="2" max="2" width="11.5703125" customWidth="1"/>
    <col min="3" max="3" width="24.5703125" customWidth="1"/>
    <col min="4" max="4" width="12.85546875" customWidth="1"/>
    <col min="5" max="5" width="53.7109375" customWidth="1"/>
    <col min="6" max="6" width="23.42578125" customWidth="1"/>
    <col min="7" max="7" width="17.28515625" customWidth="1"/>
    <col min="8" max="8" width="26.140625" customWidth="1"/>
    <col min="9" max="9" width="17.28515625" customWidth="1"/>
    <col min="10" max="10" width="25.42578125" customWidth="1"/>
    <col min="11" max="11" width="14.5703125" customWidth="1"/>
    <col min="12" max="12" width="15.42578125" customWidth="1"/>
    <col min="13" max="13" width="15.140625" customWidth="1"/>
    <col min="14" max="14" width="17.7109375" customWidth="1"/>
  </cols>
  <sheetData>
    <row r="1" spans="3:20" x14ac:dyDescent="0.25">
      <c r="C1" s="311"/>
      <c r="J1" s="2"/>
      <c r="K1" s="2"/>
    </row>
    <row r="3" spans="3:20" x14ac:dyDescent="0.25">
      <c r="C3" s="202"/>
      <c r="D3" s="202"/>
      <c r="E3" s="202"/>
      <c r="F3" s="202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</row>
    <row r="4" spans="3:20" x14ac:dyDescent="0.25"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85"/>
      <c r="R4" s="85"/>
      <c r="S4" s="85"/>
      <c r="T4" s="85"/>
    </row>
    <row r="5" spans="3:20" x14ac:dyDescent="0.25"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85"/>
      <c r="R5" s="85"/>
      <c r="S5" s="85"/>
      <c r="T5" s="85"/>
    </row>
    <row r="6" spans="3:20" x14ac:dyDescent="0.25">
      <c r="C6" s="202"/>
      <c r="D6" s="202"/>
      <c r="E6" s="202"/>
      <c r="F6" s="202"/>
      <c r="G6" s="202"/>
      <c r="H6" s="202"/>
      <c r="I6" s="202"/>
      <c r="J6" s="202"/>
      <c r="K6" s="202"/>
      <c r="L6" s="202"/>
      <c r="M6" s="202"/>
      <c r="N6" s="202"/>
      <c r="O6" s="202"/>
      <c r="P6" s="202"/>
      <c r="Q6" s="85"/>
      <c r="R6" s="85"/>
      <c r="S6" s="85"/>
      <c r="T6" s="85"/>
    </row>
    <row r="7" spans="3:20" x14ac:dyDescent="0.25"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02"/>
      <c r="Q7" s="85"/>
      <c r="R7" s="85"/>
      <c r="S7" s="85"/>
      <c r="T7" s="85"/>
    </row>
    <row r="8" spans="3:20" x14ac:dyDescent="0.25">
      <c r="C8" s="202"/>
      <c r="D8" s="202"/>
      <c r="E8" s="202"/>
      <c r="F8" s="202"/>
      <c r="G8" s="330" t="s">
        <v>532</v>
      </c>
      <c r="H8" s="330" t="s">
        <v>531</v>
      </c>
      <c r="I8" s="330" t="s">
        <v>533</v>
      </c>
      <c r="J8" s="330" t="s">
        <v>534</v>
      </c>
      <c r="K8" s="330" t="s">
        <v>535</v>
      </c>
      <c r="L8" s="330" t="s">
        <v>536</v>
      </c>
      <c r="M8" s="330" t="s">
        <v>537</v>
      </c>
      <c r="N8" s="202"/>
      <c r="O8" s="202"/>
      <c r="P8" s="202"/>
      <c r="Q8" s="85"/>
      <c r="R8" s="85"/>
    </row>
    <row r="9" spans="3:20" x14ac:dyDescent="0.25">
      <c r="C9" s="202"/>
      <c r="D9" s="202"/>
      <c r="E9" s="202"/>
      <c r="F9" s="202"/>
      <c r="G9" s="330">
        <v>500</v>
      </c>
      <c r="H9" s="330" t="s">
        <v>538</v>
      </c>
      <c r="I9" s="330"/>
      <c r="J9" s="330"/>
      <c r="K9" s="330"/>
      <c r="L9" s="330"/>
      <c r="M9" s="330"/>
      <c r="N9" s="202"/>
      <c r="O9" s="202"/>
      <c r="P9" s="202"/>
      <c r="Q9" s="85"/>
      <c r="R9" s="85"/>
    </row>
    <row r="10" spans="3:20" x14ac:dyDescent="0.25">
      <c r="C10" s="202"/>
      <c r="D10" s="202"/>
      <c r="E10" s="202"/>
      <c r="F10" s="202"/>
      <c r="G10" s="330">
        <v>3300</v>
      </c>
      <c r="H10" s="330" t="s">
        <v>539</v>
      </c>
      <c r="I10" s="330">
        <v>18.73</v>
      </c>
      <c r="J10" s="330">
        <v>3060</v>
      </c>
      <c r="K10" s="330">
        <v>1500</v>
      </c>
      <c r="L10" s="330" t="s">
        <v>911</v>
      </c>
      <c r="M10" s="330">
        <v>0.34078000000000003</v>
      </c>
      <c r="N10" s="202"/>
      <c r="O10" s="202"/>
      <c r="P10" s="202"/>
      <c r="Q10" s="85"/>
      <c r="R10" s="85"/>
    </row>
    <row r="11" spans="3:20" x14ac:dyDescent="0.25">
      <c r="C11" s="202"/>
      <c r="D11" s="202"/>
      <c r="E11" s="202"/>
      <c r="F11" s="202"/>
      <c r="G11" s="330">
        <v>4100</v>
      </c>
      <c r="H11" s="330" t="s">
        <v>540</v>
      </c>
      <c r="I11" s="330">
        <v>12.414999999999999</v>
      </c>
      <c r="J11" s="330">
        <v>5020</v>
      </c>
      <c r="K11" s="330">
        <v>2260</v>
      </c>
      <c r="L11" s="330" t="s">
        <v>541</v>
      </c>
      <c r="M11" s="330">
        <v>0.14971999999999999</v>
      </c>
      <c r="N11" s="202"/>
      <c r="O11" s="202"/>
      <c r="P11" s="202"/>
      <c r="Q11" s="85"/>
      <c r="R11" s="85"/>
    </row>
    <row r="12" spans="3:20" x14ac:dyDescent="0.25">
      <c r="C12" s="202"/>
      <c r="D12" s="202"/>
      <c r="E12" s="202"/>
      <c r="F12" s="202"/>
      <c r="G12" s="330">
        <v>7700</v>
      </c>
      <c r="H12" s="330" t="s">
        <v>542</v>
      </c>
      <c r="I12" s="330">
        <v>8.6809999999999992</v>
      </c>
      <c r="J12" s="330">
        <v>6870</v>
      </c>
      <c r="K12" s="330">
        <v>4750</v>
      </c>
      <c r="L12" s="330" t="s">
        <v>543</v>
      </c>
      <c r="M12" s="330">
        <v>7.3200000000000001E-2</v>
      </c>
      <c r="N12" s="202"/>
      <c r="O12" s="202"/>
      <c r="P12" s="202"/>
      <c r="Q12" s="85"/>
      <c r="R12" s="85"/>
    </row>
    <row r="13" spans="3:20" x14ac:dyDescent="0.25">
      <c r="C13" s="202"/>
      <c r="D13" s="202"/>
      <c r="E13" s="202"/>
      <c r="F13" s="202"/>
      <c r="G13" s="330">
        <v>9000</v>
      </c>
      <c r="H13" s="330" t="s">
        <v>544</v>
      </c>
      <c r="I13" s="330">
        <v>6.2759999999999998</v>
      </c>
      <c r="J13" s="330">
        <v>7240</v>
      </c>
      <c r="K13" s="330">
        <v>5410</v>
      </c>
      <c r="L13" s="330" t="s">
        <v>545</v>
      </c>
      <c r="M13" s="330">
        <v>4.1523999999999998E-2</v>
      </c>
      <c r="N13" s="202"/>
      <c r="O13" s="202"/>
      <c r="P13" s="202"/>
      <c r="Q13" s="85"/>
      <c r="R13" s="85"/>
    </row>
    <row r="14" spans="3:20" x14ac:dyDescent="0.25"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85"/>
      <c r="R14" s="85"/>
      <c r="S14" s="85"/>
    </row>
    <row r="15" spans="3:20" x14ac:dyDescent="0.25"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85"/>
      <c r="R15" s="85"/>
      <c r="S15" s="85"/>
      <c r="T15" s="85"/>
    </row>
    <row r="16" spans="3:20" x14ac:dyDescent="0.25">
      <c r="C16" s="202"/>
      <c r="D16" s="202"/>
      <c r="E16" s="202"/>
      <c r="F16" s="202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</row>
    <row r="17" spans="3:20" x14ac:dyDescent="0.25">
      <c r="C17" s="202"/>
      <c r="D17" s="202"/>
      <c r="E17" s="202"/>
      <c r="F17" s="202"/>
      <c r="H17" s="328" t="s">
        <v>546</v>
      </c>
      <c r="I17" s="328"/>
      <c r="J17" s="328" t="s">
        <v>547</v>
      </c>
      <c r="K17" s="328" t="s">
        <v>548</v>
      </c>
      <c r="L17" s="329" t="s">
        <v>549</v>
      </c>
      <c r="M17" s="85"/>
      <c r="N17" s="85"/>
      <c r="O17" s="85"/>
      <c r="P17" s="85"/>
      <c r="Q17" s="85"/>
      <c r="R17" s="85"/>
      <c r="S17" s="85"/>
      <c r="T17" s="85"/>
    </row>
    <row r="18" spans="3:20" x14ac:dyDescent="0.25">
      <c r="C18" s="202"/>
      <c r="D18" s="202"/>
      <c r="E18" s="202"/>
      <c r="F18" s="202"/>
      <c r="H18" s="317" t="s">
        <v>550</v>
      </c>
      <c r="I18" s="317"/>
      <c r="J18" s="317" t="s">
        <v>551</v>
      </c>
      <c r="K18" s="317" t="s">
        <v>32</v>
      </c>
      <c r="L18" s="320" t="s">
        <v>552</v>
      </c>
      <c r="M18" s="317"/>
      <c r="N18" s="317"/>
      <c r="O18" s="317"/>
      <c r="P18" s="85"/>
      <c r="Q18" s="85"/>
      <c r="R18" s="85"/>
      <c r="S18" s="85"/>
    </row>
    <row r="19" spans="3:20" x14ac:dyDescent="0.25">
      <c r="C19" s="202"/>
      <c r="D19" s="202"/>
      <c r="E19" s="202"/>
      <c r="F19" s="202"/>
      <c r="H19" s="317" t="s">
        <v>309</v>
      </c>
      <c r="I19" s="317"/>
      <c r="J19" s="317" t="s">
        <v>553</v>
      </c>
      <c r="K19" s="317" t="s">
        <v>554</v>
      </c>
      <c r="L19" s="321" t="s">
        <v>555</v>
      </c>
      <c r="M19" s="321"/>
      <c r="N19" s="321"/>
      <c r="O19" s="321"/>
      <c r="P19" s="320"/>
      <c r="Q19" s="85"/>
      <c r="R19" s="85"/>
      <c r="S19" s="85"/>
      <c r="T19" s="85"/>
    </row>
    <row r="20" spans="3:20" x14ac:dyDescent="0.25">
      <c r="C20" s="202"/>
      <c r="D20" s="202"/>
      <c r="E20" s="202"/>
      <c r="F20" s="202"/>
      <c r="H20" s="317" t="s">
        <v>556</v>
      </c>
      <c r="I20" s="317"/>
      <c r="J20" s="317" t="s">
        <v>557</v>
      </c>
      <c r="K20" s="317" t="s">
        <v>473</v>
      </c>
      <c r="L20" s="321" t="s">
        <v>558</v>
      </c>
      <c r="M20" s="321"/>
      <c r="N20" s="321"/>
      <c r="O20" s="321"/>
      <c r="P20" s="320"/>
      <c r="Q20" s="85"/>
      <c r="R20" s="85"/>
      <c r="S20" s="85"/>
      <c r="T20" s="85"/>
    </row>
    <row r="21" spans="3:20" x14ac:dyDescent="0.25">
      <c r="C21" s="202"/>
      <c r="D21" s="202"/>
      <c r="E21" s="202"/>
      <c r="F21" s="202"/>
      <c r="H21" s="318" t="s">
        <v>559</v>
      </c>
      <c r="I21" s="318"/>
      <c r="J21" s="318" t="s">
        <v>560</v>
      </c>
      <c r="K21" s="318" t="s">
        <v>561</v>
      </c>
      <c r="L21" s="322" t="s">
        <v>562</v>
      </c>
      <c r="M21" s="322"/>
      <c r="N21" s="322"/>
      <c r="O21" s="322"/>
      <c r="P21" s="319"/>
      <c r="Q21" s="85"/>
      <c r="R21" s="85"/>
      <c r="S21" s="85"/>
      <c r="T21" s="85"/>
    </row>
    <row r="22" spans="3:20" x14ac:dyDescent="0.25">
      <c r="C22" s="202"/>
      <c r="D22" s="202"/>
      <c r="E22" s="202"/>
      <c r="F22" s="202"/>
      <c r="H22" s="323"/>
      <c r="I22" s="323"/>
      <c r="J22" s="323"/>
      <c r="K22" s="323"/>
      <c r="L22" s="324" t="s">
        <v>563</v>
      </c>
      <c r="M22" s="324"/>
      <c r="N22" s="324"/>
      <c r="O22" s="324"/>
      <c r="P22" s="325"/>
      <c r="Q22" s="85"/>
      <c r="R22" s="85"/>
      <c r="S22" s="85"/>
      <c r="T22" s="85"/>
    </row>
    <row r="23" spans="3:20" x14ac:dyDescent="0.25">
      <c r="C23" s="202"/>
      <c r="D23" s="202"/>
      <c r="E23" s="202"/>
      <c r="F23" s="202"/>
      <c r="H23" s="326" t="s">
        <v>316</v>
      </c>
      <c r="I23" s="326"/>
      <c r="J23" s="326" t="s">
        <v>506</v>
      </c>
      <c r="K23" s="326" t="s">
        <v>564</v>
      </c>
      <c r="L23" s="85" t="s">
        <v>565</v>
      </c>
      <c r="M23" s="85"/>
      <c r="N23" s="85"/>
      <c r="O23" s="85"/>
      <c r="P23" s="327"/>
      <c r="Q23" s="85"/>
      <c r="R23" s="85"/>
      <c r="S23" s="85"/>
      <c r="T23" s="85"/>
    </row>
    <row r="24" spans="3:20" x14ac:dyDescent="0.25">
      <c r="C24" s="202"/>
      <c r="D24" s="202"/>
      <c r="E24" s="202"/>
      <c r="F24" s="202"/>
      <c r="H24" s="326"/>
      <c r="I24" s="326"/>
      <c r="J24" s="326"/>
      <c r="K24" s="326"/>
      <c r="L24" s="85" t="s">
        <v>566</v>
      </c>
      <c r="M24" s="85"/>
      <c r="N24" s="85"/>
      <c r="O24" s="85"/>
      <c r="P24" s="327"/>
      <c r="Q24" s="85"/>
      <c r="R24" s="85"/>
      <c r="S24" s="85"/>
      <c r="T24" s="85"/>
    </row>
    <row r="25" spans="3:20" x14ac:dyDescent="0.25">
      <c r="C25" s="202"/>
      <c r="D25" s="202"/>
      <c r="E25" s="202"/>
      <c r="F25" s="202"/>
      <c r="H25" s="326"/>
      <c r="I25" s="326"/>
      <c r="J25" s="326"/>
      <c r="K25" s="326"/>
      <c r="L25" s="85" t="s">
        <v>567</v>
      </c>
      <c r="M25" s="85"/>
      <c r="N25" s="85"/>
      <c r="O25" s="85"/>
      <c r="P25" s="327"/>
      <c r="Q25" s="85"/>
      <c r="R25" s="85"/>
      <c r="S25" s="85"/>
      <c r="T25" s="85"/>
    </row>
    <row r="26" spans="3:20" x14ac:dyDescent="0.25">
      <c r="C26" s="202"/>
      <c r="D26" s="202"/>
      <c r="E26" s="202"/>
      <c r="F26" s="202"/>
      <c r="H26" s="323"/>
      <c r="I26" s="323"/>
      <c r="J26" s="323"/>
      <c r="K26" s="323"/>
      <c r="L26" s="324" t="s">
        <v>568</v>
      </c>
      <c r="M26" s="324"/>
      <c r="N26" s="324"/>
      <c r="O26" s="324"/>
      <c r="P26" s="325"/>
      <c r="Q26" s="85"/>
      <c r="R26" s="85"/>
      <c r="S26" s="85"/>
      <c r="T26" s="85"/>
    </row>
    <row r="27" spans="3:20" x14ac:dyDescent="0.25">
      <c r="C27" s="202"/>
      <c r="D27" s="202"/>
      <c r="E27" s="202"/>
      <c r="F27" s="202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</row>
    <row r="28" spans="3:20" x14ac:dyDescent="0.25">
      <c r="C28" s="202"/>
      <c r="D28" s="202"/>
      <c r="E28" s="202"/>
      <c r="F28" s="202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</row>
    <row r="29" spans="3:20" x14ac:dyDescent="0.25">
      <c r="C29" s="202"/>
      <c r="D29" s="202"/>
      <c r="E29" s="202"/>
      <c r="F29" s="202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</row>
    <row r="30" spans="3:20" x14ac:dyDescent="0.25">
      <c r="C30" s="202"/>
      <c r="D30" s="202"/>
      <c r="E30" s="202"/>
      <c r="F30" s="202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</row>
    <row r="31" spans="3:20" x14ac:dyDescent="0.25"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</row>
    <row r="38" spans="12:20" x14ac:dyDescent="0.25">
      <c r="L38" s="19" t="s">
        <v>546</v>
      </c>
      <c r="M38" s="19" t="s">
        <v>547</v>
      </c>
    </row>
    <row r="39" spans="12:20" x14ac:dyDescent="0.25">
      <c r="L39" s="19" t="s">
        <v>550</v>
      </c>
      <c r="M39" s="19" t="s">
        <v>551</v>
      </c>
    </row>
    <row r="40" spans="12:20" x14ac:dyDescent="0.25">
      <c r="L40" s="19"/>
      <c r="M40" s="19"/>
    </row>
    <row r="41" spans="12:20" x14ac:dyDescent="0.25">
      <c r="L41" s="19" t="s">
        <v>309</v>
      </c>
      <c r="M41" s="19" t="s">
        <v>553</v>
      </c>
    </row>
    <row r="42" spans="12:20" x14ac:dyDescent="0.25">
      <c r="L42" s="19" t="s">
        <v>556</v>
      </c>
      <c r="M42" s="19" t="s">
        <v>557</v>
      </c>
    </row>
    <row r="43" spans="12:20" x14ac:dyDescent="0.25">
      <c r="L43" s="19" t="s">
        <v>559</v>
      </c>
      <c r="M43" s="19" t="s">
        <v>560</v>
      </c>
    </row>
    <row r="44" spans="12:20" x14ac:dyDescent="0.25">
      <c r="L44" s="19"/>
      <c r="M44" s="19"/>
      <c r="N44" s="19" t="s">
        <v>548</v>
      </c>
      <c r="O44" s="19" t="s">
        <v>549</v>
      </c>
      <c r="P44" s="19"/>
      <c r="Q44" s="19"/>
      <c r="R44" s="19"/>
      <c r="S44" s="19"/>
      <c r="T44" s="19"/>
    </row>
    <row r="45" spans="12:20" x14ac:dyDescent="0.25">
      <c r="L45" s="19" t="s">
        <v>316</v>
      </c>
      <c r="M45" s="19" t="s">
        <v>506</v>
      </c>
      <c r="N45" s="19" t="s">
        <v>32</v>
      </c>
      <c r="O45" s="19" t="s">
        <v>552</v>
      </c>
      <c r="P45" s="19"/>
      <c r="Q45" s="19"/>
      <c r="R45" s="19"/>
      <c r="S45" s="19"/>
      <c r="T45" s="19"/>
    </row>
    <row r="46" spans="12:20" x14ac:dyDescent="0.25">
      <c r="L46" s="19"/>
      <c r="M46" s="19"/>
      <c r="N46" s="19"/>
      <c r="O46" s="19" t="s">
        <v>555</v>
      </c>
      <c r="P46" s="19"/>
      <c r="Q46" s="19"/>
      <c r="R46" s="19"/>
      <c r="S46" s="19"/>
      <c r="T46" s="19"/>
    </row>
    <row r="47" spans="12:20" x14ac:dyDescent="0.25">
      <c r="L47" s="19"/>
      <c r="M47" s="19"/>
      <c r="N47" s="19" t="s">
        <v>554</v>
      </c>
      <c r="O47" s="19" t="s">
        <v>558</v>
      </c>
      <c r="P47" s="19"/>
      <c r="Q47" s="19"/>
      <c r="R47" s="19"/>
      <c r="S47" s="19"/>
      <c r="T47" s="19"/>
    </row>
    <row r="48" spans="12:20" x14ac:dyDescent="0.25">
      <c r="N48" s="19" t="s">
        <v>473</v>
      </c>
      <c r="O48" s="19" t="s">
        <v>562</v>
      </c>
      <c r="P48" s="19"/>
      <c r="Q48" s="19"/>
      <c r="R48" s="19"/>
      <c r="S48" s="19"/>
      <c r="T48" s="19"/>
    </row>
    <row r="49" spans="14:20" x14ac:dyDescent="0.25">
      <c r="N49" s="19" t="s">
        <v>561</v>
      </c>
      <c r="O49" s="19" t="s">
        <v>563</v>
      </c>
      <c r="P49" s="19"/>
      <c r="Q49" s="19"/>
      <c r="R49" s="19"/>
      <c r="S49" s="19"/>
      <c r="T49" s="19"/>
    </row>
    <row r="50" spans="14:20" x14ac:dyDescent="0.25">
      <c r="N50" s="19"/>
      <c r="O50" s="19" t="s">
        <v>565</v>
      </c>
      <c r="P50" s="19"/>
      <c r="Q50" s="19"/>
      <c r="R50" s="19"/>
      <c r="S50" s="19"/>
      <c r="T50" s="19"/>
    </row>
    <row r="51" spans="14:20" x14ac:dyDescent="0.25">
      <c r="N51" s="19" t="s">
        <v>564</v>
      </c>
      <c r="O51" s="19" t="s">
        <v>566</v>
      </c>
      <c r="P51" s="19"/>
      <c r="Q51" s="19"/>
      <c r="R51" s="19"/>
      <c r="S51" s="19"/>
      <c r="T51" s="19"/>
    </row>
    <row r="52" spans="14:20" x14ac:dyDescent="0.25">
      <c r="N52" s="19"/>
      <c r="O52" s="19" t="s">
        <v>567</v>
      </c>
      <c r="P52" s="19"/>
      <c r="Q52" s="19"/>
      <c r="R52" s="19"/>
      <c r="S52" s="19"/>
      <c r="T52" s="19"/>
    </row>
    <row r="53" spans="14:20" x14ac:dyDescent="0.25">
      <c r="N53" s="19"/>
      <c r="O53" s="19" t="s">
        <v>568</v>
      </c>
      <c r="P53" s="19"/>
      <c r="Q53" s="19"/>
      <c r="R53" s="19"/>
      <c r="S53" s="19"/>
      <c r="T53" s="1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E8F7C-C188-420B-AC7B-18390425512E}">
  <sheetPr codeName="Sheet10"/>
  <dimension ref="B2:R88"/>
  <sheetViews>
    <sheetView topLeftCell="C1" zoomScale="80" zoomScaleNormal="80" workbookViewId="0">
      <selection activeCell="T19" sqref="T19"/>
    </sheetView>
  </sheetViews>
  <sheetFormatPr defaultRowHeight="15" x14ac:dyDescent="0.25"/>
  <cols>
    <col min="6" max="6" width="19.7109375" customWidth="1"/>
    <col min="7" max="7" width="10.28515625" customWidth="1"/>
    <col min="8" max="8" width="9.5703125" customWidth="1"/>
    <col min="9" max="9" width="16.28515625" customWidth="1"/>
    <col min="10" max="10" width="24.85546875" customWidth="1"/>
    <col min="11" max="11" width="12.140625" customWidth="1"/>
    <col min="12" max="12" width="18.42578125" customWidth="1"/>
    <col min="13" max="13" width="29.85546875" customWidth="1"/>
    <col min="14" max="14" width="70.140625" customWidth="1"/>
    <col min="15" max="16" width="13.85546875" customWidth="1"/>
    <col min="18" max="18" width="21" customWidth="1"/>
    <col min="19" max="19" width="16.85546875" customWidth="1"/>
    <col min="20" max="20" width="15" customWidth="1"/>
    <col min="21" max="21" width="18.7109375" customWidth="1"/>
    <col min="22" max="22" width="18.5703125" customWidth="1"/>
    <col min="23" max="23" width="18.28515625" customWidth="1"/>
    <col min="25" max="25" width="17.85546875" customWidth="1"/>
    <col min="26" max="26" width="18.7109375" customWidth="1"/>
    <col min="27" max="27" width="24.85546875" customWidth="1"/>
  </cols>
  <sheetData>
    <row r="2" spans="2:18" ht="92.25" x14ac:dyDescent="1.35">
      <c r="B2" s="202"/>
      <c r="C2" s="202"/>
      <c r="D2" s="202"/>
      <c r="E2" s="202"/>
      <c r="F2" s="313" t="s">
        <v>569</v>
      </c>
      <c r="G2" s="202"/>
      <c r="H2" s="202"/>
      <c r="I2" s="202"/>
      <c r="J2" s="202"/>
      <c r="K2" s="202"/>
      <c r="L2" s="202"/>
    </row>
    <row r="3" spans="2:18" x14ac:dyDescent="0.25"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</row>
    <row r="4" spans="2:18" x14ac:dyDescent="0.25"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</row>
    <row r="5" spans="2:18" x14ac:dyDescent="0.25"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</row>
    <row r="6" spans="2:18" x14ac:dyDescent="0.25">
      <c r="B6" s="202"/>
      <c r="C6" s="202"/>
      <c r="D6" s="202"/>
      <c r="E6" s="202"/>
      <c r="F6" s="202"/>
      <c r="G6" s="202"/>
      <c r="H6" s="202"/>
      <c r="I6" s="202"/>
      <c r="J6" s="202"/>
      <c r="K6" s="202"/>
      <c r="L6" s="202"/>
    </row>
    <row r="7" spans="2:18" x14ac:dyDescent="0.25">
      <c r="B7" s="202"/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</row>
    <row r="8" spans="2:18" x14ac:dyDescent="0.25">
      <c r="B8" s="202"/>
      <c r="C8" s="202"/>
      <c r="D8" s="202"/>
      <c r="E8" s="202"/>
      <c r="F8" s="202"/>
      <c r="G8" s="202"/>
      <c r="H8" s="202"/>
      <c r="I8" s="202"/>
      <c r="J8" s="202"/>
      <c r="K8" s="202"/>
      <c r="L8" s="202"/>
      <c r="M8" s="202"/>
    </row>
    <row r="9" spans="2:18" x14ac:dyDescent="0.25">
      <c r="B9" s="202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</row>
    <row r="10" spans="2:18" x14ac:dyDescent="0.25">
      <c r="B10" s="202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</row>
    <row r="11" spans="2:18" x14ac:dyDescent="0.25">
      <c r="B11" s="202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</row>
    <row r="12" spans="2:18" x14ac:dyDescent="0.25">
      <c r="B12" s="202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</row>
    <row r="13" spans="2:18" x14ac:dyDescent="0.25">
      <c r="B13" s="202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</row>
    <row r="14" spans="2:18" x14ac:dyDescent="0.25">
      <c r="B14" s="202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</row>
    <row r="15" spans="2:18" x14ac:dyDescent="0.25">
      <c r="B15" s="202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</row>
    <row r="16" spans="2:18" x14ac:dyDescent="0.25">
      <c r="B16" s="202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</row>
    <row r="17" spans="2:13" x14ac:dyDescent="0.25">
      <c r="B17" s="202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</row>
    <row r="18" spans="2:13" x14ac:dyDescent="0.25">
      <c r="B18" s="202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</row>
    <row r="19" spans="2:13" x14ac:dyDescent="0.25">
      <c r="B19" s="202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</row>
    <row r="20" spans="2:13" x14ac:dyDescent="0.25">
      <c r="B20" s="202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</row>
    <row r="21" spans="2:13" x14ac:dyDescent="0.25">
      <c r="B21" s="202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</row>
    <row r="22" spans="2:13" x14ac:dyDescent="0.25">
      <c r="B22" s="202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</row>
    <row r="23" spans="2:13" x14ac:dyDescent="0.25">
      <c r="B23" s="202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</row>
    <row r="24" spans="2:13" x14ac:dyDescent="0.25">
      <c r="B24" s="202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</row>
    <row r="25" spans="2:13" x14ac:dyDescent="0.25">
      <c r="B25" s="202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</row>
    <row r="26" spans="2:13" x14ac:dyDescent="0.25">
      <c r="B26" s="202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</row>
    <row r="27" spans="2:13" x14ac:dyDescent="0.25">
      <c r="B27" s="202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</row>
    <row r="28" spans="2:13" x14ac:dyDescent="0.25">
      <c r="B28" s="202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</row>
    <row r="29" spans="2:13" x14ac:dyDescent="0.25">
      <c r="B29" s="202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</row>
    <row r="30" spans="2:13" x14ac:dyDescent="0.25">
      <c r="B30" s="202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</row>
    <row r="31" spans="2:13" x14ac:dyDescent="0.25">
      <c r="B31" s="202"/>
      <c r="C31" s="202"/>
      <c r="D31" s="202"/>
      <c r="E31" s="202"/>
      <c r="F31" s="202"/>
      <c r="G31" s="202"/>
      <c r="H31" s="202"/>
      <c r="I31" s="202"/>
      <c r="J31" s="202"/>
      <c r="K31" s="202"/>
      <c r="L31" s="202"/>
      <c r="M31" s="202"/>
    </row>
    <row r="32" spans="2:13" x14ac:dyDescent="0.25">
      <c r="B32" s="202"/>
      <c r="C32" s="202"/>
      <c r="D32" s="202"/>
      <c r="E32" s="202"/>
      <c r="F32" s="202"/>
      <c r="G32" s="202"/>
      <c r="H32" s="202"/>
      <c r="I32" s="202"/>
      <c r="J32" s="202"/>
      <c r="K32" s="202"/>
      <c r="L32" s="202"/>
      <c r="M32" s="202"/>
    </row>
    <row r="33" spans="2:18" x14ac:dyDescent="0.25">
      <c r="B33" s="202"/>
      <c r="C33" s="202"/>
      <c r="D33" s="202"/>
      <c r="E33" s="202"/>
      <c r="F33" s="202"/>
      <c r="G33" s="202"/>
      <c r="H33" s="202"/>
      <c r="I33" s="202"/>
      <c r="J33" s="202"/>
      <c r="K33" s="202"/>
      <c r="L33" s="202"/>
      <c r="M33" s="202"/>
    </row>
    <row r="34" spans="2:18" x14ac:dyDescent="0.25">
      <c r="B34" s="202"/>
      <c r="C34" s="202"/>
      <c r="D34" s="202"/>
      <c r="E34" s="202"/>
      <c r="F34" s="202"/>
      <c r="G34" s="202"/>
      <c r="H34" s="202"/>
      <c r="I34" s="202"/>
      <c r="J34" s="202"/>
      <c r="K34" s="202"/>
      <c r="L34" s="202"/>
      <c r="M34" s="202"/>
    </row>
    <row r="35" spans="2:18" x14ac:dyDescent="0.25">
      <c r="B35" s="202"/>
      <c r="C35" s="202"/>
      <c r="D35" s="202"/>
      <c r="E35" s="202"/>
      <c r="F35" s="202"/>
      <c r="G35" s="202"/>
      <c r="H35" s="202"/>
      <c r="I35" s="202"/>
      <c r="J35" s="202"/>
      <c r="K35" s="202"/>
      <c r="L35" s="202"/>
      <c r="M35" s="202"/>
    </row>
    <row r="36" spans="2:18" x14ac:dyDescent="0.25">
      <c r="B36" s="202"/>
      <c r="C36" s="202"/>
      <c r="D36" s="202"/>
      <c r="E36" s="202"/>
      <c r="F36" s="202"/>
      <c r="G36" s="202"/>
      <c r="H36" s="202"/>
      <c r="I36" s="202"/>
      <c r="J36" s="202"/>
      <c r="K36" s="202"/>
      <c r="L36" s="202"/>
      <c r="M36" s="202"/>
    </row>
    <row r="37" spans="2:18" x14ac:dyDescent="0.25">
      <c r="B37" s="202"/>
      <c r="C37" s="202"/>
      <c r="D37" s="202"/>
      <c r="E37" s="202"/>
      <c r="F37" s="202"/>
      <c r="G37" s="202"/>
      <c r="H37" s="202"/>
      <c r="I37" s="202"/>
      <c r="J37" s="202"/>
      <c r="K37" s="202"/>
      <c r="L37" s="202"/>
      <c r="M37" s="202"/>
    </row>
    <row r="38" spans="2:18" x14ac:dyDescent="0.25">
      <c r="B38" s="202"/>
      <c r="C38" s="202"/>
      <c r="D38" s="202"/>
      <c r="E38" s="202"/>
      <c r="F38" s="202"/>
      <c r="G38" s="202"/>
      <c r="H38" s="202"/>
      <c r="I38" s="202"/>
      <c r="J38" s="202"/>
      <c r="K38" s="202"/>
      <c r="L38" s="202"/>
      <c r="M38" s="202"/>
      <c r="N38" s="202"/>
      <c r="O38" s="202"/>
      <c r="P38" s="202"/>
      <c r="Q38" s="202"/>
      <c r="R38" s="202"/>
    </row>
    <row r="39" spans="2:18" x14ac:dyDescent="0.25">
      <c r="B39" s="202"/>
      <c r="C39" s="202"/>
      <c r="D39" s="202"/>
      <c r="E39" s="202"/>
      <c r="F39" s="202"/>
      <c r="G39" s="202"/>
      <c r="H39" s="202"/>
      <c r="I39" s="202"/>
      <c r="J39" s="202"/>
      <c r="K39" s="202"/>
      <c r="L39" s="202"/>
      <c r="M39" s="202"/>
    </row>
    <row r="40" spans="2:18" x14ac:dyDescent="0.25">
      <c r="B40" s="202"/>
      <c r="C40" s="202"/>
      <c r="D40" s="202"/>
      <c r="E40" s="202"/>
      <c r="F40" s="202"/>
      <c r="G40" s="202"/>
      <c r="H40" s="202"/>
      <c r="I40" s="202"/>
      <c r="J40" s="202"/>
      <c r="K40" s="202"/>
      <c r="L40" s="202"/>
      <c r="M40" s="202"/>
    </row>
    <row r="41" spans="2:18" x14ac:dyDescent="0.25">
      <c r="B41" s="202"/>
      <c r="C41" s="202"/>
      <c r="D41" s="202"/>
      <c r="E41" s="202"/>
      <c r="F41" s="202"/>
      <c r="G41" s="202"/>
      <c r="H41" s="202"/>
      <c r="I41" s="202"/>
      <c r="J41" s="202"/>
      <c r="K41" s="202"/>
      <c r="L41" s="202"/>
      <c r="M41" s="202"/>
    </row>
    <row r="42" spans="2:18" x14ac:dyDescent="0.25">
      <c r="D42" s="202"/>
      <c r="E42" s="202"/>
      <c r="F42" s="202"/>
      <c r="G42" s="202"/>
      <c r="H42" s="202"/>
      <c r="I42" s="202"/>
      <c r="J42" s="202"/>
      <c r="K42" s="202"/>
      <c r="L42" s="202"/>
      <c r="M42" s="202"/>
    </row>
    <row r="43" spans="2:18" ht="26.25" x14ac:dyDescent="0.4">
      <c r="D43" s="202"/>
      <c r="E43" s="202"/>
      <c r="F43" s="373"/>
      <c r="G43" s="202"/>
      <c r="H43" s="202"/>
      <c r="I43" s="202"/>
      <c r="J43" s="202"/>
      <c r="K43" s="202"/>
      <c r="L43" s="202"/>
      <c r="M43" s="202"/>
    </row>
    <row r="44" spans="2:18" x14ac:dyDescent="0.25">
      <c r="D44" s="202"/>
      <c r="E44" s="202"/>
      <c r="F44" s="202"/>
      <c r="G44" s="202"/>
      <c r="H44" s="202"/>
      <c r="I44" s="202"/>
      <c r="J44" s="202"/>
      <c r="K44" s="202"/>
      <c r="L44" s="202"/>
      <c r="M44" s="202"/>
    </row>
    <row r="45" spans="2:18" x14ac:dyDescent="0.25">
      <c r="D45" s="202"/>
      <c r="E45" s="202"/>
      <c r="F45" s="202"/>
      <c r="G45" s="202"/>
      <c r="H45" s="202"/>
      <c r="I45" s="202"/>
      <c r="J45" s="202"/>
      <c r="K45" s="202"/>
      <c r="L45" s="202"/>
      <c r="M45" s="202"/>
    </row>
    <row r="46" spans="2:18" x14ac:dyDescent="0.25">
      <c r="D46" s="202"/>
      <c r="E46" s="202"/>
      <c r="F46" s="202"/>
      <c r="G46" s="202"/>
      <c r="H46" s="202"/>
      <c r="I46" s="202"/>
      <c r="J46" s="202"/>
      <c r="K46" s="202"/>
      <c r="L46" s="202"/>
      <c r="M46" s="202"/>
    </row>
    <row r="47" spans="2:18" x14ac:dyDescent="0.25">
      <c r="D47" s="202"/>
      <c r="E47" s="202"/>
      <c r="F47" s="202"/>
      <c r="G47" s="202"/>
      <c r="H47" s="202"/>
      <c r="I47" s="202"/>
      <c r="J47" s="202"/>
      <c r="K47" s="202"/>
      <c r="L47" s="202"/>
      <c r="M47" s="202"/>
    </row>
    <row r="48" spans="2:18" x14ac:dyDescent="0.25">
      <c r="D48" s="202"/>
      <c r="E48" s="202"/>
      <c r="F48" s="202"/>
      <c r="G48" s="202"/>
      <c r="H48" s="202"/>
      <c r="I48" s="202"/>
      <c r="J48" s="202"/>
      <c r="K48" s="202"/>
      <c r="L48" s="202"/>
      <c r="M48" s="202"/>
    </row>
    <row r="49" spans="4:13" x14ac:dyDescent="0.25">
      <c r="D49" s="202"/>
      <c r="E49" s="202"/>
      <c r="F49" s="202"/>
      <c r="G49" s="202"/>
      <c r="H49" s="202"/>
      <c r="I49" s="202"/>
      <c r="J49" s="202"/>
      <c r="K49" s="202"/>
      <c r="L49" s="202"/>
      <c r="M49" s="202"/>
    </row>
    <row r="50" spans="4:13" x14ac:dyDescent="0.25">
      <c r="D50" s="202"/>
      <c r="E50" s="202"/>
      <c r="F50" s="202"/>
      <c r="G50" s="202"/>
      <c r="H50" s="202"/>
      <c r="I50" s="202"/>
      <c r="J50" s="202"/>
      <c r="K50" s="202"/>
      <c r="L50" s="202"/>
      <c r="M50" s="202"/>
    </row>
    <row r="51" spans="4:13" x14ac:dyDescent="0.25">
      <c r="D51" s="202"/>
      <c r="E51" s="202"/>
      <c r="F51" s="202"/>
      <c r="G51" s="202"/>
      <c r="H51" s="202"/>
      <c r="I51" s="202"/>
      <c r="J51" s="202"/>
      <c r="K51" s="202"/>
      <c r="L51" s="202"/>
      <c r="M51" s="202"/>
    </row>
    <row r="52" spans="4:13" x14ac:dyDescent="0.25">
      <c r="D52" s="202"/>
      <c r="E52" s="202"/>
      <c r="F52" s="202"/>
      <c r="G52" s="202"/>
      <c r="H52" s="202"/>
      <c r="I52" s="202"/>
      <c r="J52" s="202"/>
      <c r="K52" s="202"/>
      <c r="L52" s="202"/>
      <c r="M52" s="202"/>
    </row>
    <row r="53" spans="4:13" x14ac:dyDescent="0.25">
      <c r="D53" s="202"/>
      <c r="E53" s="202"/>
      <c r="F53" s="202"/>
      <c r="G53" s="202"/>
      <c r="H53" s="202"/>
      <c r="I53" s="202"/>
      <c r="J53" s="202"/>
      <c r="K53" s="202"/>
      <c r="L53" s="202"/>
      <c r="M53" s="202"/>
    </row>
    <row r="54" spans="4:13" x14ac:dyDescent="0.25">
      <c r="D54" s="202"/>
      <c r="E54" s="202"/>
      <c r="F54" s="202"/>
      <c r="G54" s="202"/>
      <c r="H54" s="202"/>
      <c r="I54" s="202"/>
      <c r="J54" s="202"/>
      <c r="K54" s="202"/>
      <c r="L54" s="202"/>
      <c r="M54" s="202"/>
    </row>
    <row r="55" spans="4:13" x14ac:dyDescent="0.25">
      <c r="D55" s="202"/>
      <c r="E55" s="202"/>
      <c r="F55" s="202"/>
      <c r="G55" s="202"/>
      <c r="H55" s="202"/>
      <c r="I55" s="202"/>
      <c r="J55" s="202"/>
      <c r="K55" s="202"/>
      <c r="L55" s="202"/>
      <c r="M55" s="202"/>
    </row>
    <row r="70" spans="10:14" x14ac:dyDescent="0.25">
      <c r="J70" s="31" t="s">
        <v>30</v>
      </c>
      <c r="K70" s="25" t="s">
        <v>334</v>
      </c>
      <c r="L70" s="31" t="s">
        <v>335</v>
      </c>
      <c r="M70" s="19" t="s">
        <v>336</v>
      </c>
      <c r="N70" s="19" t="s">
        <v>337</v>
      </c>
    </row>
    <row r="71" spans="10:14" x14ac:dyDescent="0.25">
      <c r="J71" s="31" t="s">
        <v>338</v>
      </c>
      <c r="K71" s="25" t="s">
        <v>339</v>
      </c>
      <c r="L71" s="25" t="s">
        <v>340</v>
      </c>
      <c r="M71" s="41" t="s">
        <v>341</v>
      </c>
      <c r="N71" s="19" t="s">
        <v>342</v>
      </c>
    </row>
    <row r="72" spans="10:14" x14ac:dyDescent="0.25">
      <c r="J72" s="33"/>
      <c r="K72" s="27"/>
      <c r="L72" s="27" t="s">
        <v>343</v>
      </c>
      <c r="M72" s="41" t="s">
        <v>344</v>
      </c>
      <c r="N72" s="19" t="s">
        <v>345</v>
      </c>
    </row>
    <row r="73" spans="10:14" x14ac:dyDescent="0.25">
      <c r="J73" s="33"/>
      <c r="K73" s="27"/>
      <c r="L73" s="27"/>
      <c r="M73" s="41" t="s">
        <v>263</v>
      </c>
      <c r="N73" s="19" t="s">
        <v>346</v>
      </c>
    </row>
    <row r="74" spans="10:14" x14ac:dyDescent="0.25">
      <c r="J74" s="33"/>
      <c r="K74" s="27"/>
      <c r="L74" s="27"/>
      <c r="M74" s="41" t="s">
        <v>347</v>
      </c>
      <c r="N74" s="19" t="s">
        <v>325</v>
      </c>
    </row>
    <row r="75" spans="10:14" x14ac:dyDescent="0.25">
      <c r="J75" s="31" t="s">
        <v>348</v>
      </c>
      <c r="K75" s="25" t="s">
        <v>349</v>
      </c>
      <c r="L75" s="25" t="s">
        <v>350</v>
      </c>
      <c r="M75" s="41" t="s">
        <v>341</v>
      </c>
      <c r="N75" s="19" t="s">
        <v>342</v>
      </c>
    </row>
    <row r="76" spans="10:14" x14ac:dyDescent="0.25">
      <c r="J76" s="33" t="s">
        <v>351</v>
      </c>
      <c r="K76" s="27"/>
      <c r="L76" s="27" t="s">
        <v>343</v>
      </c>
      <c r="M76" s="41" t="s">
        <v>344</v>
      </c>
      <c r="N76" s="19" t="s">
        <v>345</v>
      </c>
    </row>
    <row r="77" spans="10:14" x14ac:dyDescent="0.25">
      <c r="J77" s="33"/>
      <c r="K77" s="27"/>
      <c r="L77" s="27"/>
      <c r="M77" s="41" t="s">
        <v>263</v>
      </c>
      <c r="N77" s="19" t="s">
        <v>352</v>
      </c>
    </row>
    <row r="78" spans="10:14" x14ac:dyDescent="0.25">
      <c r="J78" s="33"/>
      <c r="K78" s="27"/>
      <c r="L78" s="27"/>
      <c r="M78" s="41" t="s">
        <v>347</v>
      </c>
      <c r="N78" s="19" t="s">
        <v>325</v>
      </c>
    </row>
    <row r="79" spans="10:14" x14ac:dyDescent="0.25">
      <c r="J79" s="33"/>
      <c r="K79" s="27"/>
      <c r="L79" s="27"/>
      <c r="M79" s="41" t="s">
        <v>353</v>
      </c>
      <c r="N79" s="19" t="s">
        <v>354</v>
      </c>
    </row>
    <row r="80" spans="10:14" x14ac:dyDescent="0.25">
      <c r="J80" s="33"/>
      <c r="K80" s="27"/>
      <c r="L80" s="27"/>
      <c r="M80" s="41" t="s">
        <v>355</v>
      </c>
      <c r="N80" s="19" t="s">
        <v>356</v>
      </c>
    </row>
    <row r="81" spans="10:14" x14ac:dyDescent="0.25">
      <c r="J81" s="33"/>
      <c r="K81" s="27"/>
      <c r="L81" s="27"/>
      <c r="M81" s="41" t="s">
        <v>357</v>
      </c>
      <c r="N81" s="19" t="s">
        <v>358</v>
      </c>
    </row>
    <row r="82" spans="10:14" x14ac:dyDescent="0.25">
      <c r="J82" s="31" t="s">
        <v>359</v>
      </c>
      <c r="K82" s="25" t="s">
        <v>349</v>
      </c>
      <c r="L82" s="25" t="s">
        <v>350</v>
      </c>
      <c r="M82" s="41" t="s">
        <v>360</v>
      </c>
      <c r="N82" s="19" t="s">
        <v>342</v>
      </c>
    </row>
    <row r="83" spans="10:14" x14ac:dyDescent="0.25">
      <c r="J83" s="33" t="s">
        <v>361</v>
      </c>
      <c r="K83" s="27"/>
      <c r="L83" s="27" t="s">
        <v>343</v>
      </c>
      <c r="M83" s="41" t="s">
        <v>344</v>
      </c>
      <c r="N83" s="19" t="s">
        <v>345</v>
      </c>
    </row>
    <row r="84" spans="10:14" x14ac:dyDescent="0.25">
      <c r="J84" s="33"/>
      <c r="K84" s="27"/>
      <c r="L84" s="27"/>
      <c r="M84" s="41" t="s">
        <v>263</v>
      </c>
      <c r="N84" s="19" t="s">
        <v>352</v>
      </c>
    </row>
    <row r="85" spans="10:14" x14ac:dyDescent="0.25">
      <c r="J85" s="33"/>
      <c r="K85" s="27"/>
      <c r="L85" s="27"/>
      <c r="M85" s="41" t="s">
        <v>347</v>
      </c>
      <c r="N85" s="19" t="s">
        <v>325</v>
      </c>
    </row>
    <row r="86" spans="10:14" x14ac:dyDescent="0.25">
      <c r="J86" s="33"/>
      <c r="K86" s="27"/>
      <c r="L86" s="27"/>
      <c r="M86" s="41" t="s">
        <v>362</v>
      </c>
      <c r="N86" s="19" t="s">
        <v>363</v>
      </c>
    </row>
    <row r="87" spans="10:14" x14ac:dyDescent="0.25">
      <c r="J87" s="33"/>
      <c r="K87" s="27"/>
      <c r="L87" s="27"/>
      <c r="M87" s="41" t="s">
        <v>355</v>
      </c>
      <c r="N87" s="19" t="s">
        <v>356</v>
      </c>
    </row>
    <row r="88" spans="10:14" x14ac:dyDescent="0.25">
      <c r="J88" s="32"/>
      <c r="K88" s="30"/>
      <c r="L88" s="30"/>
      <c r="M88" s="41" t="s">
        <v>357</v>
      </c>
      <c r="N88" s="19" t="s">
        <v>358</v>
      </c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C5206-96B7-43C2-BFA7-40CE90D8436A}">
  <sheetPr codeName="Sheet11"/>
  <dimension ref="C4:AL121"/>
  <sheetViews>
    <sheetView zoomScale="90" zoomScaleNormal="90" workbookViewId="0">
      <selection activeCell="N20" sqref="N20"/>
    </sheetView>
  </sheetViews>
  <sheetFormatPr defaultRowHeight="15" x14ac:dyDescent="0.25"/>
  <cols>
    <col min="3" max="3" width="34.28515625" customWidth="1"/>
    <col min="4" max="4" width="38.28515625" customWidth="1"/>
    <col min="5" max="5" width="23.140625" customWidth="1"/>
    <col min="6" max="6" width="28.140625" customWidth="1"/>
    <col min="7" max="7" width="35.42578125" customWidth="1"/>
    <col min="8" max="8" width="10.28515625" customWidth="1"/>
    <col min="9" max="9" width="19.140625" customWidth="1"/>
    <col min="10" max="10" width="21" customWidth="1"/>
    <col min="11" max="13" width="19.28515625" customWidth="1"/>
    <col min="14" max="14" width="23.42578125" customWidth="1"/>
    <col min="15" max="15" width="10" customWidth="1"/>
    <col min="16" max="16" width="43.7109375" customWidth="1"/>
    <col min="17" max="22" width="19.28515625" customWidth="1"/>
    <col min="23" max="23" width="22.5703125" customWidth="1"/>
    <col min="28" max="28" width="23.140625" customWidth="1"/>
    <col min="29" max="29" width="17.85546875" customWidth="1"/>
    <col min="30" max="30" width="14.140625" customWidth="1"/>
    <col min="31" max="31" width="12.5703125" customWidth="1"/>
    <col min="32" max="32" width="27.28515625" customWidth="1"/>
    <col min="33" max="33" width="13" customWidth="1"/>
    <col min="34" max="34" width="16.140625" customWidth="1"/>
    <col min="37" max="37" width="33.42578125" customWidth="1"/>
    <col min="38" max="38" width="21.85546875" customWidth="1"/>
  </cols>
  <sheetData>
    <row r="4" spans="3:38" x14ac:dyDescent="0.25">
      <c r="E4" s="202"/>
      <c r="F4" s="202"/>
      <c r="G4" s="202"/>
      <c r="H4" s="202"/>
      <c r="I4" s="202"/>
      <c r="J4" s="202"/>
      <c r="K4" s="202"/>
      <c r="L4" s="202"/>
      <c r="M4" s="202"/>
      <c r="N4" s="202"/>
    </row>
    <row r="5" spans="3:38" x14ac:dyDescent="0.25">
      <c r="E5" s="202"/>
      <c r="F5" s="202"/>
      <c r="G5" s="202"/>
      <c r="H5" s="202"/>
      <c r="I5" s="202"/>
      <c r="J5" s="202"/>
      <c r="K5" s="202"/>
      <c r="L5" s="202"/>
      <c r="M5" s="202"/>
      <c r="N5" s="202"/>
    </row>
    <row r="6" spans="3:38" x14ac:dyDescent="0.25">
      <c r="E6" s="202"/>
      <c r="F6" s="202"/>
      <c r="G6" s="202"/>
      <c r="H6" s="202"/>
      <c r="I6" s="202"/>
      <c r="J6" s="202"/>
      <c r="K6" s="202"/>
      <c r="L6" s="202"/>
      <c r="M6" s="202"/>
      <c r="N6" s="202"/>
    </row>
    <row r="7" spans="3:38" x14ac:dyDescent="0.25">
      <c r="E7" s="202"/>
      <c r="F7" s="202"/>
      <c r="G7" s="202"/>
      <c r="H7" s="202"/>
      <c r="I7" s="202"/>
      <c r="J7" s="202"/>
      <c r="K7" s="202"/>
      <c r="L7" s="202"/>
      <c r="M7" s="202"/>
      <c r="N7" s="202"/>
    </row>
    <row r="8" spans="3:38" x14ac:dyDescent="0.25">
      <c r="E8" s="202"/>
      <c r="F8" s="202"/>
      <c r="G8" s="202"/>
      <c r="H8" s="202"/>
      <c r="I8" s="202"/>
      <c r="J8" s="202"/>
      <c r="K8" s="202"/>
      <c r="L8" s="202"/>
      <c r="M8" s="202"/>
      <c r="N8" s="202"/>
    </row>
    <row r="9" spans="3:38" ht="26.25" x14ac:dyDescent="0.4">
      <c r="C9" s="333" t="s">
        <v>570</v>
      </c>
      <c r="D9" s="334"/>
      <c r="E9" s="202"/>
      <c r="F9" s="202"/>
      <c r="G9" s="202"/>
      <c r="H9" s="202"/>
      <c r="I9" s="202"/>
      <c r="J9" s="202"/>
      <c r="K9" s="202"/>
      <c r="L9" s="202"/>
      <c r="M9" s="202"/>
      <c r="N9" s="202"/>
    </row>
    <row r="10" spans="3:38" x14ac:dyDescent="0.25">
      <c r="C10" s="283" t="s">
        <v>571</v>
      </c>
      <c r="D10" s="283">
        <v>9000</v>
      </c>
      <c r="E10" s="355"/>
      <c r="F10" s="355"/>
      <c r="G10" s="355"/>
      <c r="H10" s="355"/>
      <c r="I10" s="355"/>
      <c r="J10" s="355"/>
      <c r="K10" s="355"/>
      <c r="L10" s="355"/>
      <c r="M10" s="355"/>
      <c r="N10" s="355"/>
      <c r="O10" s="56"/>
      <c r="P10" s="56"/>
      <c r="Q10" s="56"/>
      <c r="R10" s="56"/>
      <c r="S10" s="56"/>
      <c r="T10" s="56"/>
      <c r="U10" s="56"/>
      <c r="V10" s="56"/>
      <c r="W10" s="56"/>
      <c r="AK10" t="s">
        <v>571</v>
      </c>
      <c r="AL10">
        <v>8200</v>
      </c>
    </row>
    <row r="11" spans="3:38" x14ac:dyDescent="0.25">
      <c r="C11" s="283" t="s">
        <v>572</v>
      </c>
      <c r="D11" s="283">
        <v>2.5</v>
      </c>
      <c r="E11" s="355"/>
      <c r="F11" s="355"/>
      <c r="G11" s="355"/>
      <c r="H11" s="355"/>
      <c r="I11" s="355"/>
      <c r="J11" s="355"/>
      <c r="K11" s="355"/>
      <c r="L11" s="355"/>
      <c r="M11" s="355"/>
      <c r="N11" s="355"/>
      <c r="O11" s="56"/>
      <c r="P11" s="56"/>
      <c r="Q11" s="56"/>
      <c r="R11" s="56"/>
      <c r="S11" s="56"/>
      <c r="T11" s="56"/>
      <c r="U11" s="56"/>
      <c r="V11" s="56"/>
      <c r="W11" s="56"/>
      <c r="AK11" t="s">
        <v>572</v>
      </c>
      <c r="AL11">
        <v>2.5</v>
      </c>
    </row>
    <row r="12" spans="3:38" x14ac:dyDescent="0.25">
      <c r="C12" s="283" t="s">
        <v>573</v>
      </c>
      <c r="D12" s="283">
        <v>3116</v>
      </c>
      <c r="E12" s="355"/>
      <c r="F12" s="355"/>
      <c r="G12" s="355"/>
      <c r="H12" s="355"/>
      <c r="I12" s="355"/>
      <c r="J12" s="355"/>
      <c r="K12" s="355"/>
      <c r="L12" s="355"/>
      <c r="M12" s="355"/>
      <c r="N12" s="355"/>
      <c r="O12" s="56"/>
      <c r="P12" s="56"/>
      <c r="Q12" s="56"/>
      <c r="R12" s="56"/>
      <c r="S12" s="56"/>
      <c r="T12" s="56"/>
      <c r="U12" s="56"/>
      <c r="V12" s="56"/>
      <c r="W12" s="56"/>
      <c r="AK12" t="s">
        <v>573</v>
      </c>
      <c r="AL12">
        <v>2500</v>
      </c>
    </row>
    <row r="13" spans="3:38" x14ac:dyDescent="0.25">
      <c r="C13" s="283" t="s">
        <v>574</v>
      </c>
      <c r="D13" s="283">
        <v>3300</v>
      </c>
      <c r="E13" s="355"/>
      <c r="F13" s="355"/>
      <c r="G13" s="355"/>
      <c r="H13" s="355"/>
      <c r="I13" s="355"/>
      <c r="J13" s="355"/>
      <c r="K13" s="355"/>
      <c r="L13" s="355"/>
      <c r="M13" s="355"/>
      <c r="N13" s="355"/>
      <c r="O13" s="56"/>
      <c r="P13" s="56"/>
      <c r="Q13" s="56"/>
      <c r="R13" s="56"/>
      <c r="S13" s="56"/>
      <c r="T13" s="56"/>
      <c r="U13" s="56"/>
      <c r="V13" s="56"/>
      <c r="W13" s="56"/>
      <c r="AK13" t="s">
        <v>574</v>
      </c>
      <c r="AL13">
        <v>3800</v>
      </c>
    </row>
    <row r="14" spans="3:38" x14ac:dyDescent="0.25">
      <c r="C14" s="56"/>
      <c r="D14" s="56"/>
      <c r="E14" s="355"/>
      <c r="F14" s="355"/>
      <c r="G14" s="355"/>
      <c r="H14" s="355"/>
      <c r="I14" s="355"/>
      <c r="J14" s="355"/>
      <c r="K14" s="355"/>
      <c r="L14" s="355"/>
      <c r="M14" s="355"/>
      <c r="N14" s="202"/>
    </row>
    <row r="15" spans="3:38" x14ac:dyDescent="0.25">
      <c r="C15" s="56" t="s">
        <v>575</v>
      </c>
      <c r="D15" s="56"/>
      <c r="E15" s="355"/>
      <c r="F15" s="355"/>
      <c r="G15" s="355"/>
      <c r="H15" s="355"/>
      <c r="I15" s="355"/>
      <c r="J15" s="355"/>
      <c r="K15" s="355"/>
      <c r="L15" s="355"/>
      <c r="M15" s="355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AK15" t="s">
        <v>575</v>
      </c>
      <c r="AL15" t="s">
        <v>576</v>
      </c>
    </row>
    <row r="16" spans="3:38" x14ac:dyDescent="0.25">
      <c r="C16" s="258" t="s">
        <v>577</v>
      </c>
      <c r="D16" s="258">
        <f>(360*100)/(D11*2*3.14)</f>
        <v>2292.9936305732481</v>
      </c>
      <c r="E16" s="355"/>
      <c r="F16" s="355"/>
      <c r="G16" s="355"/>
      <c r="H16" s="355"/>
      <c r="I16" s="355"/>
      <c r="J16" s="355"/>
      <c r="K16" s="355"/>
      <c r="L16" s="355"/>
      <c r="M16" s="355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K16" t="s">
        <v>577</v>
      </c>
      <c r="AL16">
        <v>2292.9936305732481</v>
      </c>
    </row>
    <row r="17" spans="3:38" x14ac:dyDescent="0.25">
      <c r="C17" s="258" t="s">
        <v>578</v>
      </c>
      <c r="D17" s="258">
        <f>D12-D16</f>
        <v>823.00636942675192</v>
      </c>
      <c r="E17" s="355"/>
      <c r="F17" s="355"/>
      <c r="G17" s="355"/>
      <c r="H17" s="355"/>
      <c r="I17" s="355"/>
      <c r="J17" s="355"/>
      <c r="K17" s="355"/>
      <c r="L17" s="355"/>
      <c r="M17" s="355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K17" t="s">
        <v>578</v>
      </c>
      <c r="AL17">
        <v>207.00636942675192</v>
      </c>
    </row>
    <row r="18" spans="3:38" x14ac:dyDescent="0.25">
      <c r="C18" s="258" t="s">
        <v>579</v>
      </c>
      <c r="D18" s="258">
        <f>D10-D13</f>
        <v>5700</v>
      </c>
      <c r="E18" s="355"/>
      <c r="F18" s="355"/>
      <c r="G18" s="355"/>
      <c r="H18" s="355"/>
      <c r="I18" s="355"/>
      <c r="J18" s="355"/>
      <c r="K18" s="355"/>
      <c r="L18" s="355"/>
      <c r="M18" s="355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K18" t="s">
        <v>579</v>
      </c>
      <c r="AL18">
        <v>4400</v>
      </c>
    </row>
    <row r="19" spans="3:38" x14ac:dyDescent="0.25">
      <c r="C19" s="258" t="s">
        <v>580</v>
      </c>
      <c r="D19" s="258">
        <f>DEGREES(ATAN(D17/D18))</f>
        <v>8.2159897880968344</v>
      </c>
      <c r="E19" s="355"/>
      <c r="F19" s="355"/>
      <c r="G19" s="355"/>
      <c r="H19" s="355"/>
      <c r="I19" s="355"/>
      <c r="J19" s="355"/>
      <c r="K19" s="355"/>
      <c r="L19" s="355"/>
      <c r="M19" s="355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K19" t="s">
        <v>580</v>
      </c>
      <c r="AL19">
        <v>2.6936027535990141</v>
      </c>
    </row>
    <row r="20" spans="3:38" x14ac:dyDescent="0.25">
      <c r="C20" s="258" t="s">
        <v>581</v>
      </c>
      <c r="D20" s="258">
        <f>COS(RADIANS(D19))</f>
        <v>0.98973638827407506</v>
      </c>
      <c r="E20" s="355"/>
      <c r="F20" s="355"/>
      <c r="G20" s="355"/>
      <c r="H20" s="355"/>
      <c r="I20" s="355"/>
      <c r="J20" s="355"/>
      <c r="K20" s="355"/>
      <c r="L20" s="355"/>
      <c r="M20" s="355"/>
      <c r="N20" s="202"/>
      <c r="O20" s="202"/>
      <c r="P20" s="202"/>
      <c r="Q20" s="202"/>
      <c r="R20" s="202"/>
      <c r="S20" s="202"/>
      <c r="T20" s="202"/>
      <c r="U20" s="202"/>
      <c r="X20" s="202"/>
      <c r="Y20" s="202"/>
      <c r="Z20" s="202"/>
      <c r="AA20" s="202"/>
      <c r="AB20" s="202"/>
      <c r="AC20" s="202"/>
      <c r="AD20" s="202"/>
      <c r="AE20" s="202"/>
      <c r="AF20" s="202"/>
      <c r="AG20" s="202"/>
      <c r="AK20" t="s">
        <v>581</v>
      </c>
      <c r="AL20">
        <v>0.99889512831282312</v>
      </c>
    </row>
    <row r="21" spans="3:38" x14ac:dyDescent="0.25">
      <c r="C21" s="258" t="s">
        <v>582</v>
      </c>
      <c r="D21" s="258">
        <f>D18/D20</f>
        <v>5759.1092613456303</v>
      </c>
      <c r="E21" s="355"/>
      <c r="F21" s="355"/>
      <c r="G21" s="355"/>
      <c r="H21" s="355"/>
      <c r="I21" s="355"/>
      <c r="J21" s="355"/>
      <c r="K21" s="355"/>
      <c r="L21" s="355"/>
      <c r="M21" s="355"/>
      <c r="N21" s="202"/>
      <c r="O21" s="202"/>
      <c r="P21" s="202"/>
      <c r="Q21" s="202"/>
      <c r="R21" s="202"/>
      <c r="S21" s="202"/>
      <c r="T21" s="202"/>
      <c r="X21" s="202"/>
      <c r="Y21" s="202"/>
      <c r="Z21" s="202"/>
      <c r="AA21" s="202"/>
      <c r="AB21" s="202"/>
      <c r="AC21" s="202"/>
      <c r="AD21" s="202"/>
      <c r="AE21" s="202"/>
      <c r="AI21" t="s">
        <v>582</v>
      </c>
      <c r="AJ21">
        <v>4404.8668126270568</v>
      </c>
    </row>
    <row r="22" spans="3:38" x14ac:dyDescent="0.25">
      <c r="C22" s="258" t="s">
        <v>583</v>
      </c>
      <c r="D22" s="258">
        <f>DEGREES(ASIN(D16/D21))</f>
        <v>23.462623277509493</v>
      </c>
      <c r="E22" s="355"/>
      <c r="F22" s="355"/>
      <c r="G22" s="355"/>
      <c r="H22" s="355"/>
      <c r="I22" s="355"/>
      <c r="J22" s="355"/>
      <c r="K22" s="355"/>
      <c r="L22" s="355"/>
      <c r="M22" s="355"/>
      <c r="N22" s="202"/>
      <c r="O22" s="202"/>
      <c r="P22" s="202"/>
      <c r="Q22" s="202"/>
      <c r="R22" s="202"/>
      <c r="S22" s="202"/>
      <c r="T22" s="202"/>
      <c r="U22" s="202"/>
      <c r="X22" s="202"/>
      <c r="Y22" s="202"/>
      <c r="Z22" s="202"/>
      <c r="AA22" s="202"/>
      <c r="AB22" s="202"/>
      <c r="AC22" s="202"/>
      <c r="AD22" s="202"/>
      <c r="AH22" t="s">
        <v>583</v>
      </c>
      <c r="AI22">
        <v>31.369764229458482</v>
      </c>
    </row>
    <row r="23" spans="3:38" x14ac:dyDescent="0.25">
      <c r="C23" s="332" t="s">
        <v>584</v>
      </c>
      <c r="D23" s="332">
        <f>D19+D22</f>
        <v>31.678613065606328</v>
      </c>
      <c r="E23" s="355"/>
      <c r="F23" s="355"/>
      <c r="G23" s="355"/>
      <c r="H23" s="355"/>
      <c r="I23" s="355"/>
      <c r="J23" s="355"/>
      <c r="K23" s="355"/>
      <c r="L23" s="355"/>
      <c r="M23" s="355"/>
      <c r="N23" s="202"/>
      <c r="O23" s="202"/>
      <c r="P23" s="202"/>
      <c r="Q23" s="202"/>
      <c r="R23" s="202"/>
      <c r="S23" s="202"/>
      <c r="T23" s="202"/>
      <c r="U23" s="202"/>
      <c r="X23" s="202"/>
      <c r="Y23" s="202"/>
      <c r="Z23" s="202"/>
      <c r="AA23" s="202"/>
      <c r="AB23" s="202"/>
      <c r="AC23" s="202"/>
      <c r="AD23" s="202"/>
      <c r="AE23" s="202"/>
      <c r="AI23" t="s">
        <v>584</v>
      </c>
      <c r="AJ23">
        <v>34.063366983057499</v>
      </c>
    </row>
    <row r="24" spans="3:38" x14ac:dyDescent="0.25">
      <c r="C24" s="258"/>
      <c r="D24" s="258"/>
      <c r="E24" s="355"/>
      <c r="F24" s="355"/>
      <c r="G24" s="355"/>
      <c r="H24" s="355"/>
      <c r="I24" s="355"/>
      <c r="J24" s="355"/>
      <c r="K24" s="355"/>
      <c r="L24" s="355"/>
      <c r="M24" s="355"/>
      <c r="N24" s="202"/>
      <c r="O24" s="202"/>
      <c r="P24" s="202"/>
      <c r="Q24" s="202"/>
      <c r="R24" s="202"/>
      <c r="S24" s="202"/>
      <c r="T24" s="202"/>
      <c r="U24" s="202"/>
      <c r="X24" s="202"/>
      <c r="Y24" s="202"/>
      <c r="Z24" s="202"/>
      <c r="AA24" s="202"/>
      <c r="AB24" s="202"/>
      <c r="AC24" s="202"/>
      <c r="AD24" s="202"/>
      <c r="AE24" s="202"/>
    </row>
    <row r="25" spans="3:38" x14ac:dyDescent="0.25">
      <c r="C25" s="259" t="s">
        <v>585</v>
      </c>
      <c r="D25" s="258">
        <f>(100*D23)/(D11)</f>
        <v>1267.1445226242531</v>
      </c>
      <c r="E25" s="355"/>
      <c r="F25" s="355"/>
      <c r="G25" s="355"/>
      <c r="H25" s="355"/>
      <c r="I25" s="355"/>
      <c r="J25" s="355"/>
      <c r="K25" s="355"/>
      <c r="L25" s="355"/>
      <c r="M25" s="355"/>
      <c r="N25" s="202"/>
      <c r="O25" s="202"/>
      <c r="P25" s="202"/>
      <c r="Q25" s="202"/>
      <c r="R25" s="202"/>
      <c r="S25" s="202"/>
      <c r="T25" s="202"/>
      <c r="U25" s="202"/>
      <c r="X25" s="202"/>
      <c r="Y25" s="202"/>
      <c r="Z25" s="202"/>
      <c r="AA25" s="202"/>
      <c r="AB25" s="202"/>
      <c r="AC25" s="202"/>
      <c r="AD25" s="202"/>
      <c r="AE25" s="202"/>
      <c r="AI25" t="s">
        <v>585</v>
      </c>
      <c r="AJ25">
        <v>1362.5346793223</v>
      </c>
    </row>
    <row r="26" spans="3:38" x14ac:dyDescent="0.25">
      <c r="C26" s="258" t="s">
        <v>586</v>
      </c>
      <c r="D26" s="258">
        <f>D13+D25</f>
        <v>4567.1445226242531</v>
      </c>
      <c r="E26" s="355"/>
      <c r="F26" s="355"/>
      <c r="G26" s="355"/>
      <c r="H26" s="355"/>
      <c r="I26" s="355"/>
      <c r="J26" s="355"/>
      <c r="K26" s="355"/>
      <c r="L26" s="355"/>
      <c r="M26" s="355"/>
      <c r="N26" s="202"/>
      <c r="O26" s="202"/>
      <c r="P26" s="202"/>
      <c r="Q26" s="202"/>
      <c r="R26" s="202"/>
      <c r="S26" s="202"/>
      <c r="T26" s="202"/>
      <c r="U26" s="202"/>
      <c r="X26" s="202"/>
      <c r="Y26" s="202"/>
      <c r="Z26" s="202"/>
      <c r="AA26" s="202"/>
      <c r="AB26" s="202"/>
      <c r="AC26" s="202"/>
      <c r="AD26" s="202"/>
      <c r="AE26" s="202"/>
      <c r="AI26" t="s">
        <v>586</v>
      </c>
      <c r="AJ26">
        <v>5162.5346793222998</v>
      </c>
    </row>
    <row r="27" spans="3:38" x14ac:dyDescent="0.25">
      <c r="C27" s="258" t="s">
        <v>587</v>
      </c>
      <c r="D27" s="258">
        <f>D28+D13</f>
        <v>4504.174846200407</v>
      </c>
      <c r="E27" s="355"/>
      <c r="F27" s="355"/>
      <c r="G27" s="355"/>
      <c r="H27" s="355"/>
      <c r="I27" s="355"/>
      <c r="J27" s="355"/>
      <c r="K27" s="355"/>
      <c r="L27" s="355"/>
      <c r="M27" s="355"/>
      <c r="N27" s="202"/>
      <c r="O27" s="202"/>
      <c r="P27" s="202"/>
      <c r="Q27" s="202"/>
      <c r="R27" s="202"/>
      <c r="S27" s="202"/>
      <c r="T27" s="202"/>
      <c r="U27" s="202"/>
      <c r="X27" s="202"/>
      <c r="Y27" s="202"/>
      <c r="Z27" s="202"/>
      <c r="AA27" s="202"/>
      <c r="AB27" s="202"/>
      <c r="AC27" s="202"/>
      <c r="AD27" s="202"/>
      <c r="AE27" s="202"/>
      <c r="AI27" t="s">
        <v>587</v>
      </c>
      <c r="AJ27">
        <v>5084.3273915374521</v>
      </c>
    </row>
    <row r="28" spans="3:38" x14ac:dyDescent="0.25">
      <c r="C28" s="260" t="s">
        <v>588</v>
      </c>
      <c r="D28" s="258">
        <f>D16*D29</f>
        <v>1204.1748462004066</v>
      </c>
      <c r="E28" s="355"/>
      <c r="F28" s="355"/>
      <c r="G28" s="355"/>
      <c r="H28" s="355"/>
      <c r="I28" s="355"/>
      <c r="J28" s="355"/>
      <c r="K28" s="355"/>
      <c r="L28" s="355"/>
      <c r="M28" s="355"/>
      <c r="N28" s="202"/>
      <c r="O28" s="202"/>
      <c r="P28" s="202"/>
      <c r="Q28" s="202"/>
      <c r="R28" s="202"/>
      <c r="S28" s="202"/>
      <c r="T28" s="202"/>
      <c r="U28" s="202"/>
      <c r="X28" s="202"/>
      <c r="Y28" s="202"/>
      <c r="Z28" s="202"/>
      <c r="AA28" s="202"/>
      <c r="AB28" s="202"/>
      <c r="AC28" s="202"/>
      <c r="AD28" s="202"/>
      <c r="AE28" s="202"/>
      <c r="AI28" t="s">
        <v>588</v>
      </c>
      <c r="AJ28">
        <v>1284.3273915374523</v>
      </c>
    </row>
    <row r="29" spans="3:38" x14ac:dyDescent="0.25">
      <c r="C29" s="258" t="s">
        <v>589</v>
      </c>
      <c r="D29" s="258">
        <f>SIN(RADIANS(D23))</f>
        <v>0.5251540301485107</v>
      </c>
      <c r="E29" s="355"/>
      <c r="F29" s="355"/>
      <c r="G29" s="355"/>
      <c r="H29" s="355"/>
      <c r="I29" s="355"/>
      <c r="J29" s="355"/>
      <c r="K29" s="355"/>
      <c r="L29" s="355"/>
      <c r="M29" s="355"/>
      <c r="N29" s="202"/>
      <c r="O29" s="202"/>
      <c r="P29" s="202"/>
      <c r="Q29" s="202"/>
      <c r="R29" s="202"/>
      <c r="S29" s="202"/>
      <c r="T29" s="202"/>
      <c r="U29" s="202"/>
      <c r="X29" s="202"/>
      <c r="Y29" s="202"/>
      <c r="Z29" s="202"/>
      <c r="AA29" s="202"/>
      <c r="AB29" s="202"/>
      <c r="AC29" s="202"/>
      <c r="AD29" s="202"/>
      <c r="AE29" s="202"/>
      <c r="AI29" t="s">
        <v>589</v>
      </c>
      <c r="AJ29">
        <v>0.56010944575383348</v>
      </c>
    </row>
    <row r="30" spans="3:38" x14ac:dyDescent="0.25">
      <c r="C30" s="258" t="s">
        <v>590</v>
      </c>
      <c r="D30" s="258">
        <f>COS(RADIANS(D23))</f>
        <v>0.85100719422269111</v>
      </c>
      <c r="E30" s="355"/>
      <c r="F30" s="355"/>
      <c r="G30" s="355"/>
      <c r="H30" s="355"/>
      <c r="I30" s="355"/>
      <c r="J30" s="355"/>
      <c r="K30" s="355"/>
      <c r="L30" s="355"/>
      <c r="M30" s="355"/>
      <c r="N30" s="202"/>
      <c r="O30" s="202"/>
      <c r="P30" s="202"/>
      <c r="Q30" s="202"/>
      <c r="R30" s="202"/>
      <c r="S30" s="202"/>
      <c r="T30" s="202"/>
      <c r="U30" s="202"/>
      <c r="X30" s="202"/>
      <c r="Y30" s="202"/>
      <c r="Z30" s="202"/>
      <c r="AA30" s="202"/>
      <c r="AB30" s="202"/>
      <c r="AC30" s="202"/>
      <c r="AD30" s="202"/>
      <c r="AE30" s="202"/>
      <c r="AI30" t="s">
        <v>590</v>
      </c>
      <c r="AJ30">
        <v>0.82841861928455807</v>
      </c>
    </row>
    <row r="31" spans="3:38" x14ac:dyDescent="0.25">
      <c r="C31" s="258"/>
      <c r="D31" s="258"/>
      <c r="E31" s="355"/>
      <c r="F31" s="355"/>
      <c r="G31" s="355"/>
      <c r="H31" s="355"/>
      <c r="I31" s="355"/>
      <c r="J31" s="355"/>
      <c r="K31" s="355"/>
      <c r="L31" s="355"/>
      <c r="M31" s="355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  <c r="AA31" s="202"/>
      <c r="AB31" s="202"/>
      <c r="AC31" s="202"/>
      <c r="AD31" s="202"/>
      <c r="AE31" s="202"/>
    </row>
    <row r="32" spans="3:38" x14ac:dyDescent="0.25">
      <c r="C32" s="258" t="s">
        <v>591</v>
      </c>
      <c r="D32" s="258">
        <f>D16*D30</f>
        <v>1951.3540759246418</v>
      </c>
      <c r="E32" s="355"/>
      <c r="F32" s="355"/>
      <c r="G32" s="355"/>
      <c r="H32" s="355"/>
      <c r="I32" s="355"/>
      <c r="J32" s="355"/>
      <c r="K32" s="355"/>
      <c r="L32" s="355"/>
      <c r="M32" s="355"/>
      <c r="N32" s="202"/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  <c r="AA32" s="202"/>
      <c r="AB32" s="202"/>
      <c r="AC32" s="202"/>
      <c r="AD32" s="202"/>
      <c r="AE32" s="202"/>
      <c r="AF32" s="202"/>
      <c r="AG32" s="202"/>
      <c r="AK32" t="s">
        <v>591</v>
      </c>
      <c r="AL32">
        <v>1899.5586174677762</v>
      </c>
    </row>
    <row r="33" spans="3:38" x14ac:dyDescent="0.25">
      <c r="C33" s="258" t="s">
        <v>592</v>
      </c>
      <c r="D33" s="258">
        <f>D16-D32</f>
        <v>341.63955464860624</v>
      </c>
      <c r="E33" s="355"/>
      <c r="F33" s="355"/>
      <c r="G33" s="355"/>
      <c r="H33" s="355"/>
      <c r="I33" s="355"/>
      <c r="J33" s="355"/>
      <c r="K33" s="355"/>
      <c r="L33" s="355"/>
      <c r="M33" s="355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  <c r="AB33" s="202"/>
      <c r="AC33" s="202"/>
      <c r="AD33" s="202"/>
      <c r="AE33" s="202"/>
      <c r="AF33" s="202"/>
      <c r="AG33" s="202"/>
      <c r="AK33" t="s">
        <v>592</v>
      </c>
      <c r="AL33">
        <v>393.43501310547185</v>
      </c>
    </row>
    <row r="34" spans="3:38" x14ac:dyDescent="0.25">
      <c r="C34" s="259" t="s">
        <v>593</v>
      </c>
      <c r="D34" s="258">
        <f>D16/D35</f>
        <v>5282.9461188116929</v>
      </c>
      <c r="E34" s="355"/>
      <c r="F34" s="355"/>
      <c r="G34" s="355"/>
      <c r="H34" s="355"/>
      <c r="I34" s="355"/>
      <c r="J34" s="355"/>
      <c r="K34" s="355"/>
      <c r="L34" s="355"/>
      <c r="M34" s="355"/>
      <c r="N34" s="202"/>
      <c r="O34" s="202"/>
      <c r="P34" s="202"/>
      <c r="Q34" s="202"/>
      <c r="R34" s="202"/>
      <c r="S34" s="202"/>
      <c r="T34" s="202"/>
      <c r="U34" s="202"/>
      <c r="V34" s="202" t="s">
        <v>594</v>
      </c>
      <c r="W34" s="202"/>
      <c r="X34" s="202"/>
      <c r="Y34" s="202"/>
      <c r="Z34" s="202"/>
      <c r="AA34" s="202"/>
      <c r="AB34" s="202"/>
      <c r="AC34" s="202"/>
      <c r="AD34" s="202"/>
      <c r="AE34" s="202"/>
      <c r="AF34" s="202"/>
      <c r="AG34" s="202"/>
      <c r="AK34" t="s">
        <v>593</v>
      </c>
      <c r="AL34">
        <v>3760.9881476991873</v>
      </c>
    </row>
    <row r="35" spans="3:38" x14ac:dyDescent="0.25">
      <c r="C35" s="258" t="s">
        <v>595</v>
      </c>
      <c r="D35" s="258">
        <f>TAN(RADIANS(D22))</f>
        <v>0.43403691406359018</v>
      </c>
      <c r="E35" s="355"/>
      <c r="F35" s="355"/>
      <c r="G35" s="355"/>
      <c r="H35" s="355"/>
      <c r="I35" s="355"/>
      <c r="J35" s="355"/>
      <c r="K35" s="355"/>
      <c r="L35" s="355"/>
      <c r="M35" s="355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  <c r="AA35" s="202"/>
      <c r="AB35" s="202"/>
      <c r="AC35" s="202"/>
      <c r="AD35" s="202"/>
      <c r="AE35" s="202"/>
      <c r="AF35" s="202" t="s">
        <v>594</v>
      </c>
      <c r="AG35" s="202"/>
      <c r="AK35" t="s">
        <v>595</v>
      </c>
      <c r="AL35">
        <v>0.60967850483017449</v>
      </c>
    </row>
    <row r="36" spans="3:38" x14ac:dyDescent="0.25">
      <c r="C36" s="258" t="s">
        <v>596</v>
      </c>
      <c r="D36" s="258">
        <f>D34+D26</f>
        <v>9850.0906414359451</v>
      </c>
      <c r="E36" s="355"/>
      <c r="F36" s="355"/>
      <c r="G36" s="355"/>
      <c r="H36" s="355"/>
      <c r="I36" s="355"/>
      <c r="J36" s="355"/>
      <c r="K36" s="355"/>
      <c r="L36" s="355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Y36" s="202"/>
      <c r="Z36" s="202"/>
      <c r="AA36" s="202"/>
      <c r="AB36" s="202"/>
      <c r="AC36" s="202"/>
      <c r="AD36" s="202"/>
      <c r="AE36" s="202"/>
      <c r="AF36" s="202"/>
      <c r="AG36" s="202"/>
      <c r="AK36" t="s">
        <v>596</v>
      </c>
      <c r="AL36">
        <v>8923.5228270214866</v>
      </c>
    </row>
    <row r="37" spans="3:38" x14ac:dyDescent="0.25">
      <c r="E37" s="202"/>
      <c r="F37" s="202"/>
      <c r="G37" s="202"/>
      <c r="H37" s="202"/>
      <c r="I37" s="202"/>
      <c r="J37" s="202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  <c r="AA37" s="202"/>
      <c r="AB37" s="202"/>
      <c r="AC37" s="202"/>
      <c r="AD37" s="202"/>
      <c r="AE37" s="202"/>
      <c r="AF37" s="202"/>
      <c r="AG37" s="202"/>
    </row>
    <row r="38" spans="3:38" x14ac:dyDescent="0.25">
      <c r="E38" s="202"/>
      <c r="F38" s="202"/>
      <c r="G38" s="202"/>
      <c r="H38" s="202"/>
      <c r="I38" s="202"/>
      <c r="J38" s="202"/>
      <c r="K38" s="202"/>
      <c r="L38" s="202"/>
      <c r="M38" s="202"/>
      <c r="N38" s="202"/>
      <c r="X38" s="202"/>
      <c r="Y38" s="202"/>
      <c r="Z38" s="202"/>
      <c r="AA38" s="202"/>
      <c r="AB38" s="202"/>
      <c r="AC38" s="202"/>
      <c r="AD38" s="202"/>
      <c r="AE38" s="202"/>
      <c r="AF38" s="202"/>
      <c r="AG38" s="202"/>
    </row>
    <row r="39" spans="3:38" x14ac:dyDescent="0.25">
      <c r="E39" s="202"/>
      <c r="F39" s="202"/>
      <c r="G39" s="202"/>
      <c r="H39" s="202"/>
      <c r="I39" s="202"/>
      <c r="J39" s="202"/>
      <c r="K39" s="202"/>
      <c r="L39" s="202"/>
      <c r="M39" s="202"/>
      <c r="N39" s="202"/>
    </row>
    <row r="40" spans="3:38" x14ac:dyDescent="0.25">
      <c r="C40" s="19" t="s">
        <v>571</v>
      </c>
      <c r="D40" s="19"/>
      <c r="E40" s="202"/>
      <c r="F40" s="202"/>
      <c r="G40" s="202"/>
      <c r="H40" s="202"/>
      <c r="I40" s="202"/>
      <c r="J40" s="202"/>
      <c r="K40" s="202"/>
      <c r="L40" s="202"/>
      <c r="M40" s="202"/>
      <c r="N40" s="202"/>
    </row>
    <row r="41" spans="3:38" x14ac:dyDescent="0.25">
      <c r="C41" s="19" t="s">
        <v>574</v>
      </c>
      <c r="D41" s="19"/>
      <c r="E41" s="202"/>
      <c r="F41" s="202"/>
      <c r="G41" s="202"/>
      <c r="H41" s="202"/>
      <c r="I41" s="202"/>
      <c r="J41" s="202"/>
      <c r="K41" s="202"/>
      <c r="L41" s="202"/>
      <c r="M41" s="202"/>
      <c r="N41" s="202"/>
    </row>
    <row r="42" spans="3:38" x14ac:dyDescent="0.25">
      <c r="C42" s="19" t="s">
        <v>597</v>
      </c>
      <c r="D42" s="19"/>
      <c r="E42" s="202"/>
      <c r="F42" s="202"/>
      <c r="G42" s="202"/>
      <c r="H42" s="202"/>
      <c r="I42" s="202"/>
      <c r="J42" s="202"/>
      <c r="K42" s="202"/>
      <c r="L42" s="202"/>
      <c r="M42" s="202"/>
      <c r="N42" s="202"/>
    </row>
    <row r="43" spans="3:38" x14ac:dyDescent="0.25">
      <c r="C43" s="19" t="s">
        <v>598</v>
      </c>
      <c r="D43" s="19"/>
      <c r="E43" s="202"/>
      <c r="F43" s="202"/>
      <c r="G43" s="202"/>
      <c r="H43" s="202"/>
      <c r="I43" s="202"/>
      <c r="J43" s="202"/>
      <c r="K43" s="202"/>
      <c r="L43" s="202"/>
      <c r="M43" s="202"/>
      <c r="N43" s="202"/>
    </row>
    <row r="44" spans="3:38" x14ac:dyDescent="0.25">
      <c r="C44" s="19" t="s">
        <v>599</v>
      </c>
      <c r="D44" s="19"/>
    </row>
    <row r="45" spans="3:38" x14ac:dyDescent="0.25">
      <c r="C45" s="19" t="s">
        <v>600</v>
      </c>
      <c r="D45" s="19"/>
    </row>
    <row r="46" spans="3:38" x14ac:dyDescent="0.25">
      <c r="C46" s="19" t="s">
        <v>601</v>
      </c>
      <c r="D46" s="19"/>
    </row>
    <row r="47" spans="3:38" x14ac:dyDescent="0.25">
      <c r="C47" s="19" t="s">
        <v>602</v>
      </c>
      <c r="D47" s="19"/>
    </row>
    <row r="48" spans="3:38" x14ac:dyDescent="0.25">
      <c r="C48" s="19" t="s">
        <v>603</v>
      </c>
      <c r="D48" s="19"/>
    </row>
    <row r="49" spans="3:12" x14ac:dyDescent="0.25">
      <c r="C49" s="19" t="s">
        <v>604</v>
      </c>
      <c r="D49" s="19"/>
      <c r="K49" t="s">
        <v>605</v>
      </c>
      <c r="L49" t="s">
        <v>606</v>
      </c>
    </row>
    <row r="50" spans="3:12" x14ac:dyDescent="0.25">
      <c r="G50">
        <f>4700+D28</f>
        <v>5904.174846200407</v>
      </c>
      <c r="K50">
        <v>8670</v>
      </c>
      <c r="L50">
        <v>0</v>
      </c>
    </row>
    <row r="51" spans="3:12" x14ac:dyDescent="0.25">
      <c r="G51">
        <f>D10-G50</f>
        <v>3095.825153799593</v>
      </c>
      <c r="K51">
        <v>8670</v>
      </c>
      <c r="L51">
        <v>1000</v>
      </c>
    </row>
    <row r="52" spans="3:12" x14ac:dyDescent="0.25">
      <c r="G52">
        <f>G50+G51</f>
        <v>9000</v>
      </c>
      <c r="K52">
        <v>8670</v>
      </c>
      <c r="L52">
        <v>2000</v>
      </c>
    </row>
    <row r="53" spans="3:12" x14ac:dyDescent="0.25">
      <c r="K53">
        <v>8670</v>
      </c>
      <c r="L53">
        <v>3000</v>
      </c>
    </row>
    <row r="54" spans="3:12" x14ac:dyDescent="0.25">
      <c r="K54">
        <v>8670</v>
      </c>
      <c r="L54">
        <v>4000</v>
      </c>
    </row>
    <row r="55" spans="3:12" x14ac:dyDescent="0.25">
      <c r="F55">
        <f>D10-D33</f>
        <v>8658.3604453513944</v>
      </c>
      <c r="K55">
        <v>8670</v>
      </c>
      <c r="L55">
        <v>5000</v>
      </c>
    </row>
    <row r="56" spans="3:12" x14ac:dyDescent="0.25">
      <c r="F56">
        <f>D13+D28</f>
        <v>4504.174846200407</v>
      </c>
      <c r="K56">
        <v>8670</v>
      </c>
      <c r="L56">
        <v>6000</v>
      </c>
    </row>
    <row r="57" spans="3:12" x14ac:dyDescent="0.25">
      <c r="F57">
        <f>D10-D16</f>
        <v>6707.0063694267519</v>
      </c>
      <c r="K57">
        <v>8670</v>
      </c>
      <c r="L57">
        <v>7000</v>
      </c>
    </row>
    <row r="58" spans="3:12" x14ac:dyDescent="0.25">
      <c r="D58" s="201" t="s">
        <v>607</v>
      </c>
      <c r="E58" s="201"/>
      <c r="F58" s="246" t="s">
        <v>597</v>
      </c>
      <c r="G58" s="247"/>
      <c r="H58" s="242" t="s">
        <v>608</v>
      </c>
      <c r="I58" s="242"/>
      <c r="K58">
        <v>8670</v>
      </c>
      <c r="L58">
        <v>8000</v>
      </c>
    </row>
    <row r="59" spans="3:12" ht="23.25" customHeight="1" x14ac:dyDescent="0.25">
      <c r="D59" s="19">
        <v>0</v>
      </c>
      <c r="E59" s="40">
        <f>D10</f>
        <v>9000</v>
      </c>
      <c r="F59" s="240">
        <f>D13</f>
        <v>3300</v>
      </c>
      <c r="G59" s="240">
        <f>D10</f>
        <v>9000</v>
      </c>
      <c r="H59" s="242">
        <f>F59</f>
        <v>3300</v>
      </c>
      <c r="I59" s="242">
        <f>G59</f>
        <v>9000</v>
      </c>
      <c r="K59">
        <v>8670</v>
      </c>
      <c r="L59">
        <v>9000</v>
      </c>
    </row>
    <row r="60" spans="3:12" ht="26.25" customHeight="1" x14ac:dyDescent="0.25">
      <c r="D60" s="19">
        <v>1000</v>
      </c>
      <c r="E60" s="40">
        <f>E59</f>
        <v>9000</v>
      </c>
      <c r="F60" s="240">
        <f>F59</f>
        <v>3300</v>
      </c>
      <c r="G60" s="240">
        <f>D12</f>
        <v>3116</v>
      </c>
      <c r="H60" s="242">
        <f>F60</f>
        <v>3300</v>
      </c>
      <c r="I60" s="242">
        <f>F55</f>
        <v>8658.3604453513944</v>
      </c>
    </row>
    <row r="61" spans="3:12" ht="22.5" customHeight="1" x14ac:dyDescent="0.25">
      <c r="D61" s="19">
        <v>2000</v>
      </c>
      <c r="E61" s="19">
        <f t="shared" ref="E61:E69" si="0">E60</f>
        <v>9000</v>
      </c>
    </row>
    <row r="62" spans="3:12" ht="24.75" customHeight="1" x14ac:dyDescent="0.25">
      <c r="D62" s="19">
        <v>3000</v>
      </c>
      <c r="E62" s="19">
        <f t="shared" si="0"/>
        <v>9000</v>
      </c>
      <c r="F62" s="248" t="s">
        <v>609</v>
      </c>
      <c r="G62" s="249"/>
      <c r="H62" s="256" t="s">
        <v>610</v>
      </c>
      <c r="I62" s="257"/>
    </row>
    <row r="63" spans="3:12" ht="24.75" customHeight="1" x14ac:dyDescent="0.25">
      <c r="D63" s="19">
        <v>3300</v>
      </c>
      <c r="E63" s="19">
        <f>E62</f>
        <v>9000</v>
      </c>
      <c r="F63" s="248"/>
      <c r="G63" s="249"/>
      <c r="H63" s="250"/>
      <c r="I63" s="251"/>
    </row>
    <row r="64" spans="3:12" ht="23.25" customHeight="1" x14ac:dyDescent="0.25">
      <c r="D64" s="19">
        <v>4000</v>
      </c>
      <c r="E64" s="19">
        <f>E62</f>
        <v>9000</v>
      </c>
      <c r="F64" s="241">
        <f>D13</f>
        <v>3300</v>
      </c>
      <c r="G64" s="241">
        <f>I60</f>
        <v>8658.3604453513944</v>
      </c>
      <c r="H64" s="250">
        <f>F56</f>
        <v>4504.174846200407</v>
      </c>
      <c r="I64" s="251">
        <f>I60</f>
        <v>8658.3604453513944</v>
      </c>
    </row>
    <row r="65" spans="3:33" x14ac:dyDescent="0.25">
      <c r="D65" s="19">
        <v>5000</v>
      </c>
      <c r="E65" s="19">
        <f t="shared" si="0"/>
        <v>9000</v>
      </c>
      <c r="F65" s="241">
        <f>F56</f>
        <v>4504.174846200407</v>
      </c>
      <c r="G65" s="241">
        <f>I60</f>
        <v>8658.3604453513944</v>
      </c>
      <c r="H65" s="252">
        <f>D10</f>
        <v>9000</v>
      </c>
      <c r="I65" s="253">
        <f>D12</f>
        <v>3116</v>
      </c>
    </row>
    <row r="66" spans="3:33" x14ac:dyDescent="0.25">
      <c r="D66" s="19">
        <v>6000</v>
      </c>
      <c r="E66" s="19">
        <f t="shared" si="0"/>
        <v>9000</v>
      </c>
    </row>
    <row r="67" spans="3:33" x14ac:dyDescent="0.25">
      <c r="D67" s="19">
        <v>7000</v>
      </c>
      <c r="E67" s="19">
        <f t="shared" si="0"/>
        <v>9000</v>
      </c>
      <c r="F67" s="246" t="s">
        <v>611</v>
      </c>
      <c r="G67" s="254"/>
      <c r="H67" s="255" t="s">
        <v>612</v>
      </c>
      <c r="I67" s="245"/>
    </row>
    <row r="68" spans="3:33" x14ac:dyDescent="0.25">
      <c r="D68" s="19">
        <v>8000</v>
      </c>
      <c r="E68" s="19">
        <f t="shared" si="0"/>
        <v>9000</v>
      </c>
      <c r="F68" s="240">
        <f>D13</f>
        <v>3300</v>
      </c>
      <c r="G68" s="240">
        <f>D12</f>
        <v>3116</v>
      </c>
      <c r="H68" s="242">
        <f>F56</f>
        <v>4504.174846200407</v>
      </c>
      <c r="I68" s="242">
        <f>F55</f>
        <v>8658.3604453513944</v>
      </c>
    </row>
    <row r="69" spans="3:33" x14ac:dyDescent="0.25">
      <c r="D69" s="19">
        <f>D10</f>
        <v>9000</v>
      </c>
      <c r="E69" s="19">
        <f t="shared" si="0"/>
        <v>9000</v>
      </c>
      <c r="F69" s="240">
        <f>D10</f>
        <v>9000</v>
      </c>
      <c r="G69" s="240">
        <f>G68</f>
        <v>3116</v>
      </c>
      <c r="H69" s="242">
        <f>D13</f>
        <v>3300</v>
      </c>
      <c r="I69" s="242">
        <f>F57</f>
        <v>6707.0063694267519</v>
      </c>
    </row>
    <row r="70" spans="3:33" x14ac:dyDescent="0.25">
      <c r="F70" s="239"/>
      <c r="G70" s="239"/>
    </row>
    <row r="71" spans="3:33" x14ac:dyDescent="0.25">
      <c r="F71" s="243" t="s">
        <v>613</v>
      </c>
      <c r="G71" s="243"/>
      <c r="H71" s="240" t="s">
        <v>614</v>
      </c>
      <c r="I71" s="240"/>
    </row>
    <row r="72" spans="3:33" ht="18.75" x14ac:dyDescent="0.25">
      <c r="F72" s="243">
        <f>D13</f>
        <v>3300</v>
      </c>
      <c r="G72" s="243">
        <f>F57</f>
        <v>6707.0063694267519</v>
      </c>
      <c r="H72" s="240">
        <f>D13</f>
        <v>3300</v>
      </c>
      <c r="I72" s="240">
        <f>D10</f>
        <v>9000</v>
      </c>
      <c r="Y72" s="684" t="s">
        <v>615</v>
      </c>
      <c r="Z72" s="684" t="s">
        <v>616</v>
      </c>
      <c r="AA72" s="684" t="s">
        <v>617</v>
      </c>
      <c r="AB72" s="684" t="s">
        <v>533</v>
      </c>
      <c r="AC72" s="684" t="s">
        <v>618</v>
      </c>
      <c r="AD72" s="229" t="s">
        <v>619</v>
      </c>
      <c r="AE72" s="229" t="s">
        <v>620</v>
      </c>
    </row>
    <row r="73" spans="3:33" ht="21" customHeight="1" x14ac:dyDescent="0.25">
      <c r="F73" s="243">
        <f>D10</f>
        <v>9000</v>
      </c>
      <c r="G73" s="243">
        <f>D12</f>
        <v>3116</v>
      </c>
      <c r="H73" s="240">
        <f>F56</f>
        <v>4504.174846200407</v>
      </c>
      <c r="I73" s="240">
        <f>F55</f>
        <v>8658.3604453513944</v>
      </c>
      <c r="Y73" s="684"/>
      <c r="Z73" s="684"/>
      <c r="AA73" s="684"/>
      <c r="AB73" s="684"/>
      <c r="AC73" s="684"/>
      <c r="AD73" s="229" t="s">
        <v>621</v>
      </c>
      <c r="AE73" s="229" t="s">
        <v>622</v>
      </c>
    </row>
    <row r="74" spans="3:33" ht="21.75" customHeight="1" x14ac:dyDescent="0.25">
      <c r="Y74" s="225" t="s">
        <v>172</v>
      </c>
      <c r="Z74" s="228"/>
      <c r="AA74" s="225" t="s">
        <v>623</v>
      </c>
      <c r="AB74" s="228"/>
      <c r="AC74" s="225" t="s">
        <v>624</v>
      </c>
      <c r="AD74" s="225" t="s">
        <v>625</v>
      </c>
      <c r="AE74" s="225" t="s">
        <v>625</v>
      </c>
    </row>
    <row r="75" spans="3:33" ht="30" customHeight="1" x14ac:dyDescent="0.25">
      <c r="AA75" s="685" t="s">
        <v>626</v>
      </c>
      <c r="AB75" s="685" t="s">
        <v>485</v>
      </c>
      <c r="AC75" s="685" t="s">
        <v>627</v>
      </c>
      <c r="AD75" s="686" t="s">
        <v>628</v>
      </c>
      <c r="AE75" s="227" t="s">
        <v>629</v>
      </c>
      <c r="AF75" s="687">
        <v>3060</v>
      </c>
      <c r="AG75" s="685">
        <v>1500</v>
      </c>
    </row>
    <row r="76" spans="3:33" ht="18.75" x14ac:dyDescent="0.25">
      <c r="C76" t="s">
        <v>630</v>
      </c>
      <c r="AA76" s="685"/>
      <c r="AB76" s="685"/>
      <c r="AC76" s="685"/>
      <c r="AD76" s="686"/>
      <c r="AE76" s="226"/>
      <c r="AF76" s="687"/>
      <c r="AG76" s="685"/>
    </row>
    <row r="77" spans="3:33" ht="37.5" customHeight="1" x14ac:dyDescent="0.25">
      <c r="C77" t="s">
        <v>631</v>
      </c>
      <c r="AA77" s="685" t="s">
        <v>632</v>
      </c>
      <c r="AB77" s="685" t="s">
        <v>312</v>
      </c>
      <c r="AC77" s="685" t="s">
        <v>633</v>
      </c>
      <c r="AD77" s="685" t="s">
        <v>634</v>
      </c>
      <c r="AE77" s="226" t="s">
        <v>635</v>
      </c>
      <c r="AF77" s="685">
        <v>5020</v>
      </c>
      <c r="AG77" s="685">
        <v>2260</v>
      </c>
    </row>
    <row r="78" spans="3:33" ht="18.75" hidden="1" x14ac:dyDescent="0.25">
      <c r="C78" t="s">
        <v>636</v>
      </c>
      <c r="AA78" s="685"/>
      <c r="AB78" s="685"/>
      <c r="AC78" s="685"/>
      <c r="AD78" s="685"/>
      <c r="AE78" s="225" t="s">
        <v>637</v>
      </c>
      <c r="AF78" s="685"/>
      <c r="AG78" s="685"/>
    </row>
    <row r="79" spans="3:33" ht="56.25" x14ac:dyDescent="0.25">
      <c r="C79" t="s">
        <v>638</v>
      </c>
      <c r="AA79" s="225" t="s">
        <v>639</v>
      </c>
      <c r="AB79" s="225" t="s">
        <v>503</v>
      </c>
      <c r="AC79" s="225" t="s">
        <v>640</v>
      </c>
      <c r="AD79" s="225" t="s">
        <v>641</v>
      </c>
      <c r="AE79" s="225" t="s">
        <v>642</v>
      </c>
      <c r="AF79" s="225">
        <v>6780</v>
      </c>
      <c r="AG79" s="225">
        <v>4750</v>
      </c>
    </row>
    <row r="80" spans="3:33" x14ac:dyDescent="0.25">
      <c r="C80" t="s">
        <v>643</v>
      </c>
    </row>
    <row r="81" spans="3:5" x14ac:dyDescent="0.25">
      <c r="C81" t="s">
        <v>644</v>
      </c>
    </row>
    <row r="82" spans="3:5" x14ac:dyDescent="0.25">
      <c r="C82" t="s">
        <v>645</v>
      </c>
    </row>
    <row r="83" spans="3:5" x14ac:dyDescent="0.25">
      <c r="C83" t="s">
        <v>646</v>
      </c>
    </row>
    <row r="84" spans="3:5" x14ac:dyDescent="0.25">
      <c r="C84" t="s">
        <v>647</v>
      </c>
    </row>
    <row r="85" spans="3:5" x14ac:dyDescent="0.25">
      <c r="C85" t="s">
        <v>648</v>
      </c>
    </row>
    <row r="86" spans="3:5" x14ac:dyDescent="0.25">
      <c r="C86" t="s">
        <v>649</v>
      </c>
    </row>
    <row r="87" spans="3:5" x14ac:dyDescent="0.25">
      <c r="C87" t="s">
        <v>650</v>
      </c>
    </row>
    <row r="91" spans="3:5" ht="31.5" x14ac:dyDescent="0.5">
      <c r="C91" s="339" t="s">
        <v>651</v>
      </c>
    </row>
    <row r="92" spans="3:5" x14ac:dyDescent="0.25">
      <c r="C92" t="s">
        <v>546</v>
      </c>
      <c r="D92" t="s">
        <v>652</v>
      </c>
      <c r="E92" t="s">
        <v>653</v>
      </c>
    </row>
    <row r="93" spans="3:5" x14ac:dyDescent="0.25">
      <c r="C93" t="s">
        <v>654</v>
      </c>
    </row>
    <row r="94" spans="3:5" x14ac:dyDescent="0.25">
      <c r="C94" t="s">
        <v>312</v>
      </c>
    </row>
    <row r="95" spans="3:5" x14ac:dyDescent="0.25">
      <c r="C95" t="s">
        <v>655</v>
      </c>
    </row>
    <row r="96" spans="3:5" x14ac:dyDescent="0.25">
      <c r="C96" t="s">
        <v>656</v>
      </c>
    </row>
    <row r="110" spans="7:8" ht="15.75" x14ac:dyDescent="0.25">
      <c r="G110" s="356" t="s">
        <v>571</v>
      </c>
      <c r="H110" s="356" t="s">
        <v>657</v>
      </c>
    </row>
    <row r="111" spans="7:8" ht="15.75" x14ac:dyDescent="0.25">
      <c r="G111" s="356" t="s">
        <v>574</v>
      </c>
      <c r="H111" s="356" t="s">
        <v>658</v>
      </c>
    </row>
    <row r="112" spans="7:8" ht="15.75" x14ac:dyDescent="0.25">
      <c r="G112" s="356" t="s">
        <v>597</v>
      </c>
      <c r="H112" s="356" t="s">
        <v>659</v>
      </c>
    </row>
    <row r="113" spans="7:8" ht="15.75" x14ac:dyDescent="0.25">
      <c r="G113" s="356" t="s">
        <v>598</v>
      </c>
      <c r="H113" s="356" t="s">
        <v>660</v>
      </c>
    </row>
    <row r="114" spans="7:8" ht="15.75" x14ac:dyDescent="0.25">
      <c r="G114" s="356" t="s">
        <v>599</v>
      </c>
      <c r="H114" s="356" t="s">
        <v>661</v>
      </c>
    </row>
    <row r="115" spans="7:8" ht="15.75" x14ac:dyDescent="0.25">
      <c r="G115" s="356" t="s">
        <v>600</v>
      </c>
      <c r="H115" s="356" t="s">
        <v>662</v>
      </c>
    </row>
    <row r="116" spans="7:8" ht="15.75" x14ac:dyDescent="0.25">
      <c r="G116" s="356" t="s">
        <v>601</v>
      </c>
      <c r="H116" s="356" t="s">
        <v>663</v>
      </c>
    </row>
    <row r="117" spans="7:8" ht="15.75" x14ac:dyDescent="0.25">
      <c r="G117" s="356" t="s">
        <v>602</v>
      </c>
      <c r="H117" s="356" t="s">
        <v>664</v>
      </c>
    </row>
    <row r="118" spans="7:8" ht="15.75" x14ac:dyDescent="0.25">
      <c r="G118" s="357" t="s">
        <v>665</v>
      </c>
      <c r="H118" s="357" t="s">
        <v>666</v>
      </c>
    </row>
    <row r="119" spans="7:8" ht="15.75" x14ac:dyDescent="0.25">
      <c r="G119" s="357" t="s">
        <v>597</v>
      </c>
      <c r="H119" s="359" t="s">
        <v>667</v>
      </c>
    </row>
    <row r="120" spans="7:8" ht="15.75" x14ac:dyDescent="0.25">
      <c r="G120" s="358" t="s">
        <v>668</v>
      </c>
      <c r="H120" s="360"/>
    </row>
    <row r="121" spans="7:8" ht="15.75" x14ac:dyDescent="0.25">
      <c r="G121" s="358" t="s">
        <v>669</v>
      </c>
      <c r="H121" s="358" t="s">
        <v>670</v>
      </c>
    </row>
  </sheetData>
  <mergeCells count="17">
    <mergeCell ref="AG75:AG76"/>
    <mergeCell ref="AA77:AA78"/>
    <mergeCell ref="AB77:AB78"/>
    <mergeCell ref="AC77:AC78"/>
    <mergeCell ref="AD77:AD78"/>
    <mergeCell ref="AF77:AF78"/>
    <mergeCell ref="AG77:AG78"/>
    <mergeCell ref="AA75:AA76"/>
    <mergeCell ref="AB75:AB76"/>
    <mergeCell ref="AC75:AC76"/>
    <mergeCell ref="AD75:AD76"/>
    <mergeCell ref="AF75:AF76"/>
    <mergeCell ref="Y72:Y73"/>
    <mergeCell ref="Z72:Z73"/>
    <mergeCell ref="AA72:AA73"/>
    <mergeCell ref="AB72:AB73"/>
    <mergeCell ref="AC72:AC73"/>
  </mergeCells>
  <pageMargins left="0.7" right="0.7" top="0.75" bottom="0.75" header="0.3" footer="0.3"/>
  <ignoredErrors>
    <ignoredError sqref="F69" formula="1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B5B86-B71D-4479-9377-671DBBD94993}">
  <sheetPr codeName="Sheet12"/>
  <dimension ref="C3:X54"/>
  <sheetViews>
    <sheetView workbookViewId="0">
      <selection activeCell="K25" sqref="K25"/>
    </sheetView>
  </sheetViews>
  <sheetFormatPr defaultRowHeight="15" x14ac:dyDescent="0.25"/>
  <cols>
    <col min="3" max="3" width="25" customWidth="1"/>
    <col min="4" max="4" width="24.140625" customWidth="1"/>
    <col min="5" max="5" width="18.28515625" customWidth="1"/>
    <col min="6" max="6" width="9.140625" customWidth="1"/>
    <col min="7" max="7" width="18.85546875" customWidth="1"/>
    <col min="8" max="8" width="15.85546875" customWidth="1"/>
    <col min="9" max="9" width="22.85546875" bestFit="1" customWidth="1"/>
    <col min="10" max="10" width="39" customWidth="1"/>
    <col min="12" max="12" width="18.5703125" customWidth="1"/>
    <col min="13" max="13" width="20.85546875" customWidth="1"/>
    <col min="14" max="14" width="32.140625" customWidth="1"/>
  </cols>
  <sheetData>
    <row r="3" spans="3:24" x14ac:dyDescent="0.25">
      <c r="C3" s="19" t="s">
        <v>219</v>
      </c>
      <c r="D3" s="19"/>
      <c r="E3" s="19"/>
      <c r="F3" s="19"/>
    </row>
    <row r="4" spans="3:24" x14ac:dyDescent="0.25">
      <c r="C4" s="19" t="s">
        <v>220</v>
      </c>
      <c r="D4" s="19"/>
      <c r="E4" s="19"/>
      <c r="F4" s="19"/>
    </row>
    <row r="5" spans="3:24" x14ac:dyDescent="0.25">
      <c r="C5" s="19" t="s">
        <v>178</v>
      </c>
      <c r="D5" s="19"/>
      <c r="E5" s="19">
        <v>10</v>
      </c>
      <c r="F5" s="19"/>
    </row>
    <row r="6" spans="3:24" x14ac:dyDescent="0.25">
      <c r="C6" s="19" t="s">
        <v>221</v>
      </c>
      <c r="D6" s="19"/>
      <c r="E6" s="19">
        <v>7900</v>
      </c>
      <c r="F6" s="19"/>
      <c r="I6">
        <v>9</v>
      </c>
    </row>
    <row r="7" spans="3:24" x14ac:dyDescent="0.25">
      <c r="C7" s="19" t="s">
        <v>222</v>
      </c>
      <c r="D7" s="19"/>
      <c r="E7" s="19">
        <v>8130</v>
      </c>
      <c r="F7" s="19"/>
    </row>
    <row r="8" spans="3:24" x14ac:dyDescent="0.25">
      <c r="C8" s="19" t="s">
        <v>223</v>
      </c>
      <c r="D8" s="19"/>
      <c r="E8" s="19"/>
      <c r="F8" s="19">
        <v>9.5</v>
      </c>
    </row>
    <row r="9" spans="3:24" x14ac:dyDescent="0.25">
      <c r="C9" s="19" t="s">
        <v>183</v>
      </c>
      <c r="D9" s="19"/>
      <c r="E9" s="19">
        <v>0.1</v>
      </c>
      <c r="F9" s="19"/>
    </row>
    <row r="10" spans="3:24" x14ac:dyDescent="0.25">
      <c r="C10" s="19" t="s">
        <v>184</v>
      </c>
      <c r="D10" s="19"/>
      <c r="E10" s="19"/>
      <c r="F10" s="19"/>
      <c r="U10" t="s">
        <v>671</v>
      </c>
      <c r="X10" t="s">
        <v>672</v>
      </c>
    </row>
    <row r="11" spans="3:24" x14ac:dyDescent="0.25">
      <c r="C11" s="19" t="s">
        <v>186</v>
      </c>
      <c r="D11" s="19">
        <v>1.1000000000000001</v>
      </c>
      <c r="E11" s="19" t="s">
        <v>224</v>
      </c>
      <c r="F11" s="19">
        <v>10</v>
      </c>
    </row>
    <row r="12" spans="3:24" x14ac:dyDescent="0.25">
      <c r="C12" s="19" t="s">
        <v>187</v>
      </c>
      <c r="D12" s="19">
        <v>1</v>
      </c>
      <c r="E12" s="19" t="s">
        <v>225</v>
      </c>
      <c r="F12" s="19">
        <v>10</v>
      </c>
    </row>
    <row r="13" spans="3:24" x14ac:dyDescent="0.25">
      <c r="C13" s="19"/>
      <c r="D13" s="19"/>
      <c r="E13" s="19">
        <v>5.1999999999999998E-2</v>
      </c>
      <c r="F13" s="19"/>
    </row>
    <row r="14" spans="3:24" x14ac:dyDescent="0.25">
      <c r="C14" t="s">
        <v>188</v>
      </c>
    </row>
    <row r="15" spans="3:24" x14ac:dyDescent="0.25">
      <c r="C15" s="19" t="s">
        <v>189</v>
      </c>
      <c r="D15" s="19"/>
      <c r="E15" s="19"/>
      <c r="H15" s="19" t="s">
        <v>190</v>
      </c>
      <c r="I15" s="19"/>
      <c r="J15" s="19"/>
      <c r="K15" s="19"/>
      <c r="M15" s="19" t="s">
        <v>191</v>
      </c>
      <c r="N15" s="19"/>
      <c r="O15" s="19"/>
      <c r="P15" s="19"/>
      <c r="Q15" s="19"/>
    </row>
    <row r="16" spans="3:24" x14ac:dyDescent="0.25">
      <c r="C16" s="19" t="s">
        <v>192</v>
      </c>
      <c r="D16" s="19"/>
      <c r="E16" s="19">
        <f>F8*E13*(E7-6900)</f>
        <v>607.62</v>
      </c>
      <c r="H16" s="19" t="s">
        <v>193</v>
      </c>
      <c r="I16" s="19"/>
      <c r="J16" s="19"/>
      <c r="K16" s="19">
        <v>0</v>
      </c>
      <c r="M16" s="19" t="s">
        <v>2</v>
      </c>
      <c r="N16" s="19" t="s">
        <v>194</v>
      </c>
      <c r="O16" s="19" t="s">
        <v>195</v>
      </c>
      <c r="P16" s="19" t="s">
        <v>196</v>
      </c>
      <c r="Q16" s="19" t="s">
        <v>197</v>
      </c>
    </row>
    <row r="17" spans="3:17" x14ac:dyDescent="0.25">
      <c r="C17" s="19" t="s">
        <v>226</v>
      </c>
      <c r="D17" s="19"/>
      <c r="E17" s="19">
        <v>2980.8</v>
      </c>
      <c r="F17" t="s">
        <v>199</v>
      </c>
      <c r="H17" s="19" t="s">
        <v>200</v>
      </c>
      <c r="I17" s="19"/>
      <c r="J17" s="19"/>
      <c r="K17" s="19">
        <v>3790.8</v>
      </c>
      <c r="M17" s="19" t="s">
        <v>201</v>
      </c>
      <c r="N17" s="19">
        <v>2980.8</v>
      </c>
      <c r="O17" s="19">
        <v>0</v>
      </c>
      <c r="P17" s="19">
        <v>2980.8</v>
      </c>
      <c r="Q17" s="19">
        <v>3278.8800000000006</v>
      </c>
    </row>
    <row r="18" spans="3:17" x14ac:dyDescent="0.25">
      <c r="C18" s="19" t="s">
        <v>227</v>
      </c>
      <c r="D18" s="19"/>
      <c r="E18" s="19">
        <v>7140.8</v>
      </c>
      <c r="F18" t="s">
        <v>203</v>
      </c>
      <c r="M18" s="19" t="s">
        <v>228</v>
      </c>
      <c r="N18" s="19">
        <v>7140.8</v>
      </c>
      <c r="O18" s="19">
        <v>3790.8</v>
      </c>
      <c r="P18" s="19">
        <v>3350</v>
      </c>
      <c r="Q18" s="19">
        <v>3685.0000000000005</v>
      </c>
    </row>
    <row r="22" spans="3:17" x14ac:dyDescent="0.25">
      <c r="C22" t="s">
        <v>209</v>
      </c>
    </row>
    <row r="23" spans="3:17" x14ac:dyDescent="0.25">
      <c r="C23" s="19" t="s">
        <v>210</v>
      </c>
      <c r="D23" s="19"/>
      <c r="E23" s="19"/>
      <c r="H23" s="19" t="s">
        <v>211</v>
      </c>
      <c r="I23" s="19"/>
      <c r="J23" s="19"/>
      <c r="K23" s="19"/>
      <c r="M23" s="19" t="s">
        <v>212</v>
      </c>
      <c r="N23" s="19"/>
      <c r="O23" s="19"/>
      <c r="P23" s="19"/>
      <c r="Q23" s="19"/>
    </row>
    <row r="24" spans="3:17" x14ac:dyDescent="0.25">
      <c r="C24" s="19" t="s">
        <v>193</v>
      </c>
      <c r="D24" s="19"/>
      <c r="E24" s="19">
        <v>0</v>
      </c>
      <c r="F24" t="s">
        <v>213</v>
      </c>
      <c r="H24" s="19" t="s">
        <v>214</v>
      </c>
      <c r="I24" s="19"/>
      <c r="J24" s="19"/>
      <c r="K24" s="19">
        <v>0</v>
      </c>
      <c r="M24" s="19" t="s">
        <v>2</v>
      </c>
      <c r="N24" s="19" t="s">
        <v>194</v>
      </c>
      <c r="O24" s="19" t="s">
        <v>195</v>
      </c>
      <c r="P24" s="19" t="s">
        <v>215</v>
      </c>
      <c r="Q24" s="19" t="s">
        <v>216</v>
      </c>
    </row>
    <row r="25" spans="3:17" x14ac:dyDescent="0.25">
      <c r="C25" s="19" t="s">
        <v>217</v>
      </c>
      <c r="D25" s="19"/>
      <c r="E25" s="19">
        <v>0</v>
      </c>
      <c r="F25" t="s">
        <v>218</v>
      </c>
      <c r="H25" s="19" t="s">
        <v>217</v>
      </c>
      <c r="I25" s="19"/>
      <c r="J25" s="19"/>
      <c r="K25" s="19">
        <v>3790.8</v>
      </c>
      <c r="M25" s="19" t="s">
        <v>201</v>
      </c>
      <c r="N25" s="19">
        <v>0</v>
      </c>
      <c r="O25" s="19">
        <v>0</v>
      </c>
      <c r="P25" s="19">
        <v>0</v>
      </c>
      <c r="Q25" s="19">
        <v>0</v>
      </c>
    </row>
    <row r="26" spans="3:17" x14ac:dyDescent="0.25">
      <c r="M26" s="19" t="s">
        <v>204</v>
      </c>
      <c r="N26" s="19">
        <v>0</v>
      </c>
      <c r="O26" s="19">
        <v>3790.8</v>
      </c>
      <c r="P26" s="19">
        <v>3790.8</v>
      </c>
      <c r="Q26" s="19">
        <v>3790.8</v>
      </c>
    </row>
    <row r="37" spans="4:10" x14ac:dyDescent="0.25">
      <c r="D37">
        <f>9</f>
        <v>9</v>
      </c>
      <c r="F37" s="31" t="s">
        <v>479</v>
      </c>
      <c r="G37" s="31" t="s">
        <v>480</v>
      </c>
      <c r="H37" s="31" t="s">
        <v>481</v>
      </c>
      <c r="I37" s="25" t="s">
        <v>477</v>
      </c>
      <c r="J37" s="31" t="s">
        <v>478</v>
      </c>
    </row>
    <row r="38" spans="4:10" ht="31.5" x14ac:dyDescent="0.5">
      <c r="F38" s="33"/>
      <c r="G38" s="33"/>
      <c r="H38" s="33" t="s">
        <v>482</v>
      </c>
      <c r="I38" s="30"/>
      <c r="J38" s="341" t="s">
        <v>673</v>
      </c>
    </row>
    <row r="39" spans="4:10" ht="21" customHeight="1" x14ac:dyDescent="0.25">
      <c r="F39" s="31" t="s">
        <v>485</v>
      </c>
      <c r="G39" s="31" t="s">
        <v>486</v>
      </c>
      <c r="H39" s="31" t="s">
        <v>674</v>
      </c>
      <c r="I39" s="24" t="s">
        <v>675</v>
      </c>
      <c r="J39" s="31" t="s">
        <v>484</v>
      </c>
    </row>
    <row r="40" spans="4:10" x14ac:dyDescent="0.25">
      <c r="F40" s="32"/>
      <c r="G40" s="32"/>
      <c r="H40" s="32" t="s">
        <v>676</v>
      </c>
      <c r="I40" s="29"/>
      <c r="J40" s="33" t="s">
        <v>677</v>
      </c>
    </row>
    <row r="41" spans="4:10" x14ac:dyDescent="0.25">
      <c r="F41" s="31" t="s">
        <v>493</v>
      </c>
      <c r="G41" s="31" t="s">
        <v>494</v>
      </c>
      <c r="H41" s="31" t="s">
        <v>678</v>
      </c>
      <c r="I41" s="24" t="s">
        <v>679</v>
      </c>
      <c r="J41" s="33" t="str">
        <f>J39</f>
        <v>class G    /    accelerators (CaCl2 2.0%)</v>
      </c>
    </row>
    <row r="42" spans="4:10" x14ac:dyDescent="0.25">
      <c r="F42" s="33"/>
      <c r="G42" s="33"/>
      <c r="H42" s="33" t="s">
        <v>680</v>
      </c>
      <c r="I42" t="s">
        <v>681</v>
      </c>
      <c r="J42" s="32" t="str">
        <f>J40</f>
        <v xml:space="preserve">                      fluid loss (organic polymer 1.2 %)</v>
      </c>
    </row>
    <row r="43" spans="4:10" x14ac:dyDescent="0.25">
      <c r="F43" s="19" t="s">
        <v>503</v>
      </c>
      <c r="G43" s="19" t="s">
        <v>504</v>
      </c>
      <c r="H43" s="19" t="s">
        <v>682</v>
      </c>
      <c r="I43" s="41" t="s">
        <v>683</v>
      </c>
      <c r="J43" s="19" t="s">
        <v>502</v>
      </c>
    </row>
    <row r="44" spans="4:10" x14ac:dyDescent="0.25">
      <c r="F44" s="32" t="s">
        <v>316</v>
      </c>
      <c r="G44" s="32" t="s">
        <v>506</v>
      </c>
      <c r="H44" s="32" t="s">
        <v>684</v>
      </c>
      <c r="I44" s="30" t="s">
        <v>683</v>
      </c>
      <c r="J44" s="30" t="str">
        <f>J43</f>
        <v>class G   /    retarders (1.5%)</v>
      </c>
    </row>
    <row r="45" spans="4:10" x14ac:dyDescent="0.25">
      <c r="F45" s="32"/>
      <c r="G45" s="32"/>
      <c r="H45" s="32"/>
      <c r="I45" s="30"/>
      <c r="J45" s="30"/>
    </row>
    <row r="49" spans="4:5" x14ac:dyDescent="0.25">
      <c r="D49" s="22" t="s">
        <v>531</v>
      </c>
      <c r="E49" s="22" t="s">
        <v>536</v>
      </c>
    </row>
    <row r="50" spans="4:5" x14ac:dyDescent="0.25">
      <c r="D50" s="19" t="s">
        <v>538</v>
      </c>
      <c r="E50" s="19"/>
    </row>
    <row r="51" spans="4:5" x14ac:dyDescent="0.25">
      <c r="D51" s="19" t="s">
        <v>685</v>
      </c>
      <c r="E51" s="19" t="s">
        <v>686</v>
      </c>
    </row>
    <row r="52" spans="4:5" x14ac:dyDescent="0.25">
      <c r="D52" s="19" t="s">
        <v>540</v>
      </c>
      <c r="E52" s="19" t="s">
        <v>541</v>
      </c>
    </row>
    <row r="53" spans="4:5" x14ac:dyDescent="0.25">
      <c r="D53" s="19" t="s">
        <v>542</v>
      </c>
      <c r="E53" s="19" t="s">
        <v>543</v>
      </c>
    </row>
    <row r="54" spans="4:5" x14ac:dyDescent="0.25">
      <c r="D54" s="19" t="s">
        <v>544</v>
      </c>
      <c r="E54" s="19" t="s">
        <v>545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25C31-A011-4B3C-A92E-DB9BEC1244BF}">
  <sheetPr codeName="Sheet13"/>
  <dimension ref="A2:N125"/>
  <sheetViews>
    <sheetView showGridLines="0" topLeftCell="A68" zoomScale="115" zoomScaleNormal="115" workbookViewId="0">
      <selection activeCell="D85" sqref="D85"/>
    </sheetView>
  </sheetViews>
  <sheetFormatPr defaultRowHeight="15" x14ac:dyDescent="0.25"/>
  <cols>
    <col min="2" max="2" width="12.7109375" bestFit="1" customWidth="1"/>
    <col min="3" max="3" width="9.5703125" customWidth="1"/>
    <col min="4" max="4" width="37.42578125" customWidth="1"/>
    <col min="5" max="5" width="12.140625" style="57" bestFit="1" customWidth="1"/>
    <col min="6" max="6" width="12.5703125" customWidth="1"/>
    <col min="7" max="7" width="11.140625" customWidth="1"/>
    <col min="8" max="8" width="24" customWidth="1"/>
    <col min="9" max="9" width="23.140625" customWidth="1"/>
    <col min="10" max="10" width="21.28515625" customWidth="1"/>
    <col min="11" max="11" width="10.7109375" bestFit="1" customWidth="1"/>
    <col min="12" max="12" width="16.85546875" customWidth="1"/>
  </cols>
  <sheetData>
    <row r="2" spans="1:11" ht="16.5" customHeight="1" x14ac:dyDescent="0.25"/>
    <row r="3" spans="1:11" x14ac:dyDescent="0.25">
      <c r="A3" s="111"/>
      <c r="B3" t="s">
        <v>687</v>
      </c>
    </row>
    <row r="4" spans="1:11" ht="15.75" thickBot="1" x14ac:dyDescent="0.3">
      <c r="A4" s="201"/>
    </row>
    <row r="5" spans="1:11" ht="15.75" thickBot="1" x14ac:dyDescent="0.3">
      <c r="C5" s="693" t="s">
        <v>688</v>
      </c>
      <c r="D5" s="693"/>
      <c r="E5" s="693"/>
      <c r="F5" s="693"/>
      <c r="G5" s="693"/>
      <c r="H5" s="693"/>
      <c r="I5" s="693"/>
      <c r="J5" s="693"/>
      <c r="K5" s="693"/>
    </row>
    <row r="6" spans="1:11" ht="45" x14ac:dyDescent="0.25">
      <c r="C6" s="200" t="s">
        <v>689</v>
      </c>
      <c r="D6" s="198" t="s">
        <v>690</v>
      </c>
      <c r="E6" s="198" t="s">
        <v>691</v>
      </c>
      <c r="F6" s="198" t="s">
        <v>533</v>
      </c>
      <c r="G6" s="199" t="s">
        <v>692</v>
      </c>
      <c r="H6" s="198" t="s">
        <v>693</v>
      </c>
      <c r="I6" s="198" t="s">
        <v>694</v>
      </c>
      <c r="J6" s="197" t="s">
        <v>695</v>
      </c>
      <c r="K6" s="196" t="s">
        <v>696</v>
      </c>
    </row>
    <row r="7" spans="1:11" x14ac:dyDescent="0.25">
      <c r="C7" s="194">
        <v>1</v>
      </c>
      <c r="D7" s="193" t="s">
        <v>697</v>
      </c>
      <c r="E7" s="193" t="s">
        <v>698</v>
      </c>
      <c r="F7" s="193">
        <v>29</v>
      </c>
      <c r="G7" s="69">
        <f>29/1029.4</f>
        <v>2.8171750534291818E-2</v>
      </c>
      <c r="H7" s="195" t="s">
        <v>625</v>
      </c>
      <c r="I7" s="195" t="s">
        <v>625</v>
      </c>
      <c r="J7" s="192">
        <v>500</v>
      </c>
      <c r="K7" s="191">
        <f>J7+10</f>
        <v>510</v>
      </c>
    </row>
    <row r="8" spans="1:11" x14ac:dyDescent="0.25">
      <c r="C8" s="194">
        <v>2</v>
      </c>
      <c r="D8" s="193" t="s">
        <v>699</v>
      </c>
      <c r="E8" s="193" t="s">
        <v>700</v>
      </c>
      <c r="F8" s="193">
        <v>18.73</v>
      </c>
      <c r="G8" s="69">
        <v>0.34078000000000003</v>
      </c>
      <c r="H8" s="193">
        <v>1540</v>
      </c>
      <c r="I8" s="193">
        <v>1205</v>
      </c>
      <c r="J8" s="192">
        <v>2400</v>
      </c>
      <c r="K8" s="191">
        <f>J8+10</f>
        <v>2410</v>
      </c>
    </row>
    <row r="9" spans="1:11" x14ac:dyDescent="0.25">
      <c r="C9" s="194">
        <v>3</v>
      </c>
      <c r="D9" s="193" t="s">
        <v>701</v>
      </c>
      <c r="E9" s="193" t="s">
        <v>702</v>
      </c>
      <c r="F9" s="193">
        <v>12.414999999999999</v>
      </c>
      <c r="G9" s="69">
        <v>0.14971999999999999</v>
      </c>
      <c r="H9" s="193">
        <v>2502</v>
      </c>
      <c r="I9" s="193">
        <v>1800</v>
      </c>
      <c r="J9" s="192">
        <v>3700</v>
      </c>
      <c r="K9" s="191">
        <f>J9+10</f>
        <v>3710</v>
      </c>
    </row>
    <row r="10" spans="1:11" x14ac:dyDescent="0.25">
      <c r="C10" s="194">
        <v>4</v>
      </c>
      <c r="D10" s="193" t="s">
        <v>703</v>
      </c>
      <c r="E10" s="193" t="s">
        <v>704</v>
      </c>
      <c r="F10" s="193">
        <v>8.6809999999999992</v>
      </c>
      <c r="G10" s="69">
        <v>7.3200000000000001E-2</v>
      </c>
      <c r="H10" s="193">
        <v>4628</v>
      </c>
      <c r="I10" s="193">
        <v>2925</v>
      </c>
      <c r="J10" s="192">
        <v>7700</v>
      </c>
      <c r="K10" s="191">
        <f>J10+10</f>
        <v>7710</v>
      </c>
    </row>
    <row r="11" spans="1:11" ht="15.75" thickBot="1" x14ac:dyDescent="0.3">
      <c r="E11"/>
    </row>
    <row r="12" spans="1:11" ht="29.25" thickBot="1" x14ac:dyDescent="0.5">
      <c r="C12" s="190"/>
      <c r="D12" s="694" t="s">
        <v>705</v>
      </c>
      <c r="E12" s="694"/>
      <c r="F12" s="694"/>
      <c r="G12" s="694"/>
      <c r="H12" s="694"/>
      <c r="I12" s="694"/>
      <c r="J12" s="694"/>
      <c r="K12" s="189"/>
    </row>
    <row r="13" spans="1:11" ht="19.5" thickBot="1" x14ac:dyDescent="0.35">
      <c r="C13" s="188"/>
      <c r="D13" s="695" t="s">
        <v>706</v>
      </c>
      <c r="E13" s="695"/>
      <c r="F13" s="695"/>
      <c r="G13" s="695"/>
      <c r="H13" s="695"/>
      <c r="I13" s="695"/>
      <c r="J13" s="695"/>
      <c r="K13" s="695"/>
    </row>
    <row r="14" spans="1:11" x14ac:dyDescent="0.25">
      <c r="C14" s="87"/>
      <c r="D14" s="150" t="s">
        <v>707</v>
      </c>
      <c r="E14" s="187">
        <f>K8</f>
        <v>2410</v>
      </c>
      <c r="F14" s="186" t="s">
        <v>708</v>
      </c>
      <c r="G14" s="185"/>
      <c r="H14" s="185"/>
      <c r="I14" s="185"/>
      <c r="J14" s="185"/>
      <c r="K14" s="184"/>
    </row>
    <row r="15" spans="1:11" x14ac:dyDescent="0.25">
      <c r="C15" s="87"/>
      <c r="D15" s="120" t="s">
        <v>709</v>
      </c>
      <c r="E15" s="182">
        <v>500</v>
      </c>
      <c r="F15" s="175" t="s">
        <v>708</v>
      </c>
      <c r="G15" s="85"/>
      <c r="H15" s="85"/>
      <c r="I15" s="85"/>
      <c r="J15" s="85"/>
      <c r="K15" s="84"/>
    </row>
    <row r="16" spans="1:11" ht="30" x14ac:dyDescent="0.25">
      <c r="C16" s="87"/>
      <c r="D16" s="120" t="s">
        <v>710</v>
      </c>
      <c r="E16" s="182">
        <f>(E14-E15)</f>
        <v>1910</v>
      </c>
      <c r="F16" s="175" t="s">
        <v>708</v>
      </c>
      <c r="G16" s="85"/>
      <c r="H16" s="85"/>
      <c r="I16" s="85"/>
      <c r="J16" s="85"/>
      <c r="K16" s="94"/>
    </row>
    <row r="17" spans="3:12" x14ac:dyDescent="0.25">
      <c r="C17" s="87"/>
      <c r="D17" s="115" t="s">
        <v>711</v>
      </c>
      <c r="E17" s="182">
        <f>J7</f>
        <v>500</v>
      </c>
      <c r="F17" s="175" t="s">
        <v>708</v>
      </c>
      <c r="G17" s="85"/>
      <c r="H17" s="85"/>
      <c r="I17" s="85"/>
      <c r="J17" s="85"/>
      <c r="K17" s="109">
        <f>J7</f>
        <v>500</v>
      </c>
    </row>
    <row r="18" spans="3:12" x14ac:dyDescent="0.25">
      <c r="C18" s="87"/>
      <c r="D18" s="115" t="s">
        <v>712</v>
      </c>
      <c r="E18" s="182">
        <f>E14-E17</f>
        <v>1910</v>
      </c>
      <c r="F18" s="175" t="s">
        <v>708</v>
      </c>
      <c r="G18" s="183" t="str">
        <f>E7</f>
        <v>30''</v>
      </c>
      <c r="H18" s="85"/>
      <c r="I18" s="85"/>
      <c r="J18" s="85"/>
      <c r="K18" s="84"/>
    </row>
    <row r="19" spans="3:12" x14ac:dyDescent="0.25">
      <c r="C19" s="87"/>
      <c r="D19" s="115" t="s">
        <v>713</v>
      </c>
      <c r="E19" s="182">
        <f>E14-E15</f>
        <v>1910</v>
      </c>
      <c r="F19" s="175" t="s">
        <v>714</v>
      </c>
      <c r="G19" s="85"/>
      <c r="H19" s="85"/>
      <c r="I19" s="85"/>
      <c r="J19" s="85"/>
      <c r="K19" s="84"/>
    </row>
    <row r="20" spans="3:12" x14ac:dyDescent="0.25">
      <c r="C20" s="87"/>
      <c r="D20" s="117" t="s">
        <v>715</v>
      </c>
      <c r="E20" s="181">
        <v>1554.8</v>
      </c>
      <c r="F20" s="175" t="s">
        <v>714</v>
      </c>
      <c r="G20" s="85"/>
      <c r="H20" s="85"/>
      <c r="I20" s="85"/>
      <c r="J20" s="85"/>
      <c r="K20" s="84"/>
    </row>
    <row r="21" spans="3:12" x14ac:dyDescent="0.25">
      <c r="C21" s="145" t="s">
        <v>716</v>
      </c>
      <c r="D21" s="108" t="s">
        <v>717</v>
      </c>
      <c r="E21" s="180">
        <v>0</v>
      </c>
      <c r="F21" s="175" t="s">
        <v>714</v>
      </c>
      <c r="G21" s="85"/>
      <c r="H21" s="85"/>
      <c r="I21" s="85"/>
      <c r="J21" s="85"/>
      <c r="K21" s="84"/>
    </row>
    <row r="22" spans="3:12" x14ac:dyDescent="0.25">
      <c r="C22" s="145" t="s">
        <v>716</v>
      </c>
      <c r="D22" s="179" t="s">
        <v>718</v>
      </c>
      <c r="E22" s="178">
        <f>13.2*0.052*E16</f>
        <v>1311.0239999999999</v>
      </c>
      <c r="F22" s="175" t="s">
        <v>714</v>
      </c>
      <c r="G22" s="85"/>
      <c r="H22" s="85"/>
      <c r="I22" s="85"/>
      <c r="J22" s="85"/>
      <c r="K22" s="84"/>
    </row>
    <row r="23" spans="3:12" x14ac:dyDescent="0.25">
      <c r="C23" s="145" t="s">
        <v>719</v>
      </c>
      <c r="D23" s="177">
        <v>9</v>
      </c>
      <c r="E23" s="176">
        <f>D23*0.052*E15</f>
        <v>234</v>
      </c>
      <c r="F23" s="175" t="s">
        <v>244</v>
      </c>
      <c r="G23" s="110" t="s">
        <v>720</v>
      </c>
      <c r="H23" s="85"/>
      <c r="I23" s="85"/>
      <c r="J23" s="85"/>
      <c r="K23" s="174">
        <f>J8</f>
        <v>2400</v>
      </c>
    </row>
    <row r="24" spans="3:12" ht="15.75" thickBot="1" x14ac:dyDescent="0.3">
      <c r="C24" s="86"/>
      <c r="D24" s="143" t="s">
        <v>721</v>
      </c>
      <c r="E24" s="173">
        <f>E22+E23</f>
        <v>1545.0239999999999</v>
      </c>
      <c r="F24" s="172" t="s">
        <v>714</v>
      </c>
      <c r="G24" s="171"/>
      <c r="H24" s="696" t="s">
        <v>722</v>
      </c>
      <c r="I24" s="696"/>
      <c r="J24" s="696"/>
      <c r="K24" s="170"/>
    </row>
    <row r="25" spans="3:12" ht="15.75" thickBot="1" x14ac:dyDescent="0.3">
      <c r="C25" s="697" t="s">
        <v>723</v>
      </c>
      <c r="D25" s="697"/>
      <c r="E25" s="697"/>
      <c r="F25" s="697"/>
      <c r="G25" s="697"/>
      <c r="H25" s="697"/>
      <c r="I25" s="698" t="s">
        <v>724</v>
      </c>
      <c r="J25" s="698"/>
      <c r="K25" s="698"/>
    </row>
    <row r="26" spans="3:12" ht="17.25" x14ac:dyDescent="0.25">
      <c r="C26" s="169"/>
      <c r="D26" s="19" t="s">
        <v>725</v>
      </c>
      <c r="E26" s="77" t="s">
        <v>726</v>
      </c>
      <c r="F26" s="19" t="s">
        <v>727</v>
      </c>
      <c r="G26" s="77" t="s">
        <v>728</v>
      </c>
      <c r="H26" s="19"/>
      <c r="I26" s="168" t="s">
        <v>729</v>
      </c>
      <c r="J26" s="167">
        <v>1.89</v>
      </c>
      <c r="K26" s="165" t="s">
        <v>730</v>
      </c>
      <c r="L26" s="57"/>
    </row>
    <row r="27" spans="3:12" ht="30" x14ac:dyDescent="0.25">
      <c r="C27" s="71"/>
      <c r="D27" s="75" t="s">
        <v>731</v>
      </c>
      <c r="E27" s="135">
        <f>(K8-J8)</f>
        <v>10</v>
      </c>
      <c r="F27" s="163">
        <f>(26^2/1029.4)</f>
        <v>0.65669321935107827</v>
      </c>
      <c r="G27" s="166">
        <f>F27*E27*1.1</f>
        <v>7.2236254128618622</v>
      </c>
      <c r="H27" s="77"/>
      <c r="I27" s="19" t="s">
        <v>732</v>
      </c>
      <c r="J27" s="78">
        <v>0.67</v>
      </c>
      <c r="K27" s="165" t="s">
        <v>730</v>
      </c>
      <c r="L27" s="57"/>
    </row>
    <row r="28" spans="3:12" x14ac:dyDescent="0.25">
      <c r="C28" s="71"/>
      <c r="D28" s="19" t="s">
        <v>733</v>
      </c>
      <c r="E28" s="135">
        <v>40</v>
      </c>
      <c r="F28" s="163">
        <f>18.73^2/1029.4</f>
        <v>0.34079356906936076</v>
      </c>
      <c r="G28" s="162">
        <f>E28*F28</f>
        <v>13.631742762774429</v>
      </c>
      <c r="H28" s="77"/>
      <c r="I28" s="19" t="s">
        <v>734</v>
      </c>
      <c r="J28" s="77" t="s">
        <v>735</v>
      </c>
      <c r="K28" s="165" t="s">
        <v>736</v>
      </c>
      <c r="L28" s="164" t="s">
        <v>737</v>
      </c>
    </row>
    <row r="29" spans="3:12" x14ac:dyDescent="0.25">
      <c r="C29" s="71"/>
      <c r="D29" s="75" t="s">
        <v>738</v>
      </c>
      <c r="E29" s="135">
        <f>K8-J7</f>
        <v>1910</v>
      </c>
      <c r="F29" s="163">
        <f>((26^2)-(20^2))/(1029.4)</f>
        <v>0.26811734991257041</v>
      </c>
      <c r="G29" s="162">
        <f>E29*F29*1.1</f>
        <v>563.31455216631048</v>
      </c>
      <c r="H29" s="77"/>
      <c r="I29" s="699" t="s">
        <v>739</v>
      </c>
      <c r="J29" s="699"/>
      <c r="K29" s="699"/>
      <c r="L29" s="57"/>
    </row>
    <row r="30" spans="3:12" x14ac:dyDescent="0.25">
      <c r="C30" s="71"/>
      <c r="D30" s="19" t="s">
        <v>740</v>
      </c>
      <c r="E30" s="135">
        <f>J7</f>
        <v>500</v>
      </c>
      <c r="F30" s="163">
        <f>(29^2-20^2)/1029.4</f>
        <v>0.42840489605595489</v>
      </c>
      <c r="G30" s="162">
        <f>E30*F30</f>
        <v>214.20244802797745</v>
      </c>
      <c r="H30" s="77"/>
      <c r="I30" s="22" t="s">
        <v>741</v>
      </c>
      <c r="J30" s="98">
        <f>G32/1.89</f>
        <v>2371.8840467709656</v>
      </c>
      <c r="K30" s="66" t="s">
        <v>742</v>
      </c>
    </row>
    <row r="31" spans="3:12" x14ac:dyDescent="0.25">
      <c r="C31" s="71"/>
      <c r="D31" s="138" t="s">
        <v>743</v>
      </c>
      <c r="E31" s="161"/>
      <c r="F31" s="160"/>
      <c r="G31" s="159">
        <f>SUM(G27:G30)</f>
        <v>798.37236836992417</v>
      </c>
      <c r="H31" s="77"/>
      <c r="I31" s="22" t="s">
        <v>732</v>
      </c>
      <c r="J31" s="98">
        <f>J30*0.67</f>
        <v>1589.162311336547</v>
      </c>
      <c r="K31" s="66" t="s">
        <v>744</v>
      </c>
    </row>
    <row r="32" spans="3:12" ht="30.75" thickBot="1" x14ac:dyDescent="0.3">
      <c r="C32" s="65"/>
      <c r="D32" s="158" t="s">
        <v>745</v>
      </c>
      <c r="E32" s="157"/>
      <c r="F32" s="156"/>
      <c r="G32" s="155">
        <f>G31*5.615</f>
        <v>4482.8608483971248</v>
      </c>
      <c r="H32" s="154"/>
      <c r="I32" s="153" t="s">
        <v>746</v>
      </c>
      <c r="J32" s="152">
        <f>(0.2/100)*J30*94</f>
        <v>445.91420079294153</v>
      </c>
      <c r="K32" s="151" t="s">
        <v>736</v>
      </c>
      <c r="L32" s="57"/>
    </row>
    <row r="34" spans="3:11" ht="15.75" thickBot="1" x14ac:dyDescent="0.3"/>
    <row r="35" spans="3:11" ht="29.25" thickBot="1" x14ac:dyDescent="0.5">
      <c r="C35" s="691" t="s">
        <v>747</v>
      </c>
      <c r="D35" s="691"/>
      <c r="E35" s="691"/>
      <c r="F35" s="691"/>
      <c r="G35" s="691"/>
      <c r="H35" s="691"/>
      <c r="I35" s="691"/>
      <c r="J35" s="691"/>
      <c r="K35" s="691"/>
    </row>
    <row r="36" spans="3:11" ht="19.5" thickBot="1" x14ac:dyDescent="0.35">
      <c r="C36" s="96"/>
      <c r="D36" s="700" t="s">
        <v>748</v>
      </c>
      <c r="E36" s="700"/>
      <c r="F36" s="700"/>
      <c r="G36" s="700"/>
      <c r="H36" s="700"/>
      <c r="I36" s="700"/>
      <c r="J36" s="700"/>
      <c r="K36" s="700"/>
    </row>
    <row r="37" spans="3:11" x14ac:dyDescent="0.25">
      <c r="C37" s="87"/>
      <c r="D37" s="464" t="s">
        <v>707</v>
      </c>
      <c r="E37" s="477">
        <f>K9</f>
        <v>3710</v>
      </c>
      <c r="F37" s="202"/>
      <c r="G37" s="202"/>
      <c r="H37" s="202"/>
      <c r="I37" s="202"/>
      <c r="J37" s="202"/>
      <c r="K37" s="465"/>
    </row>
    <row r="38" spans="3:11" ht="16.5" customHeight="1" x14ac:dyDescent="0.25">
      <c r="C38" s="87"/>
      <c r="D38" s="466" t="s">
        <v>749</v>
      </c>
      <c r="E38" s="478">
        <v>1900</v>
      </c>
      <c r="F38" s="202"/>
      <c r="G38" s="202"/>
      <c r="H38" s="202"/>
      <c r="I38" s="202"/>
      <c r="J38" s="202"/>
      <c r="K38" s="465"/>
    </row>
    <row r="39" spans="3:11" ht="15" customHeight="1" x14ac:dyDescent="0.25">
      <c r="C39" s="87"/>
      <c r="D39" s="466" t="s">
        <v>750</v>
      </c>
      <c r="E39" s="478">
        <v>1800</v>
      </c>
      <c r="F39" s="202"/>
      <c r="G39" s="467" t="str">
        <f>G18</f>
        <v>30''</v>
      </c>
      <c r="H39" s="202"/>
      <c r="I39" s="202"/>
      <c r="J39" s="202"/>
      <c r="K39" s="468">
        <f>J7</f>
        <v>500</v>
      </c>
    </row>
    <row r="40" spans="3:11" x14ac:dyDescent="0.25">
      <c r="C40" s="87"/>
      <c r="D40" s="347" t="s">
        <v>711</v>
      </c>
      <c r="E40" s="478">
        <f>J8</f>
        <v>2400</v>
      </c>
      <c r="F40" s="202"/>
      <c r="G40" s="202"/>
      <c r="H40" s="202"/>
      <c r="I40" s="202"/>
      <c r="J40" s="202"/>
      <c r="K40" s="469"/>
    </row>
    <row r="41" spans="3:11" x14ac:dyDescent="0.25">
      <c r="C41" s="87"/>
      <c r="D41" s="347" t="s">
        <v>751</v>
      </c>
      <c r="E41" s="478">
        <f>E37-E40</f>
        <v>1310</v>
      </c>
      <c r="F41" s="202"/>
      <c r="G41" s="202"/>
      <c r="H41" s="202"/>
      <c r="I41" s="202"/>
      <c r="J41" s="202"/>
      <c r="K41" s="469"/>
    </row>
    <row r="42" spans="3:11" x14ac:dyDescent="0.25">
      <c r="C42" s="87"/>
      <c r="D42" s="470" t="s">
        <v>752</v>
      </c>
      <c r="E42" s="471">
        <v>0</v>
      </c>
      <c r="F42" s="202"/>
      <c r="G42" s="467" t="s">
        <v>720</v>
      </c>
      <c r="H42" s="202"/>
      <c r="I42" s="202"/>
      <c r="J42" s="202"/>
      <c r="K42" s="472">
        <f>J8</f>
        <v>2400</v>
      </c>
    </row>
    <row r="43" spans="3:11" x14ac:dyDescent="0.25">
      <c r="C43" s="87"/>
      <c r="D43" s="347" t="s">
        <v>753</v>
      </c>
      <c r="E43" s="478"/>
      <c r="F43" s="202"/>
      <c r="G43" s="202"/>
      <c r="H43" s="202"/>
      <c r="I43" s="202"/>
      <c r="J43" s="202"/>
      <c r="K43" s="469"/>
    </row>
    <row r="44" spans="3:11" x14ac:dyDescent="0.25">
      <c r="C44" s="87"/>
      <c r="D44" s="347" t="s">
        <v>754</v>
      </c>
      <c r="E44" s="478">
        <v>1800</v>
      </c>
      <c r="F44" s="202"/>
      <c r="G44" s="202"/>
      <c r="H44" s="202"/>
      <c r="I44" s="202"/>
      <c r="J44" s="202"/>
      <c r="K44" s="469"/>
    </row>
    <row r="45" spans="3:11" x14ac:dyDescent="0.25">
      <c r="C45" s="87"/>
      <c r="D45" s="480" t="s">
        <v>912</v>
      </c>
      <c r="E45" s="481">
        <v>3034</v>
      </c>
      <c r="F45" s="202"/>
      <c r="G45" s="473"/>
      <c r="H45" s="202" t="s">
        <v>755</v>
      </c>
      <c r="I45" s="202"/>
      <c r="J45" s="202"/>
      <c r="K45" s="472">
        <f>J9</f>
        <v>3700</v>
      </c>
    </row>
    <row r="46" spans="3:11" x14ac:dyDescent="0.25">
      <c r="C46" s="476"/>
      <c r="D46" s="474"/>
      <c r="E46" s="479"/>
      <c r="F46" s="202"/>
      <c r="G46" s="202"/>
      <c r="H46" s="202"/>
      <c r="I46" s="202"/>
      <c r="J46" s="202"/>
      <c r="K46" s="469"/>
    </row>
    <row r="47" spans="3:11" x14ac:dyDescent="0.25">
      <c r="C47" s="717" t="s">
        <v>716</v>
      </c>
      <c r="D47" s="474" t="s">
        <v>682</v>
      </c>
      <c r="E47" s="479">
        <f>13.2*0.052*E44</f>
        <v>1235.5199999999998</v>
      </c>
      <c r="F47" s="202"/>
      <c r="G47" s="202"/>
      <c r="H47" s="202"/>
      <c r="I47" s="202"/>
      <c r="J47" s="202"/>
      <c r="K47" s="469"/>
    </row>
    <row r="48" spans="3:11" ht="15.75" thickBot="1" x14ac:dyDescent="0.3">
      <c r="C48" s="717" t="s">
        <v>757</v>
      </c>
      <c r="D48" s="475">
        <v>9</v>
      </c>
      <c r="E48" s="497">
        <f>D48*0.052*(E38)</f>
        <v>889.19999999999993</v>
      </c>
      <c r="F48" s="202"/>
      <c r="G48" s="202"/>
      <c r="H48" s="202" t="s">
        <v>758</v>
      </c>
      <c r="I48" s="202"/>
      <c r="J48" s="202"/>
      <c r="K48" s="469"/>
    </row>
    <row r="49" spans="3:12" ht="15.75" thickBot="1" x14ac:dyDescent="0.3">
      <c r="C49" s="515"/>
      <c r="D49" s="718" t="s">
        <v>759</v>
      </c>
      <c r="E49" s="719">
        <f>SUM(E46:E48)</f>
        <v>2124.7199999999998</v>
      </c>
      <c r="F49" s="202"/>
      <c r="G49" s="85"/>
      <c r="H49" s="85"/>
      <c r="I49" s="85"/>
      <c r="J49" s="85"/>
      <c r="K49" s="84"/>
    </row>
    <row r="50" spans="3:12" ht="16.5" thickBot="1" x14ac:dyDescent="0.3">
      <c r="C50" s="701" t="s">
        <v>723</v>
      </c>
      <c r="D50" s="715"/>
      <c r="E50" s="715"/>
      <c r="F50" s="715"/>
      <c r="G50" s="715"/>
      <c r="H50" s="716"/>
      <c r="I50" s="702" t="s">
        <v>724</v>
      </c>
      <c r="J50" s="702"/>
      <c r="K50" s="702"/>
    </row>
    <row r="51" spans="3:12" ht="18" customHeight="1" x14ac:dyDescent="0.25">
      <c r="C51" s="389"/>
      <c r="D51" s="390" t="s">
        <v>725</v>
      </c>
      <c r="E51" s="456" t="s">
        <v>726</v>
      </c>
      <c r="F51" s="390" t="s">
        <v>727</v>
      </c>
      <c r="G51" s="456" t="s">
        <v>728</v>
      </c>
      <c r="H51" s="392"/>
      <c r="I51" s="393"/>
      <c r="J51" s="394"/>
    </row>
    <row r="52" spans="3:12" ht="31.5" x14ac:dyDescent="0.25">
      <c r="C52" s="395"/>
      <c r="D52" s="396" t="s">
        <v>918</v>
      </c>
      <c r="E52" s="397">
        <v>10</v>
      </c>
      <c r="F52" s="398">
        <f>(17.5^2/1029.4)</f>
        <v>0.29750340003885756</v>
      </c>
      <c r="G52" s="455">
        <f>F52*E52*1.1</f>
        <v>3.2725374004274332</v>
      </c>
      <c r="H52" s="392" t="s">
        <v>922</v>
      </c>
      <c r="I52" s="401">
        <v>1.1499999999999999</v>
      </c>
      <c r="J52" s="394" t="s">
        <v>761</v>
      </c>
    </row>
    <row r="53" spans="3:12" ht="18.75" x14ac:dyDescent="0.25">
      <c r="C53" s="395"/>
      <c r="D53" s="391" t="s">
        <v>919</v>
      </c>
      <c r="E53" s="397">
        <v>60</v>
      </c>
      <c r="F53" s="398">
        <f>12.415^2/1029.4</f>
        <v>0.14973015834466677</v>
      </c>
      <c r="G53" s="399">
        <f>E53*F53</f>
        <v>8.9838095006800067</v>
      </c>
      <c r="H53" s="400" t="s">
        <v>732</v>
      </c>
      <c r="I53" s="401">
        <v>0.67</v>
      </c>
      <c r="J53" s="394" t="s">
        <v>761</v>
      </c>
    </row>
    <row r="54" spans="3:12" ht="15.75" x14ac:dyDescent="0.25">
      <c r="C54" s="395"/>
      <c r="D54" s="396"/>
      <c r="E54" s="397"/>
      <c r="F54" s="398"/>
      <c r="G54" s="399"/>
      <c r="H54" s="400" t="s">
        <v>734</v>
      </c>
      <c r="I54" s="401" t="s">
        <v>735</v>
      </c>
      <c r="J54" s="394" t="s">
        <v>736</v>
      </c>
    </row>
    <row r="55" spans="3:12" ht="15.75" customHeight="1" x14ac:dyDescent="0.25">
      <c r="C55" s="395"/>
      <c r="D55" s="402" t="s">
        <v>762</v>
      </c>
      <c r="E55" s="403"/>
      <c r="F55" s="404"/>
      <c r="G55" s="405">
        <f>SUM(G52:G54)</f>
        <v>12.25634690110744</v>
      </c>
    </row>
    <row r="56" spans="3:12" ht="18.75" x14ac:dyDescent="0.25">
      <c r="C56" s="395"/>
      <c r="D56" s="402" t="s">
        <v>763</v>
      </c>
      <c r="E56" s="403"/>
      <c r="F56" s="404"/>
      <c r="G56" s="406">
        <f>G55*5.615</f>
        <v>68.819387849718282</v>
      </c>
      <c r="L56">
        <f>3.3 * E52</f>
        <v>33</v>
      </c>
    </row>
    <row r="57" spans="3:12" ht="31.5" x14ac:dyDescent="0.25">
      <c r="C57" s="395"/>
      <c r="D57" s="396" t="s">
        <v>921</v>
      </c>
      <c r="E57" s="397">
        <v>1300</v>
      </c>
      <c r="F57" s="398">
        <f>((17.5^2)-(13.375^2))/(1029.4)</f>
        <v>0.1237219496794249</v>
      </c>
      <c r="G57" s="391">
        <f>E57*F57*1.1</f>
        <v>176.92238804157762</v>
      </c>
    </row>
    <row r="58" spans="3:12" ht="31.5" x14ac:dyDescent="0.25">
      <c r="C58" s="395"/>
      <c r="D58" s="396" t="s">
        <v>920</v>
      </c>
      <c r="E58" s="397">
        <f>E40-E38</f>
        <v>500</v>
      </c>
      <c r="F58" s="398">
        <f>(F8^2-13.375^2)/1029.4</f>
        <v>0.1670121187099281</v>
      </c>
      <c r="G58" s="391">
        <f>E58*F58</f>
        <v>83.506059354964052</v>
      </c>
    </row>
    <row r="59" spans="3:12" ht="15.75" customHeight="1" x14ac:dyDescent="0.25">
      <c r="C59" s="395"/>
      <c r="D59" s="408" t="s">
        <v>764</v>
      </c>
      <c r="E59" s="409"/>
      <c r="F59" s="408"/>
      <c r="G59" s="405">
        <f>SUM(G57:G58)</f>
        <v>260.42844739654169</v>
      </c>
      <c r="H59" s="688" t="s">
        <v>765</v>
      </c>
      <c r="I59" s="688"/>
      <c r="J59" s="688"/>
    </row>
    <row r="60" spans="3:12" ht="15.75" x14ac:dyDescent="0.25">
      <c r="C60" s="395"/>
      <c r="D60" s="408" t="s">
        <v>766</v>
      </c>
      <c r="E60" s="409"/>
      <c r="F60" s="408"/>
      <c r="G60" s="406">
        <f>G59*5.615</f>
        <v>1462.3057321315816</v>
      </c>
      <c r="H60" s="400" t="s">
        <v>741</v>
      </c>
      <c r="I60" s="407">
        <f>G62/I52</f>
        <v>1331.4131478098261</v>
      </c>
      <c r="J60" s="394" t="s">
        <v>295</v>
      </c>
    </row>
    <row r="61" spans="3:12" ht="15.75" x14ac:dyDescent="0.25">
      <c r="C61" s="395"/>
      <c r="D61" s="396" t="s">
        <v>767</v>
      </c>
      <c r="E61" s="401"/>
      <c r="F61" s="391"/>
      <c r="G61" s="416">
        <f>SUM(G52+G53+G57+G58)</f>
        <v>272.68479429764909</v>
      </c>
      <c r="H61" s="400" t="s">
        <v>732</v>
      </c>
      <c r="I61" s="407">
        <f>I60*I53</f>
        <v>892.0468090325835</v>
      </c>
      <c r="J61" s="394" t="s">
        <v>293</v>
      </c>
    </row>
    <row r="62" spans="3:12" ht="19.5" thickBot="1" x14ac:dyDescent="0.3">
      <c r="C62" s="410"/>
      <c r="D62" s="418" t="s">
        <v>768</v>
      </c>
      <c r="E62" s="411"/>
      <c r="F62" s="412"/>
      <c r="G62" s="417">
        <f>G61*5.615</f>
        <v>1531.1251199812998</v>
      </c>
      <c r="H62" s="415" t="s">
        <v>923</v>
      </c>
      <c r="I62" s="413">
        <f>(I64*J64)+2</f>
        <v>546.98079999999993</v>
      </c>
      <c r="J62" s="414" t="s">
        <v>924</v>
      </c>
    </row>
    <row r="63" spans="3:12" x14ac:dyDescent="0.25">
      <c r="D63" s="123"/>
      <c r="H63" s="57"/>
      <c r="I63" s="121"/>
      <c r="J63" s="122"/>
      <c r="K63" s="57"/>
    </row>
    <row r="64" spans="3:12" ht="15.75" thickBot="1" x14ac:dyDescent="0.3">
      <c r="D64" s="121"/>
      <c r="I64" s="769">
        <v>0.14971999999999999</v>
      </c>
      <c r="J64" s="769">
        <v>3640</v>
      </c>
      <c r="K64" s="57"/>
    </row>
    <row r="65" spans="3:14" ht="29.25" thickBot="1" x14ac:dyDescent="0.5">
      <c r="C65" s="691" t="s">
        <v>769</v>
      </c>
      <c r="D65" s="714"/>
      <c r="E65" s="714"/>
      <c r="F65" s="714"/>
      <c r="G65" s="714"/>
      <c r="H65" s="714"/>
      <c r="I65" s="714"/>
      <c r="J65" s="714"/>
      <c r="K65" s="714"/>
    </row>
    <row r="66" spans="3:14" ht="18.75" x14ac:dyDescent="0.3">
      <c r="C66" s="96"/>
      <c r="D66" s="692" t="s">
        <v>748</v>
      </c>
      <c r="E66" s="713"/>
      <c r="F66" s="713"/>
      <c r="G66" s="713"/>
      <c r="H66" s="713"/>
      <c r="I66" s="713"/>
      <c r="J66" s="713"/>
      <c r="K66" s="713"/>
      <c r="M66" s="19">
        <v>273</v>
      </c>
      <c r="N66" s="19">
        <v>500</v>
      </c>
    </row>
    <row r="67" spans="3:14" ht="15" customHeight="1" x14ac:dyDescent="0.25">
      <c r="C67" s="492"/>
      <c r="D67" s="482" t="s">
        <v>707</v>
      </c>
      <c r="E67" s="483">
        <v>10985</v>
      </c>
      <c r="F67" s="202"/>
      <c r="G67" s="484" t="s">
        <v>770</v>
      </c>
      <c r="H67" s="485"/>
      <c r="I67" s="485"/>
      <c r="J67" s="485"/>
      <c r="K67" s="465"/>
      <c r="M67" s="19">
        <v>1973</v>
      </c>
      <c r="N67" s="19">
        <v>3300</v>
      </c>
    </row>
    <row r="68" spans="3:14" ht="30" x14ac:dyDescent="0.25">
      <c r="C68" s="87"/>
      <c r="D68" s="466" t="s">
        <v>771</v>
      </c>
      <c r="E68" s="478">
        <v>6200</v>
      </c>
      <c r="F68" s="202"/>
      <c r="G68" s="485"/>
      <c r="H68" s="485"/>
      <c r="I68" s="485"/>
      <c r="J68" s="485"/>
      <c r="K68" s="465"/>
      <c r="M68" s="19">
        <v>2772</v>
      </c>
      <c r="N68" s="19">
        <v>4100</v>
      </c>
    </row>
    <row r="69" spans="3:14" ht="30" x14ac:dyDescent="0.25">
      <c r="C69" s="87"/>
      <c r="D69" s="486" t="s">
        <v>772</v>
      </c>
      <c r="E69" s="478">
        <f>E67-E68</f>
        <v>4785</v>
      </c>
      <c r="F69" s="202"/>
      <c r="G69" s="493" t="s">
        <v>698</v>
      </c>
      <c r="H69" s="485"/>
      <c r="I69" s="485"/>
      <c r="J69" s="485"/>
      <c r="K69" s="494">
        <f>J7</f>
        <v>500</v>
      </c>
      <c r="M69" s="19">
        <v>5806</v>
      </c>
      <c r="N69" s="19">
        <v>7700</v>
      </c>
    </row>
    <row r="70" spans="3:14" x14ac:dyDescent="0.25">
      <c r="C70" s="87"/>
      <c r="D70" s="347" t="s">
        <v>711</v>
      </c>
      <c r="E70" s="478">
        <f>J9</f>
        <v>3700</v>
      </c>
      <c r="F70" s="202"/>
      <c r="G70" s="485"/>
      <c r="H70" s="485"/>
      <c r="I70" s="485"/>
      <c r="J70" s="485"/>
      <c r="K70" s="469"/>
      <c r="M70" s="19">
        <v>7114</v>
      </c>
      <c r="N70" s="19">
        <v>9000</v>
      </c>
    </row>
    <row r="71" spans="3:14" x14ac:dyDescent="0.25">
      <c r="C71" s="87"/>
      <c r="D71" s="347" t="s">
        <v>773</v>
      </c>
      <c r="E71" s="478">
        <f>E67-E70</f>
        <v>7285</v>
      </c>
      <c r="F71" s="202"/>
      <c r="G71" s="493" t="s">
        <v>720</v>
      </c>
      <c r="H71" s="485"/>
      <c r="I71" s="485"/>
      <c r="J71" s="485"/>
      <c r="K71" s="494">
        <f>J8</f>
        <v>2400</v>
      </c>
    </row>
    <row r="72" spans="3:14" x14ac:dyDescent="0.25">
      <c r="C72" s="87"/>
      <c r="D72" s="470" t="s">
        <v>752</v>
      </c>
      <c r="E72" s="471">
        <f>E67-E68</f>
        <v>4785</v>
      </c>
      <c r="F72" s="202"/>
      <c r="G72" s="485"/>
      <c r="H72" s="485"/>
      <c r="I72" s="485"/>
      <c r="J72" s="485"/>
      <c r="K72" s="469"/>
    </row>
    <row r="73" spans="3:14" x14ac:dyDescent="0.25">
      <c r="C73" s="87"/>
      <c r="D73" s="347" t="s">
        <v>753</v>
      </c>
      <c r="E73" s="478">
        <v>0</v>
      </c>
      <c r="F73" s="202"/>
      <c r="G73" s="485"/>
      <c r="H73" s="485"/>
      <c r="I73" s="485"/>
      <c r="J73" s="485"/>
      <c r="K73" s="469"/>
    </row>
    <row r="74" spans="3:14" x14ac:dyDescent="0.25">
      <c r="C74" s="87"/>
      <c r="D74" s="347" t="s">
        <v>754</v>
      </c>
      <c r="E74" s="478">
        <v>6200</v>
      </c>
      <c r="F74" s="202"/>
      <c r="G74" s="485"/>
      <c r="H74" s="485" t="s">
        <v>755</v>
      </c>
      <c r="I74" s="485"/>
      <c r="J74" s="493"/>
      <c r="K74" s="494">
        <f>J9</f>
        <v>3700</v>
      </c>
    </row>
    <row r="75" spans="3:14" x14ac:dyDescent="0.25">
      <c r="C75" s="87"/>
      <c r="D75" s="491" t="s">
        <v>774</v>
      </c>
      <c r="E75" s="481">
        <v>9085</v>
      </c>
      <c r="F75" s="202"/>
      <c r="G75" s="485"/>
      <c r="H75" s="485"/>
      <c r="I75" s="485"/>
      <c r="J75" s="485"/>
      <c r="K75" s="469"/>
      <c r="M75" s="111"/>
    </row>
    <row r="76" spans="3:14" x14ac:dyDescent="0.25">
      <c r="C76" s="87" t="s">
        <v>716</v>
      </c>
      <c r="D76" s="474" t="s">
        <v>682</v>
      </c>
      <c r="E76" s="479">
        <f>15.8*0.052*E72</f>
        <v>3931.3559999999998</v>
      </c>
      <c r="F76" s="202"/>
      <c r="G76" s="202"/>
      <c r="H76" s="467" t="s">
        <v>775</v>
      </c>
      <c r="I76" s="202"/>
      <c r="J76" s="495">
        <f>J10</f>
        <v>7700</v>
      </c>
      <c r="K76" s="494"/>
    </row>
    <row r="77" spans="3:14" ht="15" customHeight="1" x14ac:dyDescent="0.25">
      <c r="C77" s="489" t="s">
        <v>716</v>
      </c>
      <c r="D77" s="490" t="s">
        <v>756</v>
      </c>
      <c r="E77" s="505"/>
      <c r="F77" s="202"/>
      <c r="G77" s="690" t="s">
        <v>770</v>
      </c>
      <c r="H77" s="690"/>
      <c r="I77" s="690"/>
      <c r="J77" s="690"/>
      <c r="K77" s="722"/>
    </row>
    <row r="78" spans="3:14" ht="15.75" thickBot="1" x14ac:dyDescent="0.3">
      <c r="C78" s="87" t="s">
        <v>776</v>
      </c>
      <c r="D78" s="488">
        <v>11.5</v>
      </c>
      <c r="E78" s="497">
        <f>D78*0.052*(E68)</f>
        <v>3707.6</v>
      </c>
      <c r="F78" s="202"/>
      <c r="G78" s="690"/>
      <c r="H78" s="690"/>
      <c r="I78" s="690"/>
      <c r="J78" s="690"/>
      <c r="K78" s="722"/>
    </row>
    <row r="79" spans="3:14" ht="15.75" thickBot="1" x14ac:dyDescent="0.3">
      <c r="C79" s="86"/>
      <c r="D79" s="498" t="s">
        <v>777</v>
      </c>
      <c r="E79" s="499">
        <f>SUM(E76:E78)</f>
        <v>7638.9560000000001</v>
      </c>
      <c r="F79" s="202"/>
      <c r="G79" s="723"/>
      <c r="H79" s="723"/>
      <c r="I79" s="723"/>
      <c r="J79" s="723"/>
      <c r="K79" s="724"/>
    </row>
    <row r="80" spans="3:14" ht="15.75" thickBot="1" x14ac:dyDescent="0.3">
      <c r="C80" s="500"/>
      <c r="D80" s="501"/>
      <c r="E80" s="502"/>
      <c r="F80" s="85"/>
      <c r="G80" s="503"/>
      <c r="H80" s="503"/>
      <c r="I80" s="503"/>
      <c r="J80" s="503"/>
      <c r="K80" s="504"/>
    </row>
    <row r="81" spans="3:11" ht="15.75" thickBot="1" x14ac:dyDescent="0.3">
      <c r="C81" s="712" t="s">
        <v>723</v>
      </c>
      <c r="D81" s="689"/>
      <c r="E81" s="689"/>
      <c r="F81" s="689"/>
      <c r="G81" s="689"/>
      <c r="H81" s="689"/>
      <c r="I81" s="612" t="s">
        <v>778</v>
      </c>
      <c r="J81" s="355"/>
      <c r="K81" s="496"/>
    </row>
    <row r="82" spans="3:11" ht="15.75" x14ac:dyDescent="0.25">
      <c r="C82" s="386"/>
      <c r="D82" s="725" t="s">
        <v>725</v>
      </c>
      <c r="E82" s="726" t="s">
        <v>726</v>
      </c>
      <c r="F82" s="726" t="s">
        <v>727</v>
      </c>
      <c r="G82" s="727" t="s">
        <v>728</v>
      </c>
      <c r="H82" s="728"/>
      <c r="I82" s="729"/>
      <c r="J82" s="729"/>
      <c r="K82" s="729"/>
    </row>
    <row r="83" spans="3:11" ht="31.5" x14ac:dyDescent="0.25">
      <c r="C83" s="387"/>
      <c r="D83" s="730" t="s">
        <v>930</v>
      </c>
      <c r="E83" s="731">
        <f>K10-J10</f>
        <v>10</v>
      </c>
      <c r="F83" s="732">
        <f>(17.5^2/1029.4)</f>
        <v>0.29750340003885756</v>
      </c>
      <c r="G83" s="733">
        <f>F83*E83*1.1</f>
        <v>3.2725374004274332</v>
      </c>
      <c r="H83" s="734"/>
      <c r="I83" s="735"/>
      <c r="J83" s="736"/>
      <c r="K83" s="737"/>
    </row>
    <row r="84" spans="3:11" ht="15.75" x14ac:dyDescent="0.25">
      <c r="C84" s="387"/>
      <c r="D84" s="738" t="s">
        <v>779</v>
      </c>
      <c r="E84" s="731">
        <v>60</v>
      </c>
      <c r="F84" s="732">
        <f>8.681^2/1029.4</f>
        <v>7.320746162813288E-2</v>
      </c>
      <c r="G84" s="733">
        <f>E84*F84</f>
        <v>4.3924476976879729</v>
      </c>
      <c r="H84" s="738"/>
      <c r="I84" s="730"/>
      <c r="J84" s="739" t="s">
        <v>926</v>
      </c>
      <c r="K84" s="740"/>
    </row>
    <row r="85" spans="3:11" ht="31.5" x14ac:dyDescent="0.25">
      <c r="C85" s="387"/>
      <c r="D85" s="730" t="s">
        <v>928</v>
      </c>
      <c r="E85" s="731">
        <v>4575</v>
      </c>
      <c r="F85" s="732">
        <f>((12.25^2)-(9.625^2))/(1029.4)</f>
        <v>5.5781887507285792E-2</v>
      </c>
      <c r="G85" s="733">
        <f>E85*F85*1.1</f>
        <v>280.72234888041578</v>
      </c>
      <c r="H85" s="738"/>
      <c r="I85" s="741" t="s">
        <v>925</v>
      </c>
      <c r="J85" s="740">
        <v>1.1499999999999999</v>
      </c>
      <c r="K85" s="742" t="s">
        <v>927</v>
      </c>
    </row>
    <row r="86" spans="3:11" ht="31.5" x14ac:dyDescent="0.25">
      <c r="C86" s="387"/>
      <c r="D86" s="730" t="s">
        <v>929</v>
      </c>
      <c r="E86" s="731">
        <v>500</v>
      </c>
      <c r="F86" s="732">
        <f>(F9^2-9.625^2)/1029.4</f>
        <v>5.9735379832912348E-2</v>
      </c>
      <c r="G86" s="743">
        <f>E86*F86</f>
        <v>29.867689916456175</v>
      </c>
      <c r="H86" s="738"/>
      <c r="I86" s="744" t="s">
        <v>732</v>
      </c>
      <c r="J86" s="745">
        <v>0.67</v>
      </c>
      <c r="K86" s="742" t="s">
        <v>927</v>
      </c>
    </row>
    <row r="87" spans="3:11" ht="15.75" x14ac:dyDescent="0.25">
      <c r="C87" s="387"/>
      <c r="D87" s="768" t="s">
        <v>767</v>
      </c>
      <c r="E87" s="746"/>
      <c r="F87" s="746"/>
      <c r="G87" s="747">
        <f>G83+G84+G85+G86</f>
        <v>318.25502389498735</v>
      </c>
      <c r="H87" s="748"/>
      <c r="I87" s="749" t="s">
        <v>734</v>
      </c>
      <c r="J87" s="750" t="s">
        <v>735</v>
      </c>
      <c r="K87" s="751"/>
    </row>
    <row r="88" spans="3:11" ht="15.75" x14ac:dyDescent="0.25">
      <c r="C88" s="387"/>
      <c r="D88" s="768" t="s">
        <v>780</v>
      </c>
      <c r="E88" s="746"/>
      <c r="F88" s="746"/>
      <c r="G88" s="752">
        <f>G87*5.614</f>
        <v>1786.6837041464589</v>
      </c>
      <c r="H88" s="753"/>
      <c r="I88" s="754" t="s">
        <v>741</v>
      </c>
      <c r="J88" s="755">
        <f>G90/J85</f>
        <v>1553.6380036056166</v>
      </c>
      <c r="K88" s="756" t="s">
        <v>295</v>
      </c>
    </row>
    <row r="89" spans="3:11" ht="15.75" x14ac:dyDescent="0.25">
      <c r="C89" s="387"/>
      <c r="D89" s="757" t="s">
        <v>781</v>
      </c>
      <c r="E89" s="758"/>
      <c r="F89" s="758"/>
      <c r="G89" s="759"/>
      <c r="H89" s="738"/>
      <c r="I89" s="760" t="s">
        <v>732</v>
      </c>
      <c r="J89" s="761">
        <f>J88*0.67</f>
        <v>1040.9374624157631</v>
      </c>
      <c r="K89" s="742" t="s">
        <v>744</v>
      </c>
    </row>
    <row r="90" spans="3:11" ht="16.5" thickBot="1" x14ac:dyDescent="0.3">
      <c r="C90" s="387"/>
      <c r="D90" s="762"/>
      <c r="E90" s="763"/>
      <c r="F90" s="763"/>
      <c r="G90" s="764">
        <f>G88</f>
        <v>1786.6837041464589</v>
      </c>
      <c r="H90" s="738"/>
      <c r="I90" s="765" t="s">
        <v>923</v>
      </c>
      <c r="J90" s="766">
        <f>(I92*I93)+2</f>
        <v>482.69880000000001</v>
      </c>
      <c r="K90" s="767" t="s">
        <v>924</v>
      </c>
    </row>
    <row r="91" spans="3:11" x14ac:dyDescent="0.25">
      <c r="C91" s="387"/>
    </row>
    <row r="92" spans="3:11" x14ac:dyDescent="0.25">
      <c r="C92" s="387"/>
      <c r="I92">
        <v>7.5819999999999999E-2</v>
      </c>
    </row>
    <row r="93" spans="3:11" ht="15.75" thickBot="1" x14ac:dyDescent="0.3">
      <c r="C93" s="388"/>
      <c r="I93">
        <v>6340</v>
      </c>
    </row>
    <row r="94" spans="3:11" x14ac:dyDescent="0.25">
      <c r="E94"/>
      <c r="I94">
        <v>2</v>
      </c>
    </row>
    <row r="95" spans="3:11" x14ac:dyDescent="0.25">
      <c r="E95"/>
    </row>
    <row r="96" spans="3:11" x14ac:dyDescent="0.25">
      <c r="E96"/>
    </row>
    <row r="97" spans="5:5" x14ac:dyDescent="0.25">
      <c r="E97"/>
    </row>
    <row r="98" spans="5:5" x14ac:dyDescent="0.25">
      <c r="E98"/>
    </row>
    <row r="99" spans="5:5" x14ac:dyDescent="0.25">
      <c r="E99"/>
    </row>
    <row r="100" spans="5:5" x14ac:dyDescent="0.25">
      <c r="E100"/>
    </row>
    <row r="101" spans="5:5" x14ac:dyDescent="0.25">
      <c r="E101"/>
    </row>
    <row r="102" spans="5:5" x14ac:dyDescent="0.25">
      <c r="E102"/>
    </row>
    <row r="103" spans="5:5" x14ac:dyDescent="0.25">
      <c r="E103"/>
    </row>
    <row r="104" spans="5:5" x14ac:dyDescent="0.25">
      <c r="E104"/>
    </row>
    <row r="105" spans="5:5" x14ac:dyDescent="0.25">
      <c r="E105"/>
    </row>
    <row r="106" spans="5:5" x14ac:dyDescent="0.25">
      <c r="E106"/>
    </row>
    <row r="107" spans="5:5" x14ac:dyDescent="0.25">
      <c r="E107"/>
    </row>
    <row r="108" spans="5:5" x14ac:dyDescent="0.25">
      <c r="E108"/>
    </row>
    <row r="109" spans="5:5" x14ac:dyDescent="0.25">
      <c r="E109"/>
    </row>
    <row r="110" spans="5:5" x14ac:dyDescent="0.25">
      <c r="E110"/>
    </row>
    <row r="111" spans="5:5" x14ac:dyDescent="0.25">
      <c r="E111"/>
    </row>
    <row r="112" spans="5:5" x14ac:dyDescent="0.25">
      <c r="E112"/>
    </row>
    <row r="113" spans="5:8" x14ac:dyDescent="0.25">
      <c r="E113"/>
    </row>
    <row r="114" spans="5:8" x14ac:dyDescent="0.25">
      <c r="E114"/>
    </row>
    <row r="115" spans="5:8" x14ac:dyDescent="0.25">
      <c r="E115"/>
    </row>
    <row r="116" spans="5:8" x14ac:dyDescent="0.25">
      <c r="E116"/>
    </row>
    <row r="117" spans="5:8" x14ac:dyDescent="0.25">
      <c r="E117"/>
    </row>
    <row r="118" spans="5:8" x14ac:dyDescent="0.25">
      <c r="E118"/>
    </row>
    <row r="119" spans="5:8" x14ac:dyDescent="0.25">
      <c r="E119"/>
    </row>
    <row r="120" spans="5:8" x14ac:dyDescent="0.25">
      <c r="E120"/>
    </row>
    <row r="121" spans="5:8" x14ac:dyDescent="0.25">
      <c r="E121"/>
    </row>
    <row r="124" spans="5:8" x14ac:dyDescent="0.25">
      <c r="H124" s="59"/>
    </row>
    <row r="125" spans="5:8" x14ac:dyDescent="0.25">
      <c r="H125" s="58"/>
    </row>
  </sheetData>
  <mergeCells count="17">
    <mergeCell ref="C5:K5"/>
    <mergeCell ref="D12:J12"/>
    <mergeCell ref="D13:K13"/>
    <mergeCell ref="H24:J24"/>
    <mergeCell ref="C25:H25"/>
    <mergeCell ref="I25:K25"/>
    <mergeCell ref="I29:K29"/>
    <mergeCell ref="C35:K35"/>
    <mergeCell ref="D36:K36"/>
    <mergeCell ref="C50:H50"/>
    <mergeCell ref="I50:K50"/>
    <mergeCell ref="H59:J59"/>
    <mergeCell ref="C81:H81"/>
    <mergeCell ref="I82:K82"/>
    <mergeCell ref="G77:K79"/>
    <mergeCell ref="C65:K65"/>
    <mergeCell ref="D66:K66"/>
  </mergeCells>
  <conditionalFormatting sqref="E21">
    <cfRule type="cellIs" dxfId="10" priority="5" operator="greaterThan">
      <formula>$E$20</formula>
    </cfRule>
  </conditionalFormatting>
  <conditionalFormatting sqref="E22">
    <cfRule type="cellIs" dxfId="9" priority="4" operator="lessThan">
      <formula>$E$20</formula>
    </cfRule>
  </conditionalFormatting>
  <conditionalFormatting sqref="E46:E49">
    <cfRule type="cellIs" dxfId="8" priority="7" operator="greaterThan">
      <formula>$E$45</formula>
    </cfRule>
  </conditionalFormatting>
  <conditionalFormatting sqref="E76:E78">
    <cfRule type="cellIs" dxfId="7" priority="6" operator="greaterThan">
      <formula>$E$45</formula>
    </cfRule>
  </conditionalFormatting>
  <pageMargins left="0.7" right="0.7" top="0.75" bottom="0.75" header="0.3" footer="0.3"/>
  <pageSetup paperSize="9" orientation="portrait" r:id="rId1"/>
  <ignoredErrors>
    <ignoredError sqref="G61" formula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3D4AE-F65A-4355-9169-9A9A49D580EB}">
  <sheetPr codeName="Sheet14"/>
  <dimension ref="C3:M69"/>
  <sheetViews>
    <sheetView topLeftCell="B1" workbookViewId="0">
      <selection activeCell="I16" sqref="I16:M29"/>
    </sheetView>
  </sheetViews>
  <sheetFormatPr defaultRowHeight="15" x14ac:dyDescent="0.25"/>
  <cols>
    <col min="3" max="3" width="13.7109375" customWidth="1"/>
    <col min="4" max="4" width="10.7109375" customWidth="1"/>
    <col min="5" max="5" width="28.42578125" customWidth="1"/>
    <col min="6" max="7" width="23.85546875" customWidth="1"/>
    <col min="8" max="8" width="10.85546875" customWidth="1"/>
    <col min="9" max="9" width="33.5703125" customWidth="1"/>
    <col min="10" max="10" width="14.140625" customWidth="1"/>
    <col min="11" max="11" width="21" customWidth="1"/>
    <col min="12" max="12" width="25.28515625" customWidth="1"/>
    <col min="13" max="13" width="50" customWidth="1"/>
  </cols>
  <sheetData>
    <row r="3" spans="3:13" x14ac:dyDescent="0.25">
      <c r="C3" s="330" t="s">
        <v>30</v>
      </c>
      <c r="D3" s="342" t="s">
        <v>466</v>
      </c>
      <c r="E3" s="330" t="s">
        <v>465</v>
      </c>
      <c r="I3">
        <f>9</f>
        <v>9</v>
      </c>
      <c r="J3" t="s">
        <v>522</v>
      </c>
      <c r="K3" t="s">
        <v>522</v>
      </c>
      <c r="L3" t="s">
        <v>523</v>
      </c>
    </row>
    <row r="4" spans="3:13" x14ac:dyDescent="0.25">
      <c r="C4" s="330" t="s">
        <v>782</v>
      </c>
      <c r="D4" s="342" t="s">
        <v>468</v>
      </c>
      <c r="E4" s="343" t="s">
        <v>783</v>
      </c>
    </row>
    <row r="5" spans="3:13" x14ac:dyDescent="0.25">
      <c r="C5" s="330" t="s">
        <v>470</v>
      </c>
      <c r="D5" s="342" t="s">
        <v>471</v>
      </c>
      <c r="E5" s="343" t="s">
        <v>784</v>
      </c>
    </row>
    <row r="6" spans="3:13" x14ac:dyDescent="0.25">
      <c r="C6" s="330" t="s">
        <v>473</v>
      </c>
      <c r="D6" s="342" t="str">
        <f>D5</f>
        <v>WBM</v>
      </c>
      <c r="E6" s="343" t="s">
        <v>785</v>
      </c>
    </row>
    <row r="7" spans="3:13" x14ac:dyDescent="0.25">
      <c r="C7" s="331" t="s">
        <v>474</v>
      </c>
      <c r="D7" s="344" t="str">
        <f>D6</f>
        <v>WBM</v>
      </c>
      <c r="E7" s="345"/>
    </row>
    <row r="8" spans="3:13" x14ac:dyDescent="0.25">
      <c r="C8" s="330" t="s">
        <v>475</v>
      </c>
      <c r="D8" s="330" t="s">
        <v>476</v>
      </c>
      <c r="E8" s="330" t="s">
        <v>784</v>
      </c>
    </row>
    <row r="16" spans="3:13" x14ac:dyDescent="0.25">
      <c r="D16" s="19" t="s">
        <v>508</v>
      </c>
      <c r="E16" s="19" t="s">
        <v>509</v>
      </c>
      <c r="F16" s="19" t="s">
        <v>510</v>
      </c>
      <c r="I16" s="22" t="s">
        <v>786</v>
      </c>
      <c r="J16" s="384" t="s">
        <v>787</v>
      </c>
      <c r="K16" s="385" t="s">
        <v>788</v>
      </c>
      <c r="L16" s="22" t="s">
        <v>789</v>
      </c>
      <c r="M16" s="67" t="s">
        <v>790</v>
      </c>
    </row>
    <row r="17" spans="4:13" x14ac:dyDescent="0.25">
      <c r="D17" s="19" t="s">
        <v>511</v>
      </c>
      <c r="E17" s="19" t="s">
        <v>512</v>
      </c>
      <c r="F17" s="19" t="s">
        <v>513</v>
      </c>
      <c r="I17" s="32"/>
      <c r="J17" s="30" t="s">
        <v>791</v>
      </c>
      <c r="K17" s="32" t="s">
        <v>792</v>
      </c>
      <c r="L17" s="32"/>
      <c r="M17" s="30"/>
    </row>
    <row r="18" spans="4:13" x14ac:dyDescent="0.25">
      <c r="D18" s="19" t="s">
        <v>514</v>
      </c>
      <c r="E18" s="19" t="s">
        <v>515</v>
      </c>
      <c r="F18" s="19" t="s">
        <v>516</v>
      </c>
      <c r="I18" s="31" t="s">
        <v>793</v>
      </c>
      <c r="J18" s="31" t="s">
        <v>794</v>
      </c>
      <c r="K18" s="31" t="s">
        <v>795</v>
      </c>
      <c r="L18" s="31" t="s">
        <v>796</v>
      </c>
      <c r="M18" s="25" t="s">
        <v>797</v>
      </c>
    </row>
    <row r="19" spans="4:13" x14ac:dyDescent="0.25">
      <c r="D19" s="19" t="s">
        <v>517</v>
      </c>
      <c r="E19" s="19" t="s">
        <v>518</v>
      </c>
      <c r="F19" s="19" t="s">
        <v>519</v>
      </c>
      <c r="I19" s="32"/>
      <c r="J19" s="32"/>
      <c r="K19" s="32"/>
      <c r="L19" s="32"/>
      <c r="M19" s="30" t="s">
        <v>798</v>
      </c>
    </row>
    <row r="20" spans="4:13" x14ac:dyDescent="0.25">
      <c r="D20" s="19"/>
      <c r="E20" t="s">
        <v>520</v>
      </c>
      <c r="F20" s="19" t="s">
        <v>521</v>
      </c>
      <c r="I20" s="19" t="s">
        <v>799</v>
      </c>
      <c r="J20" s="19" t="s">
        <v>800</v>
      </c>
      <c r="K20" s="19" t="s">
        <v>801</v>
      </c>
      <c r="L20" s="19" t="s">
        <v>802</v>
      </c>
      <c r="M20" s="41" t="s">
        <v>803</v>
      </c>
    </row>
    <row r="21" spans="4:13" x14ac:dyDescent="0.25">
      <c r="D21" s="19"/>
      <c r="E21" s="19" t="s">
        <v>522</v>
      </c>
      <c r="F21" s="19" t="s">
        <v>523</v>
      </c>
      <c r="I21" s="19" t="s">
        <v>804</v>
      </c>
      <c r="J21" s="19" t="s">
        <v>805</v>
      </c>
      <c r="K21" s="41" t="s">
        <v>800</v>
      </c>
      <c r="L21" s="19" t="s">
        <v>806</v>
      </c>
      <c r="M21" s="41" t="s">
        <v>807</v>
      </c>
    </row>
    <row r="22" spans="4:13" x14ac:dyDescent="0.25">
      <c r="D22" s="19"/>
      <c r="E22" s="19"/>
      <c r="F22" s="25"/>
      <c r="I22" s="31"/>
      <c r="J22" s="31"/>
      <c r="K22" s="25"/>
      <c r="L22" s="31"/>
      <c r="M22" s="25" t="s">
        <v>808</v>
      </c>
    </row>
    <row r="23" spans="4:13" x14ac:dyDescent="0.25">
      <c r="D23" s="19"/>
      <c r="E23" s="19" t="s">
        <v>524</v>
      </c>
      <c r="F23" s="25" t="s">
        <v>525</v>
      </c>
      <c r="I23" s="31" t="s">
        <v>809</v>
      </c>
      <c r="J23" s="31" t="s">
        <v>810</v>
      </c>
      <c r="K23" s="25" t="s">
        <v>805</v>
      </c>
      <c r="L23" s="31" t="s">
        <v>811</v>
      </c>
      <c r="M23" s="25" t="s">
        <v>812</v>
      </c>
    </row>
    <row r="24" spans="4:13" x14ac:dyDescent="0.25">
      <c r="D24" s="19"/>
      <c r="E24" s="19" t="s">
        <v>813</v>
      </c>
      <c r="F24" s="30" t="s">
        <v>527</v>
      </c>
      <c r="I24" s="32"/>
      <c r="J24" s="32"/>
      <c r="K24" s="30"/>
      <c r="L24" s="32" t="s">
        <v>814</v>
      </c>
      <c r="M24" s="30"/>
    </row>
    <row r="25" spans="4:13" x14ac:dyDescent="0.25">
      <c r="I25" s="19" t="s">
        <v>815</v>
      </c>
      <c r="J25" s="19"/>
      <c r="K25" s="41"/>
      <c r="L25" s="19"/>
      <c r="M25" s="41"/>
    </row>
    <row r="26" spans="4:13" x14ac:dyDescent="0.25">
      <c r="I26" s="19" t="s">
        <v>816</v>
      </c>
      <c r="J26" s="19" t="s">
        <v>800</v>
      </c>
      <c r="K26" s="19" t="s">
        <v>795</v>
      </c>
      <c r="L26" s="41" t="s">
        <v>817</v>
      </c>
      <c r="M26" s="41" t="s">
        <v>818</v>
      </c>
    </row>
    <row r="27" spans="4:13" x14ac:dyDescent="0.25">
      <c r="I27" s="31"/>
      <c r="J27" s="31"/>
      <c r="K27" s="31"/>
      <c r="L27" s="25" t="s">
        <v>819</v>
      </c>
      <c r="M27" s="25"/>
    </row>
    <row r="28" spans="4:13" x14ac:dyDescent="0.25">
      <c r="I28" s="31" t="s">
        <v>820</v>
      </c>
      <c r="J28" s="31" t="s">
        <v>800</v>
      </c>
      <c r="K28" s="31" t="s">
        <v>795</v>
      </c>
      <c r="L28" s="31" t="s">
        <v>821</v>
      </c>
      <c r="M28" s="25" t="s">
        <v>822</v>
      </c>
    </row>
    <row r="29" spans="4:13" x14ac:dyDescent="0.25">
      <c r="I29" s="32"/>
      <c r="J29" s="32"/>
      <c r="K29" s="32"/>
      <c r="L29" s="32" t="s">
        <v>823</v>
      </c>
      <c r="M29" s="30" t="s">
        <v>824</v>
      </c>
    </row>
    <row r="53" spans="3:13" x14ac:dyDescent="0.25">
      <c r="C53" s="202"/>
      <c r="D53" s="202"/>
      <c r="E53" s="202"/>
      <c r="F53" s="202"/>
      <c r="G53" s="202"/>
      <c r="H53" s="202"/>
      <c r="I53" s="202"/>
      <c r="J53" s="202"/>
      <c r="K53" s="202"/>
      <c r="L53" s="202"/>
      <c r="M53" s="202"/>
    </row>
    <row r="54" spans="3:13" x14ac:dyDescent="0.25"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</row>
    <row r="55" spans="3:13" ht="15.75" thickBot="1" x14ac:dyDescent="0.3"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02"/>
    </row>
    <row r="56" spans="3:13" ht="32.25" thickBot="1" x14ac:dyDescent="0.3">
      <c r="C56" s="202"/>
      <c r="D56" s="202"/>
      <c r="E56" s="374" t="s">
        <v>531</v>
      </c>
      <c r="F56" s="375" t="s">
        <v>825</v>
      </c>
      <c r="G56" s="375"/>
      <c r="H56" s="375" t="s">
        <v>533</v>
      </c>
      <c r="I56" s="375" t="s">
        <v>534</v>
      </c>
      <c r="J56" s="375" t="s">
        <v>535</v>
      </c>
      <c r="K56" s="375" t="s">
        <v>536</v>
      </c>
      <c r="L56" s="375" t="s">
        <v>537</v>
      </c>
      <c r="M56" s="202"/>
    </row>
    <row r="57" spans="3:13" ht="16.5" thickBot="1" x14ac:dyDescent="0.3">
      <c r="C57" s="202"/>
      <c r="D57" s="202"/>
      <c r="E57" s="368" t="s">
        <v>538</v>
      </c>
      <c r="F57" s="366">
        <v>500</v>
      </c>
      <c r="G57" s="366"/>
      <c r="H57" s="366"/>
      <c r="I57" s="366"/>
      <c r="J57" s="366"/>
      <c r="K57" s="366"/>
      <c r="L57" s="366"/>
      <c r="M57" s="202"/>
    </row>
    <row r="58" spans="3:13" ht="16.5" thickBot="1" x14ac:dyDescent="0.3">
      <c r="C58" s="202"/>
      <c r="D58" s="202"/>
      <c r="E58" s="368" t="s">
        <v>685</v>
      </c>
      <c r="F58" s="366">
        <v>3300</v>
      </c>
      <c r="G58" s="366"/>
      <c r="H58" s="366">
        <v>18.73</v>
      </c>
      <c r="I58" s="366">
        <v>3060</v>
      </c>
      <c r="J58" s="366">
        <v>1500</v>
      </c>
      <c r="K58" s="366" t="s">
        <v>686</v>
      </c>
      <c r="L58" s="366">
        <v>0.34078000000000003</v>
      </c>
      <c r="M58" s="202"/>
    </row>
    <row r="59" spans="3:13" ht="32.25" thickBot="1" x14ac:dyDescent="0.3">
      <c r="C59" s="202"/>
      <c r="D59" s="202"/>
      <c r="E59" s="368" t="s">
        <v>540</v>
      </c>
      <c r="F59" s="366">
        <v>4100</v>
      </c>
      <c r="G59" s="366"/>
      <c r="H59" s="366">
        <v>12.414999999999999</v>
      </c>
      <c r="I59" s="366">
        <v>5020</v>
      </c>
      <c r="J59" s="366">
        <v>2260</v>
      </c>
      <c r="K59" s="366" t="s">
        <v>541</v>
      </c>
      <c r="L59" s="366">
        <v>0.14971999999999999</v>
      </c>
      <c r="M59" s="202"/>
    </row>
    <row r="60" spans="3:13" ht="16.5" thickBot="1" x14ac:dyDescent="0.3">
      <c r="C60" s="202"/>
      <c r="D60" s="202"/>
      <c r="E60" s="368" t="s">
        <v>542</v>
      </c>
      <c r="F60" s="366">
        <v>7700</v>
      </c>
      <c r="G60" s="366"/>
      <c r="H60" s="366">
        <v>8.6809999999999992</v>
      </c>
      <c r="I60" s="366">
        <v>6870</v>
      </c>
      <c r="J60" s="366">
        <v>4750</v>
      </c>
      <c r="K60" s="366" t="s">
        <v>543</v>
      </c>
      <c r="L60" s="366">
        <v>7.3200000000000001E-2</v>
      </c>
      <c r="M60" s="202"/>
    </row>
    <row r="61" spans="3:13" ht="16.5" thickBot="1" x14ac:dyDescent="0.3">
      <c r="C61" s="202"/>
      <c r="D61" s="202"/>
      <c r="E61" s="368" t="s">
        <v>544</v>
      </c>
      <c r="F61" s="366">
        <v>9000</v>
      </c>
      <c r="G61" s="366"/>
      <c r="H61" s="366">
        <v>6.2759999999999998</v>
      </c>
      <c r="I61" s="366">
        <v>7240</v>
      </c>
      <c r="J61" s="366">
        <v>5410</v>
      </c>
      <c r="K61" s="366" t="s">
        <v>545</v>
      </c>
      <c r="L61" s="366">
        <v>4.1523999999999998E-2</v>
      </c>
      <c r="M61" s="202"/>
    </row>
    <row r="62" spans="3:13" x14ac:dyDescent="0.25">
      <c r="C62" s="202"/>
      <c r="D62" s="202"/>
      <c r="E62" s="202"/>
      <c r="F62" s="202"/>
      <c r="G62" s="202"/>
      <c r="H62" s="202"/>
      <c r="I62" s="202"/>
      <c r="J62" s="202"/>
      <c r="K62" s="202"/>
      <c r="L62" s="202"/>
      <c r="M62" s="202"/>
    </row>
    <row r="63" spans="3:13" x14ac:dyDescent="0.25">
      <c r="C63" s="202"/>
      <c r="D63" s="202"/>
      <c r="E63" s="202"/>
      <c r="F63" s="202"/>
      <c r="G63" s="202"/>
      <c r="H63" s="202"/>
      <c r="I63" s="202"/>
      <c r="J63" s="202"/>
      <c r="K63" s="202"/>
      <c r="L63" s="202"/>
      <c r="M63" s="202"/>
    </row>
    <row r="64" spans="3:13" x14ac:dyDescent="0.25">
      <c r="C64" s="202"/>
      <c r="D64" s="202"/>
      <c r="E64" s="202"/>
      <c r="F64" s="202"/>
      <c r="G64" s="202"/>
      <c r="H64" s="202"/>
      <c r="I64" s="202"/>
      <c r="J64" s="202"/>
      <c r="K64" s="202"/>
      <c r="L64" s="202"/>
      <c r="M64" s="202"/>
    </row>
    <row r="65" spans="3:13" x14ac:dyDescent="0.25">
      <c r="C65" s="202"/>
      <c r="D65" s="202"/>
      <c r="E65" s="202"/>
      <c r="F65" s="202"/>
      <c r="G65" s="202"/>
      <c r="H65" s="202"/>
      <c r="I65" s="202"/>
      <c r="J65" s="202"/>
      <c r="K65" s="202"/>
      <c r="L65" s="202"/>
      <c r="M65" s="202"/>
    </row>
    <row r="66" spans="3:13" x14ac:dyDescent="0.25"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</row>
    <row r="67" spans="3:13" x14ac:dyDescent="0.25"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</row>
    <row r="68" spans="3:13" x14ac:dyDescent="0.25">
      <c r="C68" s="202"/>
      <c r="D68" s="202"/>
      <c r="E68" s="202"/>
      <c r="F68" s="202"/>
      <c r="G68" s="202"/>
      <c r="H68" s="202"/>
      <c r="I68" s="202"/>
      <c r="J68" s="202"/>
      <c r="K68" s="202"/>
      <c r="L68" s="202"/>
      <c r="M68" s="202"/>
    </row>
    <row r="69" spans="3:13" x14ac:dyDescent="0.25"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53508-AD96-413F-9E80-E33898852CAB}">
  <sheetPr codeName="Sheet15"/>
  <dimension ref="A3:O124"/>
  <sheetViews>
    <sheetView showGridLines="0" topLeftCell="A85" zoomScale="115" zoomScaleNormal="115" workbookViewId="0">
      <selection activeCell="F127" sqref="F127:F128"/>
    </sheetView>
  </sheetViews>
  <sheetFormatPr defaultRowHeight="15" x14ac:dyDescent="0.25"/>
  <cols>
    <col min="2" max="2" width="12.7109375" bestFit="1" customWidth="1"/>
    <col min="3" max="3" width="11.5703125" customWidth="1"/>
    <col min="4" max="4" width="38.85546875" customWidth="1"/>
    <col min="5" max="5" width="12.140625" style="57" bestFit="1" customWidth="1"/>
    <col min="6" max="6" width="12.5703125" customWidth="1"/>
    <col min="7" max="7" width="11.140625" customWidth="1"/>
    <col min="9" max="9" width="12.5703125" customWidth="1"/>
    <col min="10" max="10" width="21.85546875" customWidth="1"/>
    <col min="11" max="11" width="10.7109375" bestFit="1" customWidth="1"/>
  </cols>
  <sheetData>
    <row r="3" spans="1:15" x14ac:dyDescent="0.25">
      <c r="A3" s="111"/>
      <c r="B3" t="s">
        <v>687</v>
      </c>
    </row>
    <row r="4" spans="1:15" ht="15.75" thickBot="1" x14ac:dyDescent="0.3">
      <c r="A4" s="201"/>
    </row>
    <row r="5" spans="1:15" ht="15.75" thickBot="1" x14ac:dyDescent="0.3">
      <c r="C5" s="693" t="s">
        <v>688</v>
      </c>
      <c r="D5" s="693"/>
      <c r="E5" s="693"/>
      <c r="F5" s="693"/>
      <c r="G5" s="693"/>
      <c r="H5" s="693"/>
      <c r="I5" s="693"/>
      <c r="J5" s="693"/>
      <c r="K5" s="693"/>
    </row>
    <row r="6" spans="1:15" ht="45" x14ac:dyDescent="0.25">
      <c r="C6" s="200" t="s">
        <v>689</v>
      </c>
      <c r="D6" s="198" t="s">
        <v>690</v>
      </c>
      <c r="E6" s="198" t="s">
        <v>691</v>
      </c>
      <c r="F6" s="198" t="s">
        <v>533</v>
      </c>
      <c r="G6" s="199" t="s">
        <v>692</v>
      </c>
      <c r="H6" s="198" t="s">
        <v>693</v>
      </c>
      <c r="I6" s="198" t="s">
        <v>694</v>
      </c>
      <c r="J6" s="197" t="s">
        <v>695</v>
      </c>
      <c r="K6" s="196" t="s">
        <v>696</v>
      </c>
    </row>
    <row r="7" spans="1:15" x14ac:dyDescent="0.25">
      <c r="C7" s="194">
        <v>1</v>
      </c>
      <c r="D7" s="193" t="s">
        <v>697</v>
      </c>
      <c r="E7" s="193" t="s">
        <v>698</v>
      </c>
      <c r="F7" s="193">
        <v>29</v>
      </c>
      <c r="G7" s="69">
        <f>29/1029.4</f>
        <v>2.8171750534291818E-2</v>
      </c>
      <c r="H7" s="195" t="s">
        <v>625</v>
      </c>
      <c r="I7" s="195" t="s">
        <v>625</v>
      </c>
      <c r="J7" s="192">
        <v>500</v>
      </c>
      <c r="K7" s="191">
        <f>J7+10</f>
        <v>510</v>
      </c>
    </row>
    <row r="8" spans="1:15" x14ac:dyDescent="0.25">
      <c r="C8" s="194">
        <v>2</v>
      </c>
      <c r="D8" s="193" t="s">
        <v>699</v>
      </c>
      <c r="E8" s="193" t="s">
        <v>700</v>
      </c>
      <c r="F8" s="193">
        <v>18.73</v>
      </c>
      <c r="G8" s="69">
        <v>0.34078000000000003</v>
      </c>
      <c r="H8" s="193">
        <v>1540</v>
      </c>
      <c r="I8" s="193">
        <v>1205</v>
      </c>
      <c r="J8" s="192">
        <v>3300</v>
      </c>
      <c r="K8" s="191">
        <f>J8+10</f>
        <v>3310</v>
      </c>
    </row>
    <row r="9" spans="1:15" x14ac:dyDescent="0.25">
      <c r="C9" s="194">
        <v>3</v>
      </c>
      <c r="D9" s="193" t="s">
        <v>701</v>
      </c>
      <c r="E9" s="193" t="s">
        <v>702</v>
      </c>
      <c r="F9" s="193">
        <v>12.414999999999999</v>
      </c>
      <c r="G9" s="69">
        <v>0.14971999999999999</v>
      </c>
      <c r="H9" s="193">
        <v>2502</v>
      </c>
      <c r="I9" s="193">
        <v>1800</v>
      </c>
      <c r="J9" s="192">
        <v>4100</v>
      </c>
      <c r="K9" s="191">
        <f>J9+10</f>
        <v>4110</v>
      </c>
      <c r="N9" s="19">
        <v>273</v>
      </c>
      <c r="O9" s="19">
        <v>500</v>
      </c>
    </row>
    <row r="10" spans="1:15" x14ac:dyDescent="0.25">
      <c r="C10" s="194">
        <v>4</v>
      </c>
      <c r="D10" s="193" t="s">
        <v>703</v>
      </c>
      <c r="E10" s="193" t="s">
        <v>704</v>
      </c>
      <c r="F10" s="193">
        <v>8.6809999999999992</v>
      </c>
      <c r="G10" s="69">
        <v>7.3200000000000001E-2</v>
      </c>
      <c r="H10" s="193">
        <v>4628</v>
      </c>
      <c r="I10" s="193">
        <v>2925</v>
      </c>
      <c r="J10" s="192">
        <v>7700</v>
      </c>
      <c r="K10" s="191">
        <f>J10+10</f>
        <v>7710</v>
      </c>
      <c r="N10" s="19">
        <v>1973</v>
      </c>
      <c r="O10" s="19">
        <v>3300</v>
      </c>
    </row>
    <row r="11" spans="1:15" ht="15.75" thickBot="1" x14ac:dyDescent="0.3">
      <c r="C11" s="238">
        <v>5</v>
      </c>
      <c r="D11" s="236" t="s">
        <v>826</v>
      </c>
      <c r="E11" s="236" t="s">
        <v>827</v>
      </c>
      <c r="F11" s="236">
        <v>6.2759999999999998</v>
      </c>
      <c r="G11" s="237">
        <v>3.8260000000000002E-2</v>
      </c>
      <c r="H11" s="236">
        <v>5228</v>
      </c>
      <c r="I11" s="236">
        <v>5200</v>
      </c>
      <c r="J11" s="235">
        <v>9000</v>
      </c>
      <c r="K11" s="191">
        <f>J11+10</f>
        <v>9010</v>
      </c>
      <c r="N11" s="19">
        <v>2772</v>
      </c>
      <c r="O11" s="19">
        <v>4100</v>
      </c>
    </row>
    <row r="12" spans="1:15" ht="29.25" thickBot="1" x14ac:dyDescent="0.5">
      <c r="C12" s="190"/>
      <c r="D12" s="694" t="s">
        <v>705</v>
      </c>
      <c r="E12" s="694"/>
      <c r="F12" s="694"/>
      <c r="G12" s="694"/>
      <c r="H12" s="694"/>
      <c r="I12" s="694"/>
      <c r="J12" s="694"/>
      <c r="K12" s="189"/>
      <c r="N12" s="19">
        <v>5806</v>
      </c>
      <c r="O12" s="19">
        <v>7700</v>
      </c>
    </row>
    <row r="13" spans="1:15" ht="19.5" thickBot="1" x14ac:dyDescent="0.35">
      <c r="C13" s="188"/>
      <c r="D13" s="695" t="s">
        <v>706</v>
      </c>
      <c r="E13" s="695"/>
      <c r="F13" s="695"/>
      <c r="G13" s="695"/>
      <c r="H13" s="695"/>
      <c r="I13" s="695"/>
      <c r="J13" s="695"/>
      <c r="K13" s="695"/>
      <c r="N13" s="19">
        <v>7114</v>
      </c>
      <c r="O13" s="19">
        <v>9000</v>
      </c>
    </row>
    <row r="14" spans="1:15" x14ac:dyDescent="0.25">
      <c r="C14" s="87"/>
      <c r="D14" s="150" t="s">
        <v>707</v>
      </c>
      <c r="E14" s="187">
        <f>K8</f>
        <v>3310</v>
      </c>
      <c r="F14" s="186" t="s">
        <v>708</v>
      </c>
      <c r="G14" s="185"/>
      <c r="H14" s="185"/>
      <c r="I14" s="185"/>
      <c r="J14" s="185"/>
      <c r="K14" s="184"/>
    </row>
    <row r="15" spans="1:15" x14ac:dyDescent="0.25">
      <c r="C15" s="87"/>
      <c r="D15" s="120" t="s">
        <v>709</v>
      </c>
      <c r="E15" s="182">
        <f>0</f>
        <v>0</v>
      </c>
      <c r="F15" s="175" t="s">
        <v>708</v>
      </c>
      <c r="G15" s="85"/>
      <c r="H15" s="85"/>
      <c r="I15" s="85"/>
      <c r="J15" s="85"/>
      <c r="K15" s="84"/>
    </row>
    <row r="16" spans="1:15" ht="30" x14ac:dyDescent="0.25">
      <c r="C16" s="87"/>
      <c r="D16" s="120" t="s">
        <v>710</v>
      </c>
      <c r="E16" s="182">
        <f>E14-E15</f>
        <v>3310</v>
      </c>
      <c r="F16" s="175" t="s">
        <v>708</v>
      </c>
      <c r="G16" s="85"/>
      <c r="H16" s="85"/>
      <c r="I16" s="85"/>
      <c r="J16" s="85"/>
      <c r="K16" s="94"/>
    </row>
    <row r="17" spans="3:12" x14ac:dyDescent="0.25">
      <c r="C17" s="87"/>
      <c r="D17" s="115" t="s">
        <v>711</v>
      </c>
      <c r="E17" s="182">
        <f>J7</f>
        <v>500</v>
      </c>
      <c r="F17" s="175" t="s">
        <v>708</v>
      </c>
      <c r="G17" s="85"/>
      <c r="H17" s="85"/>
      <c r="I17" s="85"/>
      <c r="J17" s="85"/>
      <c r="K17" s="109">
        <f>J7</f>
        <v>500</v>
      </c>
    </row>
    <row r="18" spans="3:12" x14ac:dyDescent="0.25">
      <c r="C18" s="87"/>
      <c r="D18" s="115" t="s">
        <v>712</v>
      </c>
      <c r="E18" s="182">
        <f>E14-E17</f>
        <v>2810</v>
      </c>
      <c r="F18" s="175" t="s">
        <v>708</v>
      </c>
      <c r="G18" s="183" t="str">
        <f>E7</f>
        <v>30''</v>
      </c>
      <c r="H18" s="85"/>
      <c r="I18" s="85"/>
      <c r="J18" s="85"/>
      <c r="K18" s="84"/>
    </row>
    <row r="19" spans="3:12" x14ac:dyDescent="0.25">
      <c r="C19" s="87"/>
      <c r="D19" s="115" t="s">
        <v>713</v>
      </c>
      <c r="E19" s="182">
        <f>E14-E15</f>
        <v>3310</v>
      </c>
      <c r="F19" s="175" t="s">
        <v>714</v>
      </c>
      <c r="G19" s="85"/>
      <c r="H19" s="85"/>
      <c r="I19" s="85"/>
      <c r="J19" s="85"/>
      <c r="K19" s="84"/>
    </row>
    <row r="20" spans="3:12" x14ac:dyDescent="0.25">
      <c r="C20" s="87"/>
      <c r="D20" s="117" t="s">
        <v>828</v>
      </c>
      <c r="E20" s="181">
        <v>2704</v>
      </c>
      <c r="F20" s="175" t="s">
        <v>714</v>
      </c>
      <c r="G20" s="85"/>
      <c r="H20" s="85"/>
      <c r="I20" s="85"/>
      <c r="J20" s="85"/>
      <c r="K20" s="84"/>
    </row>
    <row r="21" spans="3:12" x14ac:dyDescent="0.25">
      <c r="C21" s="145" t="s">
        <v>716</v>
      </c>
      <c r="D21" s="108" t="s">
        <v>829</v>
      </c>
      <c r="E21" s="180">
        <f>15.8*E14*0.052</f>
        <v>2719.4960000000001</v>
      </c>
      <c r="F21" s="175" t="s">
        <v>714</v>
      </c>
      <c r="G21" s="85"/>
      <c r="H21" s="85"/>
      <c r="I21" s="85"/>
      <c r="J21" s="85"/>
      <c r="K21" s="84"/>
    </row>
    <row r="22" spans="3:12" x14ac:dyDescent="0.25">
      <c r="C22" s="145" t="s">
        <v>716</v>
      </c>
      <c r="D22" s="179" t="s">
        <v>718</v>
      </c>
      <c r="E22" s="178">
        <f>13.2*0.052*E14</f>
        <v>2271.9839999999995</v>
      </c>
      <c r="F22" s="175" t="s">
        <v>714</v>
      </c>
      <c r="G22" s="85"/>
      <c r="H22" s="85"/>
      <c r="I22" s="85"/>
      <c r="J22" s="85"/>
      <c r="K22" s="84"/>
    </row>
    <row r="23" spans="3:12" x14ac:dyDescent="0.25">
      <c r="C23" s="145" t="s">
        <v>719</v>
      </c>
      <c r="D23" s="177">
        <v>8.6</v>
      </c>
      <c r="E23" s="234">
        <f>15.8*0.052*0</f>
        <v>0</v>
      </c>
      <c r="F23" s="175" t="s">
        <v>244</v>
      </c>
      <c r="G23" s="110" t="s">
        <v>720</v>
      </c>
      <c r="H23" s="85"/>
      <c r="I23" s="85"/>
      <c r="J23" s="85"/>
      <c r="K23" s="174">
        <f>J8</f>
        <v>3300</v>
      </c>
    </row>
    <row r="24" spans="3:12" ht="15.75" thickBot="1" x14ac:dyDescent="0.3">
      <c r="C24" s="86"/>
      <c r="D24" s="143" t="s">
        <v>721</v>
      </c>
      <c r="E24" s="173">
        <f>(13.2*0.052*E14)+E23</f>
        <v>2271.9839999999995</v>
      </c>
      <c r="F24" s="172" t="s">
        <v>714</v>
      </c>
      <c r="G24" s="171"/>
      <c r="H24" s="696" t="s">
        <v>722</v>
      </c>
      <c r="I24" s="696"/>
      <c r="J24" s="696"/>
      <c r="K24" s="170"/>
    </row>
    <row r="25" spans="3:12" ht="15.75" thickBot="1" x14ac:dyDescent="0.3">
      <c r="C25" s="697" t="s">
        <v>723</v>
      </c>
      <c r="D25" s="697"/>
      <c r="E25" s="697"/>
      <c r="F25" s="697"/>
      <c r="G25" s="697"/>
      <c r="H25" s="697"/>
      <c r="I25" s="698" t="s">
        <v>724</v>
      </c>
      <c r="J25" s="698"/>
      <c r="K25" s="698"/>
    </row>
    <row r="26" spans="3:12" ht="45" x14ac:dyDescent="0.25">
      <c r="C26" s="169"/>
      <c r="D26" s="19" t="s">
        <v>725</v>
      </c>
      <c r="E26" s="77" t="s">
        <v>726</v>
      </c>
      <c r="F26" s="19" t="s">
        <v>727</v>
      </c>
      <c r="G26" s="77" t="s">
        <v>728</v>
      </c>
      <c r="H26" s="19"/>
      <c r="I26" s="168" t="s">
        <v>729</v>
      </c>
      <c r="J26" s="167">
        <v>1.89</v>
      </c>
      <c r="K26" s="165" t="s">
        <v>730</v>
      </c>
      <c r="L26" s="57"/>
    </row>
    <row r="27" spans="3:12" ht="30" x14ac:dyDescent="0.25">
      <c r="C27" s="71"/>
      <c r="D27" s="75" t="s">
        <v>731</v>
      </c>
      <c r="E27" s="135">
        <f>(K8-J8)</f>
        <v>10</v>
      </c>
      <c r="F27" s="163">
        <f>(26^2/1029.4)</f>
        <v>0.65669321935107827</v>
      </c>
      <c r="G27" s="166">
        <f>F27*E27*1.1</f>
        <v>7.2236254128618622</v>
      </c>
      <c r="H27" s="77"/>
      <c r="I27" s="19" t="s">
        <v>732</v>
      </c>
      <c r="J27" s="78">
        <v>0.67</v>
      </c>
      <c r="K27" s="165" t="s">
        <v>730</v>
      </c>
      <c r="L27" s="57"/>
    </row>
    <row r="28" spans="3:12" x14ac:dyDescent="0.25">
      <c r="C28" s="71"/>
      <c r="D28" s="19" t="s">
        <v>733</v>
      </c>
      <c r="E28" s="135">
        <v>40</v>
      </c>
      <c r="F28" s="163">
        <f>18.73^2/1029.4</f>
        <v>0.34079356906936076</v>
      </c>
      <c r="G28" s="162">
        <f>E28*F28</f>
        <v>13.631742762774429</v>
      </c>
      <c r="H28" s="77"/>
      <c r="I28" s="19" t="s">
        <v>734</v>
      </c>
      <c r="J28" s="77" t="s">
        <v>735</v>
      </c>
      <c r="K28" s="165" t="s">
        <v>736</v>
      </c>
      <c r="L28" s="57"/>
    </row>
    <row r="29" spans="3:12" x14ac:dyDescent="0.25">
      <c r="C29" s="71"/>
      <c r="D29" s="75" t="s">
        <v>738</v>
      </c>
      <c r="E29" s="135">
        <f>K8-J7</f>
        <v>2810</v>
      </c>
      <c r="F29" s="163">
        <f>((26^2)-(20^2))/(1029.4)</f>
        <v>0.26811734991257041</v>
      </c>
      <c r="G29" s="162">
        <f>E29*F29*1.1</f>
        <v>828.75072857975522</v>
      </c>
      <c r="H29" s="77"/>
      <c r="I29" s="699" t="s">
        <v>739</v>
      </c>
      <c r="J29" s="699"/>
      <c r="K29" s="699"/>
      <c r="L29" s="57"/>
    </row>
    <row r="30" spans="3:12" x14ac:dyDescent="0.25">
      <c r="C30" s="71"/>
      <c r="D30" s="19" t="s">
        <v>740</v>
      </c>
      <c r="E30" s="135">
        <f>J7</f>
        <v>500</v>
      </c>
      <c r="F30" s="163">
        <f>(29^2-20^2)/1029.4</f>
        <v>0.42840489605595489</v>
      </c>
      <c r="G30" s="162">
        <f>E30*F30</f>
        <v>214.20244802797745</v>
      </c>
      <c r="H30" s="77"/>
      <c r="I30" s="22" t="s">
        <v>741</v>
      </c>
      <c r="J30" s="98">
        <f>G32/1.89</f>
        <v>3160.4682428352471</v>
      </c>
      <c r="K30" s="66" t="s">
        <v>742</v>
      </c>
    </row>
    <row r="31" spans="3:12" x14ac:dyDescent="0.25">
      <c r="C31" s="71"/>
      <c r="D31" s="138" t="s">
        <v>743</v>
      </c>
      <c r="E31" s="161"/>
      <c r="F31" s="160"/>
      <c r="G31" s="159">
        <f>SUM(G27:G30)</f>
        <v>1063.8085447833689</v>
      </c>
      <c r="H31" s="77"/>
      <c r="I31" s="22" t="s">
        <v>732</v>
      </c>
      <c r="J31" s="98">
        <f>J30*0.67</f>
        <v>2117.5137226996158</v>
      </c>
      <c r="K31" s="66" t="s">
        <v>744</v>
      </c>
    </row>
    <row r="32" spans="3:12" ht="30.75" thickBot="1" x14ac:dyDescent="0.3">
      <c r="C32" s="65"/>
      <c r="D32" s="158" t="s">
        <v>745</v>
      </c>
      <c r="E32" s="157"/>
      <c r="F32" s="156"/>
      <c r="G32" s="155">
        <f>G31*5.615</f>
        <v>5973.2849789586171</v>
      </c>
      <c r="H32" s="154"/>
      <c r="I32" s="233" t="s">
        <v>746</v>
      </c>
      <c r="J32" s="97">
        <f>(0.2/100)*J30*94</f>
        <v>594.16802965302645</v>
      </c>
      <c r="K32" s="60" t="s">
        <v>736</v>
      </c>
      <c r="L32" s="57"/>
    </row>
    <row r="34" spans="3:15" ht="15.75" thickBot="1" x14ac:dyDescent="0.3"/>
    <row r="35" spans="3:15" ht="29.25" thickBot="1" x14ac:dyDescent="0.5">
      <c r="C35" s="691" t="s">
        <v>747</v>
      </c>
      <c r="D35" s="691"/>
      <c r="E35" s="691"/>
      <c r="F35" s="691"/>
      <c r="G35" s="691"/>
      <c r="H35" s="691"/>
      <c r="I35" s="691"/>
      <c r="J35" s="691"/>
      <c r="K35" s="691"/>
    </row>
    <row r="36" spans="3:15" ht="19.5" thickBot="1" x14ac:dyDescent="0.35">
      <c r="C36" s="96"/>
      <c r="D36" s="695" t="s">
        <v>748</v>
      </c>
      <c r="E36" s="695"/>
      <c r="F36" s="695"/>
      <c r="G36" s="695"/>
      <c r="H36" s="695"/>
      <c r="I36" s="695"/>
      <c r="J36" s="695"/>
      <c r="K36" s="695"/>
    </row>
    <row r="37" spans="3:15" x14ac:dyDescent="0.25">
      <c r="C37" s="87"/>
      <c r="D37" s="150" t="s">
        <v>707</v>
      </c>
      <c r="E37" s="149">
        <f>K9</f>
        <v>4110</v>
      </c>
      <c r="F37" s="85"/>
      <c r="G37" s="85"/>
      <c r="H37" s="85"/>
      <c r="I37" s="85"/>
      <c r="J37" s="85"/>
      <c r="K37" s="94"/>
    </row>
    <row r="38" spans="3:15" ht="30" x14ac:dyDescent="0.25">
      <c r="C38" s="87"/>
      <c r="D38" s="120" t="s">
        <v>749</v>
      </c>
      <c r="E38" s="114">
        <f>E40-200</f>
        <v>3100</v>
      </c>
      <c r="F38" s="85"/>
      <c r="G38" s="85"/>
      <c r="H38" s="85"/>
      <c r="I38" s="85"/>
      <c r="J38" s="85"/>
      <c r="K38" s="94"/>
      <c r="N38" s="19">
        <v>273</v>
      </c>
      <c r="O38" s="19">
        <v>500</v>
      </c>
    </row>
    <row r="39" spans="3:15" ht="30" x14ac:dyDescent="0.25">
      <c r="C39" s="87"/>
      <c r="D39" s="120" t="s">
        <v>710</v>
      </c>
      <c r="E39" s="114">
        <f>E37-E38</f>
        <v>1010</v>
      </c>
      <c r="F39" s="85"/>
      <c r="G39" s="89" t="str">
        <f>G18</f>
        <v>30''</v>
      </c>
      <c r="H39" s="85"/>
      <c r="I39" s="85"/>
      <c r="J39" s="85"/>
      <c r="K39" s="148">
        <f>J7</f>
        <v>500</v>
      </c>
      <c r="N39" s="19">
        <v>1973</v>
      </c>
      <c r="O39" s="19">
        <v>3300</v>
      </c>
    </row>
    <row r="40" spans="3:15" x14ac:dyDescent="0.25">
      <c r="C40" s="87"/>
      <c r="D40" s="115" t="s">
        <v>711</v>
      </c>
      <c r="E40" s="114">
        <f>J8</f>
        <v>3300</v>
      </c>
      <c r="F40" s="85"/>
      <c r="G40" s="85"/>
      <c r="H40" s="85"/>
      <c r="I40" s="85"/>
      <c r="J40" s="85"/>
      <c r="K40" s="84"/>
      <c r="N40" s="19">
        <v>2772</v>
      </c>
      <c r="O40" s="19">
        <v>4100</v>
      </c>
    </row>
    <row r="41" spans="3:15" x14ac:dyDescent="0.25">
      <c r="C41" s="87"/>
      <c r="D41" s="115" t="s">
        <v>751</v>
      </c>
      <c r="E41" s="114">
        <f>E37-E40</f>
        <v>810</v>
      </c>
      <c r="F41" s="85"/>
      <c r="G41" s="85"/>
      <c r="H41" s="85"/>
      <c r="I41" s="85"/>
      <c r="J41" s="85"/>
      <c r="K41" s="84"/>
      <c r="N41" s="19">
        <v>5806</v>
      </c>
      <c r="O41" s="19">
        <v>7700</v>
      </c>
    </row>
    <row r="42" spans="3:15" x14ac:dyDescent="0.25">
      <c r="C42" s="87"/>
      <c r="D42" s="117" t="s">
        <v>752</v>
      </c>
      <c r="E42" s="116">
        <v>500</v>
      </c>
      <c r="F42" s="85"/>
      <c r="G42" s="89" t="s">
        <v>720</v>
      </c>
      <c r="H42" s="85"/>
      <c r="I42" s="85"/>
      <c r="J42" s="85"/>
      <c r="K42" s="109">
        <f>J8</f>
        <v>3300</v>
      </c>
      <c r="N42" s="19">
        <v>7114</v>
      </c>
      <c r="O42" s="19">
        <v>9000</v>
      </c>
    </row>
    <row r="43" spans="3:15" x14ac:dyDescent="0.25">
      <c r="C43" s="87"/>
      <c r="D43" s="115" t="s">
        <v>830</v>
      </c>
      <c r="E43" s="114">
        <f>E37-E42</f>
        <v>3610</v>
      </c>
      <c r="F43" s="85"/>
      <c r="G43" s="85"/>
      <c r="H43" s="85"/>
      <c r="I43" s="85"/>
      <c r="J43" s="85"/>
      <c r="K43" s="84"/>
    </row>
    <row r="44" spans="3:15" x14ac:dyDescent="0.25">
      <c r="C44" s="87"/>
      <c r="D44" s="115" t="s">
        <v>831</v>
      </c>
      <c r="E44" s="114">
        <f>E43-E38</f>
        <v>510</v>
      </c>
      <c r="F44" s="85"/>
      <c r="G44" s="85"/>
      <c r="H44" s="85"/>
      <c r="I44" s="85"/>
      <c r="J44" s="85"/>
      <c r="K44" s="84"/>
    </row>
    <row r="45" spans="3:15" x14ac:dyDescent="0.25">
      <c r="C45" s="87"/>
      <c r="D45" s="147" t="s">
        <v>832</v>
      </c>
      <c r="E45" s="93">
        <f>N40</f>
        <v>2772</v>
      </c>
      <c r="F45" s="85"/>
      <c r="G45" s="146"/>
      <c r="H45" s="85" t="s">
        <v>755</v>
      </c>
      <c r="I45" s="85"/>
      <c r="J45" s="85"/>
      <c r="K45" s="109">
        <f>J9</f>
        <v>4100</v>
      </c>
    </row>
    <row r="46" spans="3:15" x14ac:dyDescent="0.25">
      <c r="C46" s="145" t="s">
        <v>716</v>
      </c>
      <c r="D46" s="108" t="s">
        <v>682</v>
      </c>
      <c r="E46" s="90">
        <f>15.8*0.052*E42</f>
        <v>410.8</v>
      </c>
      <c r="F46" s="85"/>
      <c r="G46" s="85"/>
      <c r="H46" s="85"/>
      <c r="I46" s="85"/>
      <c r="J46" s="85"/>
      <c r="K46" s="84"/>
    </row>
    <row r="47" spans="3:15" x14ac:dyDescent="0.25">
      <c r="C47" s="145" t="s">
        <v>716</v>
      </c>
      <c r="D47" s="108" t="s">
        <v>756</v>
      </c>
      <c r="E47" s="90">
        <f>13.2*0.052*E44</f>
        <v>350.06399999999996</v>
      </c>
      <c r="F47" s="85"/>
      <c r="G47" s="85"/>
      <c r="H47" s="85"/>
      <c r="I47" s="85"/>
      <c r="J47" s="85"/>
      <c r="K47" s="84"/>
    </row>
    <row r="48" spans="3:15" ht="15.75" thickBot="1" x14ac:dyDescent="0.3">
      <c r="C48" s="145" t="s">
        <v>757</v>
      </c>
      <c r="D48" s="144">
        <v>8.6</v>
      </c>
      <c r="E48" s="88">
        <f>D48*0.052*(E38)</f>
        <v>1386.32</v>
      </c>
      <c r="F48" s="85"/>
      <c r="G48" s="85"/>
      <c r="H48" s="85" t="s">
        <v>758</v>
      </c>
      <c r="I48" s="85"/>
      <c r="J48" s="85"/>
      <c r="K48" s="84"/>
    </row>
    <row r="49" spans="3:11" ht="15.75" thickBot="1" x14ac:dyDescent="0.3">
      <c r="C49" s="86"/>
      <c r="D49" s="143" t="s">
        <v>721</v>
      </c>
      <c r="E49" s="142">
        <f>SUM(E46:E48)</f>
        <v>2147.1840000000002</v>
      </c>
      <c r="F49" s="85"/>
      <c r="G49" s="85"/>
      <c r="H49" s="85"/>
      <c r="I49" s="85"/>
      <c r="J49" s="85"/>
      <c r="K49" s="84"/>
    </row>
    <row r="50" spans="3:11" ht="15.75" thickBot="1" x14ac:dyDescent="0.3">
      <c r="C50" s="704" t="s">
        <v>723</v>
      </c>
      <c r="D50" s="704"/>
      <c r="E50" s="704"/>
      <c r="F50" s="704"/>
      <c r="G50" s="704"/>
      <c r="H50" s="704"/>
      <c r="I50" s="705" t="s">
        <v>724</v>
      </c>
      <c r="J50" s="705"/>
      <c r="K50" s="705"/>
    </row>
    <row r="51" spans="3:11" ht="45" x14ac:dyDescent="0.25">
      <c r="C51" s="83"/>
      <c r="D51" s="82" t="s">
        <v>725</v>
      </c>
      <c r="E51" s="141" t="s">
        <v>726</v>
      </c>
      <c r="F51" s="82" t="s">
        <v>727</v>
      </c>
      <c r="G51" s="141" t="s">
        <v>728</v>
      </c>
      <c r="H51" s="19"/>
      <c r="I51" s="80" t="s">
        <v>760</v>
      </c>
      <c r="J51" s="105">
        <v>1.89</v>
      </c>
      <c r="K51" s="66" t="s">
        <v>730</v>
      </c>
    </row>
    <row r="52" spans="3:11" ht="30" x14ac:dyDescent="0.25">
      <c r="C52" s="71"/>
      <c r="D52" s="75" t="s">
        <v>833</v>
      </c>
      <c r="E52" s="135">
        <f>K9-J9</f>
        <v>10</v>
      </c>
      <c r="F52" s="134">
        <f>(17.5^2/1029.4)</f>
        <v>0.29750340003885756</v>
      </c>
      <c r="G52" s="140">
        <f>F52*E52*1.1</f>
        <v>3.2725374004274332</v>
      </c>
      <c r="H52" s="19"/>
      <c r="I52" s="80" t="s">
        <v>682</v>
      </c>
      <c r="J52" s="105">
        <v>1.1499999999999999</v>
      </c>
      <c r="K52" s="66" t="s">
        <v>730</v>
      </c>
    </row>
    <row r="53" spans="3:11" ht="17.25" x14ac:dyDescent="0.25">
      <c r="C53" s="71"/>
      <c r="D53" s="19" t="s">
        <v>834</v>
      </c>
      <c r="E53" s="135">
        <v>80</v>
      </c>
      <c r="F53" s="134">
        <f>12.415^2/1029.4</f>
        <v>0.14973015834466677</v>
      </c>
      <c r="G53" s="139">
        <f>E53*F53</f>
        <v>11.978412667573341</v>
      </c>
      <c r="H53" s="19"/>
      <c r="I53" s="41" t="s">
        <v>732</v>
      </c>
      <c r="J53" s="77">
        <v>0.67</v>
      </c>
      <c r="K53" s="66" t="s">
        <v>730</v>
      </c>
    </row>
    <row r="54" spans="3:11" ht="30" x14ac:dyDescent="0.25">
      <c r="C54" s="71"/>
      <c r="D54" s="75" t="s">
        <v>835</v>
      </c>
      <c r="E54" s="135">
        <f>J9 - E43</f>
        <v>490</v>
      </c>
      <c r="F54" s="134">
        <f>((17.5^2)-(13.375^2))/(1029.4)</f>
        <v>0.1237219496794249</v>
      </c>
      <c r="G54" s="139">
        <f>E54*F54*1.1</f>
        <v>66.686130877210033</v>
      </c>
      <c r="H54" s="19"/>
      <c r="I54" s="41" t="s">
        <v>734</v>
      </c>
      <c r="J54" s="77" t="s">
        <v>735</v>
      </c>
      <c r="K54" s="66" t="s">
        <v>736</v>
      </c>
    </row>
    <row r="55" spans="3:11" x14ac:dyDescent="0.25">
      <c r="C55" s="71"/>
      <c r="D55" s="138" t="s">
        <v>762</v>
      </c>
      <c r="E55" s="137"/>
      <c r="F55" s="136"/>
      <c r="G55" s="133">
        <f>SUM(G52:G54)</f>
        <v>81.937080945210809</v>
      </c>
      <c r="H55" s="19"/>
      <c r="I55" s="699" t="s">
        <v>739</v>
      </c>
      <c r="J55" s="699"/>
      <c r="K55" s="699"/>
    </row>
    <row r="56" spans="3:11" ht="17.25" x14ac:dyDescent="0.25">
      <c r="C56" s="71"/>
      <c r="D56" s="138" t="s">
        <v>836</v>
      </c>
      <c r="E56" s="137"/>
      <c r="F56" s="136"/>
      <c r="G56" s="130">
        <f>G55*5.615</f>
        <v>460.07670950735871</v>
      </c>
      <c r="H56" s="19"/>
      <c r="I56" s="67" t="s">
        <v>741</v>
      </c>
      <c r="J56" s="98">
        <f>G60/1.89</f>
        <v>224.57506994269281</v>
      </c>
      <c r="K56" s="66" t="s">
        <v>742</v>
      </c>
    </row>
    <row r="57" spans="3:11" ht="30" x14ac:dyDescent="0.25">
      <c r="C57" s="71"/>
      <c r="D57" s="75" t="s">
        <v>837</v>
      </c>
      <c r="E57" s="135">
        <f>E43-E40</f>
        <v>310</v>
      </c>
      <c r="F57" s="134">
        <f>((17.5^2)-(13.375^2))/(1029.4)</f>
        <v>0.1237219496794249</v>
      </c>
      <c r="G57" s="19">
        <f>E57*F57*1.1</f>
        <v>42.189184840683893</v>
      </c>
      <c r="H57" s="19"/>
      <c r="I57" s="67" t="s">
        <v>732</v>
      </c>
      <c r="J57" s="98">
        <f>J56*0.67</f>
        <v>150.4652968616042</v>
      </c>
      <c r="K57" s="66" t="s">
        <v>744</v>
      </c>
    </row>
    <row r="58" spans="3:11" ht="30" x14ac:dyDescent="0.25">
      <c r="C58" s="71"/>
      <c r="D58" s="75" t="s">
        <v>838</v>
      </c>
      <c r="E58" s="135">
        <f>E40-E38</f>
        <v>200</v>
      </c>
      <c r="F58" s="134">
        <f>(F8^2-13.375^2)/1029.4</f>
        <v>0.1670121187099281</v>
      </c>
      <c r="G58" s="19">
        <f>E58*F58</f>
        <v>33.402423741985622</v>
      </c>
      <c r="H58" s="19"/>
      <c r="I58" s="72" t="s">
        <v>746</v>
      </c>
      <c r="J58" s="98">
        <f>(0.2/100)*J56*94</f>
        <v>42.220113149226243</v>
      </c>
      <c r="K58" s="66" t="s">
        <v>736</v>
      </c>
    </row>
    <row r="59" spans="3:11" x14ac:dyDescent="0.25">
      <c r="C59" s="71"/>
      <c r="D59" s="131" t="s">
        <v>764</v>
      </c>
      <c r="E59" s="132"/>
      <c r="F59" s="131"/>
      <c r="G59" s="133">
        <f>SUM(G57:G58)</f>
        <v>75.591608582669522</v>
      </c>
      <c r="H59" s="19"/>
      <c r="I59" s="699" t="s">
        <v>765</v>
      </c>
      <c r="J59" s="699"/>
      <c r="K59" s="699"/>
    </row>
    <row r="60" spans="3:11" x14ac:dyDescent="0.25">
      <c r="C60" s="71"/>
      <c r="D60" s="131" t="s">
        <v>766</v>
      </c>
      <c r="E60" s="132"/>
      <c r="F60" s="131"/>
      <c r="G60" s="130">
        <f>G59*5.615</f>
        <v>424.44688219168938</v>
      </c>
      <c r="H60" s="19"/>
      <c r="I60" s="67" t="s">
        <v>741</v>
      </c>
      <c r="J60" s="98">
        <f>G56/J52</f>
        <v>400.06670391944238</v>
      </c>
      <c r="K60" s="66" t="s">
        <v>742</v>
      </c>
    </row>
    <row r="61" spans="3:11" x14ac:dyDescent="0.25">
      <c r="C61" s="71"/>
      <c r="D61" s="70" t="s">
        <v>743</v>
      </c>
      <c r="E61" s="129"/>
      <c r="F61" s="128"/>
      <c r="G61" s="127">
        <f>SUM(G55+G59)</f>
        <v>157.52868952788032</v>
      </c>
      <c r="H61" s="19"/>
      <c r="I61" s="67" t="s">
        <v>732</v>
      </c>
      <c r="J61" s="98">
        <f>J60*0.67</f>
        <v>268.04469162602641</v>
      </c>
      <c r="K61" s="66" t="s">
        <v>744</v>
      </c>
    </row>
    <row r="62" spans="3:11" ht="30.75" thickBot="1" x14ac:dyDescent="0.3">
      <c r="C62" s="65"/>
      <c r="D62" s="64" t="s">
        <v>839</v>
      </c>
      <c r="E62" s="126"/>
      <c r="F62" s="125"/>
      <c r="G62" s="124">
        <f>G61*5.615</f>
        <v>884.52359169904798</v>
      </c>
      <c r="H62" s="19"/>
      <c r="I62" s="61" t="s">
        <v>746</v>
      </c>
      <c r="J62" s="97">
        <f>(0.2/100)*J60*94</f>
        <v>75.21254033685517</v>
      </c>
      <c r="K62" s="60" t="s">
        <v>736</v>
      </c>
    </row>
    <row r="63" spans="3:11" x14ac:dyDescent="0.25">
      <c r="D63" s="123"/>
      <c r="H63" s="57"/>
      <c r="I63" s="121"/>
      <c r="J63" s="122"/>
      <c r="K63" s="57"/>
    </row>
    <row r="64" spans="3:11" ht="15.75" thickBot="1" x14ac:dyDescent="0.3">
      <c r="D64" s="121"/>
      <c r="K64" s="57"/>
    </row>
    <row r="65" spans="3:15" ht="29.25" thickBot="1" x14ac:dyDescent="0.5">
      <c r="C65" s="691" t="s">
        <v>769</v>
      </c>
      <c r="D65" s="691"/>
      <c r="E65" s="691"/>
      <c r="F65" s="691"/>
      <c r="G65" s="691"/>
      <c r="H65" s="691"/>
      <c r="I65" s="691"/>
      <c r="J65" s="691"/>
      <c r="K65" s="691"/>
    </row>
    <row r="66" spans="3:15" ht="19.5" thickBot="1" x14ac:dyDescent="0.35">
      <c r="C66" s="96"/>
      <c r="D66" s="695" t="s">
        <v>748</v>
      </c>
      <c r="E66" s="695"/>
      <c r="F66" s="695"/>
      <c r="G66" s="695"/>
      <c r="H66" s="695"/>
      <c r="I66" s="695"/>
      <c r="J66" s="695"/>
      <c r="K66" s="695"/>
    </row>
    <row r="67" spans="3:15" ht="15" customHeight="1" x14ac:dyDescent="0.25">
      <c r="C67" s="87"/>
      <c r="D67" s="232" t="s">
        <v>707</v>
      </c>
      <c r="E67" s="231">
        <f>K10</f>
        <v>7710</v>
      </c>
      <c r="F67" s="85"/>
      <c r="G67" s="95" t="s">
        <v>770</v>
      </c>
      <c r="H67" s="91"/>
      <c r="I67" s="91"/>
      <c r="J67" s="91"/>
      <c r="K67" s="94"/>
    </row>
    <row r="68" spans="3:15" ht="30" x14ac:dyDescent="0.25">
      <c r="C68" s="87"/>
      <c r="D68" s="120" t="s">
        <v>840</v>
      </c>
      <c r="E68" s="114">
        <f>E70-200</f>
        <v>3900</v>
      </c>
      <c r="F68" s="85"/>
      <c r="G68" s="91"/>
      <c r="H68" s="91"/>
      <c r="I68" s="91"/>
      <c r="J68" s="91"/>
      <c r="K68" s="94"/>
    </row>
    <row r="69" spans="3:15" ht="30" x14ac:dyDescent="0.25">
      <c r="C69" s="87"/>
      <c r="D69" s="119" t="s">
        <v>841</v>
      </c>
      <c r="E69" s="114">
        <f>E67-E68</f>
        <v>3810</v>
      </c>
      <c r="F69" s="85"/>
      <c r="G69" s="118" t="s">
        <v>698</v>
      </c>
      <c r="H69" s="91"/>
      <c r="I69" s="91"/>
      <c r="J69" s="91"/>
      <c r="K69" s="109">
        <f>J7</f>
        <v>500</v>
      </c>
      <c r="N69" s="19">
        <v>273</v>
      </c>
      <c r="O69" s="19">
        <v>500</v>
      </c>
    </row>
    <row r="70" spans="3:15" x14ac:dyDescent="0.25">
      <c r="C70" s="87"/>
      <c r="D70" s="115" t="s">
        <v>711</v>
      </c>
      <c r="E70" s="114">
        <f>J9</f>
        <v>4100</v>
      </c>
      <c r="F70" s="85"/>
      <c r="G70" s="91"/>
      <c r="H70" s="91"/>
      <c r="I70" s="91"/>
      <c r="J70" s="91"/>
      <c r="K70" s="84"/>
      <c r="N70" s="19">
        <v>1973</v>
      </c>
      <c r="O70" s="19">
        <v>3300</v>
      </c>
    </row>
    <row r="71" spans="3:15" x14ac:dyDescent="0.25">
      <c r="C71" s="87"/>
      <c r="D71" s="115" t="s">
        <v>773</v>
      </c>
      <c r="E71" s="114">
        <f>E67-E70</f>
        <v>3610</v>
      </c>
      <c r="F71" s="85"/>
      <c r="G71" s="118" t="s">
        <v>720</v>
      </c>
      <c r="H71" s="91"/>
      <c r="I71" s="91"/>
      <c r="J71" s="91"/>
      <c r="K71" s="109">
        <f>J8</f>
        <v>3300</v>
      </c>
      <c r="N71" s="19">
        <v>2772</v>
      </c>
      <c r="O71" s="19">
        <v>4100</v>
      </c>
    </row>
    <row r="72" spans="3:15" x14ac:dyDescent="0.25">
      <c r="C72" s="87"/>
      <c r="D72" s="117" t="s">
        <v>752</v>
      </c>
      <c r="E72" s="116">
        <v>1388</v>
      </c>
      <c r="F72" s="85"/>
      <c r="G72" s="91"/>
      <c r="H72" s="91"/>
      <c r="I72" s="91"/>
      <c r="J72" s="91"/>
      <c r="K72" s="84"/>
      <c r="N72" s="19">
        <v>5806</v>
      </c>
      <c r="O72" s="19">
        <v>7700</v>
      </c>
    </row>
    <row r="73" spans="3:15" x14ac:dyDescent="0.25">
      <c r="C73" s="87"/>
      <c r="D73" s="115" t="s">
        <v>830</v>
      </c>
      <c r="E73" s="114">
        <f>E67-E72</f>
        <v>6322</v>
      </c>
      <c r="F73" s="85"/>
      <c r="G73" s="91"/>
      <c r="H73" s="91"/>
      <c r="I73" s="91"/>
      <c r="J73" s="91"/>
      <c r="K73" s="84"/>
      <c r="N73" s="19">
        <v>7114</v>
      </c>
      <c r="O73" s="19">
        <v>9000</v>
      </c>
    </row>
    <row r="74" spans="3:15" x14ac:dyDescent="0.25">
      <c r="C74" s="87"/>
      <c r="D74" s="115" t="s">
        <v>831</v>
      </c>
      <c r="E74" s="114">
        <f>E73-E68</f>
        <v>2422</v>
      </c>
      <c r="F74" s="85"/>
      <c r="G74" s="91"/>
      <c r="H74" s="113" t="s">
        <v>755</v>
      </c>
      <c r="I74" s="91"/>
      <c r="J74" s="112"/>
      <c r="K74" s="109">
        <f>J9</f>
        <v>4100</v>
      </c>
    </row>
    <row r="75" spans="3:15" x14ac:dyDescent="0.25">
      <c r="C75" s="87"/>
      <c r="D75" s="147" t="s">
        <v>842</v>
      </c>
      <c r="E75" s="93">
        <f>N72</f>
        <v>5806</v>
      </c>
      <c r="F75" s="85"/>
      <c r="G75" s="91"/>
      <c r="H75" s="91"/>
      <c r="I75" s="91"/>
      <c r="J75" s="91"/>
      <c r="K75" s="84"/>
    </row>
    <row r="76" spans="3:15" x14ac:dyDescent="0.25">
      <c r="C76" s="87" t="s">
        <v>716</v>
      </c>
      <c r="D76" s="108" t="s">
        <v>682</v>
      </c>
      <c r="E76" s="90">
        <f>15.8*0.052*E72</f>
        <v>1140.3807999999999</v>
      </c>
      <c r="F76" s="85"/>
      <c r="G76" s="85"/>
      <c r="H76" s="110" t="s">
        <v>775</v>
      </c>
      <c r="I76" s="85"/>
      <c r="J76" s="92">
        <f>J10</f>
        <v>7700</v>
      </c>
      <c r="K76" s="109"/>
    </row>
    <row r="77" spans="3:15" x14ac:dyDescent="0.25">
      <c r="C77" s="87" t="s">
        <v>716</v>
      </c>
      <c r="D77" s="108" t="s">
        <v>756</v>
      </c>
      <c r="E77" s="90">
        <v>0</v>
      </c>
      <c r="F77" s="85"/>
      <c r="G77" s="703" t="s">
        <v>770</v>
      </c>
      <c r="H77" s="703"/>
      <c r="I77" s="703"/>
      <c r="J77" s="703"/>
      <c r="K77" s="703"/>
    </row>
    <row r="78" spans="3:15" ht="15.75" thickBot="1" x14ac:dyDescent="0.3">
      <c r="C78" s="87" t="s">
        <v>776</v>
      </c>
      <c r="D78" s="107">
        <v>10</v>
      </c>
      <c r="E78" s="88">
        <f>D78*0.052*(E68)</f>
        <v>2028</v>
      </c>
      <c r="F78" s="85"/>
      <c r="G78" s="703"/>
      <c r="H78" s="703"/>
      <c r="I78" s="703"/>
      <c r="J78" s="703"/>
      <c r="K78" s="703"/>
    </row>
    <row r="79" spans="3:15" ht="15.75" thickBot="1" x14ac:dyDescent="0.3">
      <c r="C79" s="86"/>
      <c r="D79" s="106" t="s">
        <v>721</v>
      </c>
      <c r="E79" s="142">
        <f>SUM(E76:E78)</f>
        <v>3168.3807999999999</v>
      </c>
      <c r="F79" s="85"/>
      <c r="G79" s="703"/>
      <c r="H79" s="703"/>
      <c r="I79" s="703"/>
      <c r="J79" s="703"/>
      <c r="K79" s="703"/>
    </row>
    <row r="80" spans="3:15" ht="15.75" thickBot="1" x14ac:dyDescent="0.3">
      <c r="C80" s="697" t="s">
        <v>723</v>
      </c>
      <c r="D80" s="697"/>
      <c r="E80" s="697"/>
      <c r="F80" s="697"/>
      <c r="G80" s="697"/>
      <c r="H80" s="697"/>
      <c r="I80" s="705" t="s">
        <v>724</v>
      </c>
      <c r="J80" s="705"/>
      <c r="K80" s="705"/>
    </row>
    <row r="81" spans="3:11" ht="45" x14ac:dyDescent="0.25">
      <c r="C81" s="83"/>
      <c r="D81" s="82" t="s">
        <v>725</v>
      </c>
      <c r="E81" s="81" t="s">
        <v>726</v>
      </c>
      <c r="F81" s="81" t="s">
        <v>727</v>
      </c>
      <c r="G81" s="81" t="s">
        <v>728</v>
      </c>
      <c r="H81" s="19"/>
      <c r="I81" s="80" t="s">
        <v>760</v>
      </c>
      <c r="J81" s="105">
        <v>1.89</v>
      </c>
      <c r="K81" s="66" t="s">
        <v>730</v>
      </c>
    </row>
    <row r="82" spans="3:11" ht="30" x14ac:dyDescent="0.25">
      <c r="C82" s="71"/>
      <c r="D82" s="75" t="s">
        <v>843</v>
      </c>
      <c r="E82" s="74">
        <f>K10-J10</f>
        <v>10</v>
      </c>
      <c r="F82" s="73">
        <f>(17.5^2/1029.4)</f>
        <v>0.29750340003885756</v>
      </c>
      <c r="G82" s="79">
        <f>F82*E82*1.1</f>
        <v>3.2725374004274332</v>
      </c>
      <c r="H82" s="19"/>
      <c r="I82" s="80" t="s">
        <v>682</v>
      </c>
      <c r="J82" s="105">
        <v>1.1499999999999999</v>
      </c>
      <c r="K82" s="66" t="s">
        <v>730</v>
      </c>
    </row>
    <row r="83" spans="3:11" ht="17.25" x14ac:dyDescent="0.25">
      <c r="C83" s="71"/>
      <c r="D83" s="19" t="s">
        <v>844</v>
      </c>
      <c r="E83" s="74">
        <v>80</v>
      </c>
      <c r="F83" s="73">
        <f>8.681^2/1029.4</f>
        <v>7.320746162813288E-2</v>
      </c>
      <c r="G83" s="79">
        <f>E83*F83</f>
        <v>5.85659693025063</v>
      </c>
      <c r="H83" s="19"/>
      <c r="I83" s="41" t="s">
        <v>732</v>
      </c>
      <c r="J83" s="77">
        <v>0.67</v>
      </c>
      <c r="K83" s="66" t="s">
        <v>730</v>
      </c>
    </row>
    <row r="84" spans="3:11" ht="30" x14ac:dyDescent="0.25">
      <c r="C84" s="71"/>
      <c r="D84" s="75" t="s">
        <v>845</v>
      </c>
      <c r="E84" s="74">
        <f>E67 - E73</f>
        <v>1388</v>
      </c>
      <c r="F84" s="73">
        <f>((12.25^2)-(9.625^2))/(1029.4)</f>
        <v>5.5781887507285792E-2</v>
      </c>
      <c r="G84" s="79">
        <f>E84*F84*1.1</f>
        <v>85.167785846123948</v>
      </c>
      <c r="H84" s="19"/>
      <c r="I84" s="41" t="s">
        <v>734</v>
      </c>
      <c r="J84" s="77" t="s">
        <v>735</v>
      </c>
      <c r="K84" s="66"/>
    </row>
    <row r="85" spans="3:11" x14ac:dyDescent="0.25">
      <c r="C85" s="71"/>
      <c r="D85" s="104" t="s">
        <v>762</v>
      </c>
      <c r="E85" s="103"/>
      <c r="F85" s="103"/>
      <c r="G85" s="102">
        <f>SUM(G82:G84)</f>
        <v>94.296920176802018</v>
      </c>
      <c r="H85" s="19"/>
      <c r="I85" s="699" t="s">
        <v>739</v>
      </c>
      <c r="J85" s="699"/>
      <c r="K85" s="699"/>
    </row>
    <row r="86" spans="3:11" x14ac:dyDescent="0.25">
      <c r="C86" s="71"/>
      <c r="D86" s="104" t="s">
        <v>846</v>
      </c>
      <c r="E86" s="103"/>
      <c r="F86" s="103"/>
      <c r="G86" s="102">
        <f>G85*5.615</f>
        <v>529.47720679274335</v>
      </c>
      <c r="H86" s="19"/>
      <c r="I86" s="67" t="s">
        <v>741</v>
      </c>
      <c r="J86" s="98">
        <f>G90/1.89</f>
        <v>440.55220306230945</v>
      </c>
      <c r="K86" s="66" t="s">
        <v>742</v>
      </c>
    </row>
    <row r="87" spans="3:11" ht="30" x14ac:dyDescent="0.25">
      <c r="C87" s="71"/>
      <c r="D87" s="75" t="s">
        <v>847</v>
      </c>
      <c r="E87" s="74">
        <f>E73-E70</f>
        <v>2222</v>
      </c>
      <c r="F87" s="73">
        <f>((12.25^2)-(9.625^2))/(1029.4)</f>
        <v>5.5781887507285792E-2</v>
      </c>
      <c r="G87" s="79">
        <f>E87*F87*1.1</f>
        <v>136.34208944530795</v>
      </c>
      <c r="H87" s="19"/>
      <c r="I87" s="67" t="s">
        <v>732</v>
      </c>
      <c r="J87" s="98">
        <f>J86*0.67</f>
        <v>295.16997605174737</v>
      </c>
      <c r="K87" s="66" t="s">
        <v>744</v>
      </c>
    </row>
    <row r="88" spans="3:11" ht="30" x14ac:dyDescent="0.25">
      <c r="C88" s="71"/>
      <c r="D88" s="75" t="s">
        <v>848</v>
      </c>
      <c r="E88" s="74">
        <f>E70-E68</f>
        <v>200</v>
      </c>
      <c r="F88" s="73">
        <f>(F9^2-9.625^2)/1029.4</f>
        <v>5.9735379832912348E-2</v>
      </c>
      <c r="G88" s="79">
        <f>E88*F88</f>
        <v>11.947075966582469</v>
      </c>
      <c r="H88" s="19"/>
      <c r="I88" s="72" t="s">
        <v>746</v>
      </c>
      <c r="J88" s="98">
        <f>(0.2/100)*J86*94</f>
        <v>82.823814175714176</v>
      </c>
      <c r="K88" s="66" t="s">
        <v>736</v>
      </c>
    </row>
    <row r="89" spans="3:11" x14ac:dyDescent="0.25">
      <c r="C89" s="71"/>
      <c r="D89" s="100" t="s">
        <v>764</v>
      </c>
      <c r="E89" s="76"/>
      <c r="F89" s="76"/>
      <c r="G89" s="101">
        <f>SUM(G87:G88)</f>
        <v>148.28916541189042</v>
      </c>
      <c r="H89" s="19"/>
      <c r="I89" s="699" t="s">
        <v>765</v>
      </c>
      <c r="J89" s="699"/>
      <c r="K89" s="699"/>
    </row>
    <row r="90" spans="3:11" x14ac:dyDescent="0.25">
      <c r="C90" s="71"/>
      <c r="D90" s="100" t="s">
        <v>766</v>
      </c>
      <c r="E90" s="76"/>
      <c r="F90" s="76"/>
      <c r="G90" s="99">
        <f>G89*5.615</f>
        <v>832.64366378776481</v>
      </c>
      <c r="H90" s="19"/>
      <c r="I90" s="67" t="s">
        <v>741</v>
      </c>
      <c r="J90" s="98">
        <f>G86/J82</f>
        <v>460.41496242847251</v>
      </c>
      <c r="K90" s="66" t="s">
        <v>742</v>
      </c>
    </row>
    <row r="91" spans="3:11" x14ac:dyDescent="0.25">
      <c r="C91" s="71"/>
      <c r="D91" s="70" t="s">
        <v>743</v>
      </c>
      <c r="E91" s="69"/>
      <c r="F91" s="69"/>
      <c r="G91" s="68">
        <f>SUM(G85+G89)</f>
        <v>242.58608558869244</v>
      </c>
      <c r="H91" s="19"/>
      <c r="I91" s="67" t="s">
        <v>732</v>
      </c>
      <c r="J91" s="98">
        <f>J90*0.67</f>
        <v>308.47802482707658</v>
      </c>
      <c r="K91" s="66" t="s">
        <v>744</v>
      </c>
    </row>
    <row r="92" spans="3:11" ht="30.75" thickBot="1" x14ac:dyDescent="0.3">
      <c r="C92" s="65"/>
      <c r="D92" s="64" t="s">
        <v>839</v>
      </c>
      <c r="E92" s="63"/>
      <c r="F92" s="63"/>
      <c r="G92" s="62">
        <f>G91*5.615</f>
        <v>1362.1208705805082</v>
      </c>
      <c r="H92" s="19"/>
      <c r="I92" s="61" t="s">
        <v>746</v>
      </c>
      <c r="J92" s="97">
        <f>(0.2/100)*J90*94</f>
        <v>86.558012936552828</v>
      </c>
      <c r="K92" s="60" t="s">
        <v>736</v>
      </c>
    </row>
    <row r="95" spans="3:11" ht="15.75" thickBot="1" x14ac:dyDescent="0.3"/>
    <row r="96" spans="3:11" ht="29.25" thickBot="1" x14ac:dyDescent="0.5">
      <c r="C96" s="691" t="s">
        <v>849</v>
      </c>
      <c r="D96" s="691"/>
      <c r="E96" s="691"/>
      <c r="F96" s="691"/>
      <c r="G96" s="691"/>
      <c r="H96" s="691"/>
      <c r="I96" s="691"/>
      <c r="J96" s="691"/>
      <c r="K96" s="691"/>
    </row>
    <row r="97" spans="3:15" ht="19.5" thickBot="1" x14ac:dyDescent="0.35">
      <c r="C97" s="310"/>
      <c r="D97" s="700" t="s">
        <v>748</v>
      </c>
      <c r="E97" s="700"/>
      <c r="F97" s="700"/>
      <c r="G97" s="700"/>
      <c r="H97" s="700"/>
      <c r="I97" s="700"/>
      <c r="J97" s="700"/>
      <c r="K97" s="700"/>
    </row>
    <row r="98" spans="3:15" x14ac:dyDescent="0.25">
      <c r="C98" s="506"/>
      <c r="D98" s="507" t="s">
        <v>707</v>
      </c>
      <c r="E98" s="508">
        <f>K11</f>
        <v>9010</v>
      </c>
      <c r="F98" s="202"/>
      <c r="G98" s="484"/>
      <c r="H98" s="485"/>
      <c r="I98" s="485"/>
      <c r="J98" s="485"/>
      <c r="K98" s="465"/>
    </row>
    <row r="99" spans="3:15" ht="30" x14ac:dyDescent="0.25">
      <c r="C99" s="506"/>
      <c r="D99" s="509" t="s">
        <v>850</v>
      </c>
      <c r="E99" s="477">
        <f>E100-200+1</f>
        <v>7501</v>
      </c>
      <c r="F99" s="202"/>
      <c r="G99" s="485"/>
      <c r="H99" s="485"/>
      <c r="I99" s="485"/>
      <c r="J99" s="510">
        <f>J7</f>
        <v>500</v>
      </c>
      <c r="K99" s="511"/>
    </row>
    <row r="100" spans="3:15" x14ac:dyDescent="0.25">
      <c r="C100" s="506"/>
      <c r="D100" s="387" t="s">
        <v>711</v>
      </c>
      <c r="E100" s="477">
        <f>J10</f>
        <v>7700</v>
      </c>
      <c r="F100" s="202"/>
      <c r="G100" s="485" t="s">
        <v>698</v>
      </c>
      <c r="H100" s="485"/>
      <c r="I100" s="485"/>
      <c r="J100" s="485"/>
      <c r="K100" s="465"/>
    </row>
    <row r="101" spans="3:15" x14ac:dyDescent="0.25">
      <c r="C101" s="506"/>
      <c r="D101" s="387" t="s">
        <v>851</v>
      </c>
      <c r="E101" s="477">
        <f>E98-E100</f>
        <v>1310</v>
      </c>
      <c r="F101" s="202"/>
      <c r="G101" s="485"/>
      <c r="H101" s="485"/>
      <c r="I101" s="485"/>
      <c r="J101" s="510"/>
      <c r="K101" s="469"/>
    </row>
    <row r="102" spans="3:15" x14ac:dyDescent="0.25">
      <c r="C102" s="506"/>
      <c r="D102" s="387" t="s">
        <v>852</v>
      </c>
      <c r="E102" s="477">
        <f>E100-200</f>
        <v>7500</v>
      </c>
      <c r="F102" s="202"/>
      <c r="G102" s="355" t="s">
        <v>720</v>
      </c>
      <c r="H102" s="485"/>
      <c r="I102" s="485"/>
      <c r="J102" s="510">
        <f>J8</f>
        <v>3300</v>
      </c>
      <c r="K102" s="469"/>
    </row>
    <row r="103" spans="3:15" x14ac:dyDescent="0.25">
      <c r="C103" s="506"/>
      <c r="D103" s="387" t="s">
        <v>853</v>
      </c>
      <c r="E103" s="477">
        <f>E98-E102</f>
        <v>1510</v>
      </c>
      <c r="F103" s="202"/>
      <c r="G103" s="485"/>
      <c r="H103" s="485"/>
      <c r="I103" s="485"/>
      <c r="J103" s="485"/>
      <c r="K103" s="469"/>
    </row>
    <row r="104" spans="3:15" x14ac:dyDescent="0.25">
      <c r="C104" s="506"/>
      <c r="D104" s="387" t="s">
        <v>754</v>
      </c>
      <c r="E104" s="477">
        <v>0</v>
      </c>
      <c r="F104" s="202"/>
      <c r="G104" s="485"/>
      <c r="H104" s="485"/>
      <c r="I104" s="485"/>
      <c r="J104" s="485"/>
      <c r="K104" s="469"/>
    </row>
    <row r="105" spans="3:15" x14ac:dyDescent="0.25">
      <c r="C105" s="516"/>
      <c r="D105" s="517" t="s">
        <v>854</v>
      </c>
      <c r="E105" s="481">
        <f>N114</f>
        <v>7114</v>
      </c>
      <c r="F105" s="202"/>
      <c r="G105" s="355" t="s">
        <v>755</v>
      </c>
      <c r="H105" s="485"/>
      <c r="I105" s="485"/>
      <c r="J105" s="487">
        <f>J9</f>
        <v>4100</v>
      </c>
      <c r="K105" s="469"/>
    </row>
    <row r="106" spans="3:15" x14ac:dyDescent="0.25">
      <c r="C106" s="506" t="s">
        <v>716</v>
      </c>
      <c r="D106" s="512" t="s">
        <v>682</v>
      </c>
      <c r="E106" s="479">
        <f>15.8*0.052*(E98-E99)</f>
        <v>1239.7944</v>
      </c>
      <c r="F106" s="202"/>
      <c r="G106" s="485"/>
      <c r="H106" s="485"/>
      <c r="I106" s="485"/>
      <c r="J106" s="485"/>
      <c r="K106" s="469"/>
    </row>
    <row r="107" spans="3:15" x14ac:dyDescent="0.25">
      <c r="C107" s="521" t="s">
        <v>716</v>
      </c>
      <c r="D107" s="522" t="s">
        <v>756</v>
      </c>
      <c r="E107" s="505">
        <f>13.2*0.052*E104</f>
        <v>0</v>
      </c>
      <c r="F107" s="202"/>
      <c r="G107" s="467" t="s">
        <v>775</v>
      </c>
      <c r="H107" s="202"/>
      <c r="I107" s="202"/>
      <c r="J107" s="513">
        <f>J10</f>
        <v>7700</v>
      </c>
      <c r="K107" s="469"/>
    </row>
    <row r="108" spans="3:15" ht="15.75" thickBot="1" x14ac:dyDescent="0.3">
      <c r="C108" s="506" t="s">
        <v>776</v>
      </c>
      <c r="D108" s="514">
        <v>10</v>
      </c>
      <c r="E108" s="497">
        <f>D108*0.052*(E99)</f>
        <v>3900.52</v>
      </c>
      <c r="F108" s="202"/>
      <c r="G108" s="202"/>
      <c r="H108" s="202"/>
      <c r="I108" s="202"/>
      <c r="J108" s="202"/>
      <c r="K108" s="469"/>
    </row>
    <row r="109" spans="3:15" ht="15.75" thickBot="1" x14ac:dyDescent="0.3">
      <c r="C109" s="518"/>
      <c r="D109" s="519" t="s">
        <v>855</v>
      </c>
      <c r="E109" s="520">
        <f>SUM(E106+E108)</f>
        <v>5140.3144000000002</v>
      </c>
      <c r="F109" s="202"/>
      <c r="G109" s="202"/>
      <c r="H109" s="202" t="s">
        <v>856</v>
      </c>
      <c r="I109" s="202"/>
      <c r="J109" s="513">
        <f>J11</f>
        <v>9000</v>
      </c>
      <c r="K109" s="469"/>
    </row>
    <row r="110" spans="3:15" ht="16.5" thickBot="1" x14ac:dyDescent="0.3">
      <c r="C110" s="454" t="s">
        <v>723</v>
      </c>
      <c r="D110" s="515"/>
      <c r="E110" s="515"/>
      <c r="F110" s="202"/>
      <c r="G110" s="711" t="s">
        <v>857</v>
      </c>
      <c r="H110" s="711"/>
      <c r="I110" s="711"/>
      <c r="J110" s="711"/>
      <c r="K110" s="469"/>
      <c r="N110">
        <v>273</v>
      </c>
      <c r="O110">
        <v>500</v>
      </c>
    </row>
    <row r="111" spans="3:15" ht="16.5" thickBot="1" x14ac:dyDescent="0.3">
      <c r="C111" s="389"/>
      <c r="D111" s="454"/>
      <c r="E111" s="454"/>
      <c r="F111" s="454"/>
      <c r="G111" s="454"/>
      <c r="H111" s="454"/>
      <c r="I111" s="706" t="s">
        <v>724</v>
      </c>
      <c r="J111" s="706"/>
      <c r="K111" s="706"/>
      <c r="N111">
        <v>1973</v>
      </c>
      <c r="O111">
        <v>3300</v>
      </c>
    </row>
    <row r="112" spans="3:15" ht="18.75" x14ac:dyDescent="0.25">
      <c r="C112" s="395"/>
      <c r="D112" s="390" t="s">
        <v>858</v>
      </c>
      <c r="E112" s="419" t="s">
        <v>726</v>
      </c>
      <c r="F112" s="419" t="s">
        <v>727</v>
      </c>
      <c r="G112" s="419" t="s">
        <v>728</v>
      </c>
      <c r="H112" s="391"/>
      <c r="I112" s="392" t="s">
        <v>682</v>
      </c>
      <c r="J112" s="430">
        <v>1.1499999999999999</v>
      </c>
      <c r="K112" s="394" t="s">
        <v>761</v>
      </c>
      <c r="N112">
        <v>2772</v>
      </c>
      <c r="O112">
        <v>4100</v>
      </c>
    </row>
    <row r="113" spans="3:15" ht="31.5" x14ac:dyDescent="0.25">
      <c r="C113" s="395"/>
      <c r="D113" s="396" t="s">
        <v>859</v>
      </c>
      <c r="E113" s="420">
        <f>K7-J7</f>
        <v>10</v>
      </c>
      <c r="F113" s="421">
        <f>(8.5^2/1029.4)</f>
        <v>7.018651641733048E-2</v>
      </c>
      <c r="G113" s="431">
        <f>F113*E113*1.1</f>
        <v>0.77205168059063534</v>
      </c>
      <c r="H113" s="391"/>
      <c r="I113" s="400" t="s">
        <v>732</v>
      </c>
      <c r="J113" s="430">
        <v>0.67</v>
      </c>
      <c r="K113" s="394" t="s">
        <v>761</v>
      </c>
      <c r="N113">
        <v>5806</v>
      </c>
      <c r="O113">
        <v>7700</v>
      </c>
    </row>
    <row r="114" spans="3:15" ht="15.75" x14ac:dyDescent="0.25">
      <c r="C114" s="395"/>
      <c r="D114" s="391" t="s">
        <v>860</v>
      </c>
      <c r="E114" s="420">
        <v>40</v>
      </c>
      <c r="F114" s="421">
        <f>8.681^2/1029.4</f>
        <v>7.320746162813288E-2</v>
      </c>
      <c r="G114" s="422">
        <f>E114*F114</f>
        <v>2.928298465125315</v>
      </c>
      <c r="H114" s="423"/>
      <c r="I114" s="361" t="s">
        <v>734</v>
      </c>
      <c r="J114" s="424" t="s">
        <v>735</v>
      </c>
      <c r="K114" s="425"/>
      <c r="N114">
        <v>7114</v>
      </c>
      <c r="O114">
        <v>9000</v>
      </c>
    </row>
    <row r="115" spans="3:15" ht="31.5" x14ac:dyDescent="0.25">
      <c r="C115" s="395"/>
      <c r="D115" s="396" t="s">
        <v>861</v>
      </c>
      <c r="E115" s="420">
        <v>200</v>
      </c>
      <c r="F115" s="421">
        <f>((12.25^2)-(9.625^2))/(1029.4)</f>
        <v>5.5781887507285792E-2</v>
      </c>
      <c r="G115" s="435">
        <f>E115*F115*1.1</f>
        <v>12.272015251602875</v>
      </c>
      <c r="H115" s="457"/>
      <c r="I115" s="707"/>
      <c r="J115" s="707"/>
      <c r="K115" s="708"/>
    </row>
    <row r="116" spans="3:15" ht="15.75" x14ac:dyDescent="0.25">
      <c r="C116" s="395"/>
      <c r="D116" s="428"/>
      <c r="E116" s="429"/>
      <c r="F116" s="429"/>
      <c r="G116" s="436"/>
      <c r="H116" s="458"/>
      <c r="I116" s="438"/>
      <c r="J116" s="439"/>
      <c r="K116" s="440"/>
    </row>
    <row r="117" spans="3:15" ht="15.75" x14ac:dyDescent="0.25">
      <c r="C117" s="395"/>
      <c r="D117" s="428"/>
      <c r="E117" s="429"/>
      <c r="F117" s="429"/>
      <c r="G117" s="437">
        <v>346</v>
      </c>
      <c r="H117" s="459"/>
      <c r="I117" s="709" t="s">
        <v>765</v>
      </c>
      <c r="J117" s="709"/>
      <c r="K117" s="710"/>
    </row>
    <row r="118" spans="3:15" ht="31.5" x14ac:dyDescent="0.25">
      <c r="C118" s="395"/>
      <c r="D118" s="396" t="s">
        <v>862</v>
      </c>
      <c r="E118" s="420">
        <v>1300</v>
      </c>
      <c r="F118" s="421">
        <f>((8.5^2)-(6.276^2))/(1029.4)</f>
        <v>3.1923279580338061E-2</v>
      </c>
      <c r="G118" s="435">
        <f>E118*F118*1.1</f>
        <v>45.650289799883431</v>
      </c>
      <c r="H118" s="423"/>
      <c r="I118" s="400" t="s">
        <v>741</v>
      </c>
      <c r="J118" s="432">
        <f>G117/J112</f>
        <v>300.86956521739131</v>
      </c>
      <c r="K118" s="394" t="s">
        <v>295</v>
      </c>
    </row>
    <row r="119" spans="3:15" ht="15.75" x14ac:dyDescent="0.25">
      <c r="C119" s="395"/>
      <c r="D119" s="396" t="s">
        <v>863</v>
      </c>
      <c r="E119" s="420"/>
      <c r="F119" s="421"/>
      <c r="G119" s="431">
        <f>G113+G114+G115+G118</f>
        <v>61.622655197202256</v>
      </c>
      <c r="H119" s="361"/>
      <c r="I119" s="400" t="s">
        <v>732</v>
      </c>
      <c r="J119" s="433">
        <f>J118*0.67</f>
        <v>201.5826086956522</v>
      </c>
      <c r="K119" s="394" t="s">
        <v>744</v>
      </c>
    </row>
    <row r="120" spans="3:15" ht="32.25" thickBot="1" x14ac:dyDescent="0.3">
      <c r="C120" s="441"/>
      <c r="D120" s="442" t="s">
        <v>864</v>
      </c>
      <c r="E120" s="443"/>
      <c r="F120" s="443"/>
      <c r="G120" s="444" t="str">
        <f>F121</f>
        <v xml:space="preserve">   346ft3</v>
      </c>
      <c r="H120" s="427"/>
      <c r="I120" s="415" t="s">
        <v>746</v>
      </c>
      <c r="J120" s="434">
        <f>(0.2/100)*J118*94</f>
        <v>56.563478260869573</v>
      </c>
      <c r="K120" s="414" t="s">
        <v>736</v>
      </c>
    </row>
    <row r="121" spans="3:15" ht="15.75" x14ac:dyDescent="0.25">
      <c r="C121" s="441"/>
      <c r="D121" s="445"/>
      <c r="E121" s="446"/>
      <c r="F121" s="447" t="s">
        <v>865</v>
      </c>
      <c r="G121" s="448"/>
    </row>
    <row r="122" spans="3:15" ht="15.75" x14ac:dyDescent="0.25">
      <c r="D122" s="449"/>
      <c r="E122" s="450"/>
      <c r="F122" s="450"/>
      <c r="G122" s="451"/>
      <c r="O122">
        <v>5.6146000000000003</v>
      </c>
    </row>
    <row r="123" spans="3:15" x14ac:dyDescent="0.25">
      <c r="H123" s="59"/>
    </row>
    <row r="124" spans="3:15" x14ac:dyDescent="0.25">
      <c r="H124" s="58"/>
    </row>
  </sheetData>
  <mergeCells count="26">
    <mergeCell ref="I111:K111"/>
    <mergeCell ref="C80:H80"/>
    <mergeCell ref="I80:K80"/>
    <mergeCell ref="I115:K115"/>
    <mergeCell ref="I117:K117"/>
    <mergeCell ref="I85:K85"/>
    <mergeCell ref="I89:K89"/>
    <mergeCell ref="C96:K96"/>
    <mergeCell ref="D97:K97"/>
    <mergeCell ref="G110:J110"/>
    <mergeCell ref="G77:K79"/>
    <mergeCell ref="I55:K55"/>
    <mergeCell ref="C5:K5"/>
    <mergeCell ref="D12:J12"/>
    <mergeCell ref="D13:K13"/>
    <mergeCell ref="H24:J24"/>
    <mergeCell ref="C25:H25"/>
    <mergeCell ref="I25:K25"/>
    <mergeCell ref="I29:K29"/>
    <mergeCell ref="C35:K35"/>
    <mergeCell ref="D36:K36"/>
    <mergeCell ref="C50:H50"/>
    <mergeCell ref="I50:K50"/>
    <mergeCell ref="I59:K59"/>
    <mergeCell ref="C65:K65"/>
    <mergeCell ref="D66:K66"/>
  </mergeCells>
  <conditionalFormatting sqref="E21">
    <cfRule type="cellIs" dxfId="6" priority="5" operator="greaterThan">
      <formula>$E$20</formula>
    </cfRule>
  </conditionalFormatting>
  <conditionalFormatting sqref="E22">
    <cfRule type="cellIs" dxfId="5" priority="4" operator="lessThan">
      <formula>$E$20</formula>
    </cfRule>
  </conditionalFormatting>
  <conditionalFormatting sqref="E46:E49">
    <cfRule type="cellIs" dxfId="4" priority="7" operator="greaterThan">
      <formula>$E$45</formula>
    </cfRule>
  </conditionalFormatting>
  <conditionalFormatting sqref="E76:E78">
    <cfRule type="cellIs" dxfId="3" priority="6" operator="greaterThan">
      <formula>$E$45</formula>
    </cfRule>
  </conditionalFormatting>
  <conditionalFormatting sqref="E106:E107">
    <cfRule type="cellIs" dxfId="2" priority="3" operator="greaterThan">
      <formula>$E$45</formula>
    </cfRule>
  </conditionalFormatting>
  <conditionalFormatting sqref="E109">
    <cfRule type="cellIs" dxfId="1" priority="1" operator="greaterThan">
      <formula>"1189psi&gt;$E$105"</formula>
    </cfRule>
    <cfRule type="cellIs" dxfId="0" priority="2" operator="greaterThan">
      <formula>$E$105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41A4901A66E46BF89403381D316C3" ma:contentTypeVersion="11" ma:contentTypeDescription="Create a new document." ma:contentTypeScope="" ma:versionID="94fe9250a839dee34cf8451dcef886d1">
  <xsd:schema xmlns:xsd="http://www.w3.org/2001/XMLSchema" xmlns:xs="http://www.w3.org/2001/XMLSchema" xmlns:p="http://schemas.microsoft.com/office/2006/metadata/properties" xmlns:ns2="24d6f15c-f0d7-49bb-8703-49aa73e46e1b" xmlns:ns3="67009c66-0a76-4b65-8000-30d3fe54a153" targetNamespace="http://schemas.microsoft.com/office/2006/metadata/properties" ma:root="true" ma:fieldsID="282c2b5f5334de9f3b8b26bc7f108626" ns2:_="" ns3:_="">
    <xsd:import namespace="24d6f15c-f0d7-49bb-8703-49aa73e46e1b"/>
    <xsd:import namespace="67009c66-0a76-4b65-8000-30d3fe54a1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d6f15c-f0d7-49bb-8703-49aa73e46e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f8fe375-cbb6-4b35-9ea2-3916cf22ce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09c66-0a76-4b65-8000-30d3fe54a15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bd70632-2951-4ab3-8369-600dbb022840}" ma:internalName="TaxCatchAll" ma:showField="CatchAllData" ma:web="67009c66-0a76-4b65-8000-30d3fe54a1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009c66-0a76-4b65-8000-30d3fe54a153" xsi:nil="true"/>
    <lcf76f155ced4ddcb4097134ff3c332f xmlns="24d6f15c-f0d7-49bb-8703-49aa73e46e1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4C43B1-E82A-4854-B917-B5F902AF9B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d6f15c-f0d7-49bb-8703-49aa73e46e1b"/>
    <ds:schemaRef ds:uri="67009c66-0a76-4b65-8000-30d3fe54a1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E4376D-A0F3-4386-8C3D-73D4FECE4E28}">
  <ds:schemaRefs>
    <ds:schemaRef ds:uri="http://schemas.microsoft.com/office/2006/metadata/properties"/>
    <ds:schemaRef ds:uri="http://schemas.microsoft.com/office/infopath/2007/PartnerControls"/>
    <ds:schemaRef ds:uri="67009c66-0a76-4b65-8000-30d3fe54a153"/>
    <ds:schemaRef ds:uri="24d6f15c-f0d7-49bb-8703-49aa73e46e1b"/>
  </ds:schemaRefs>
</ds:datastoreItem>
</file>

<file path=customXml/itemProps3.xml><?xml version="1.0" encoding="utf-8"?>
<ds:datastoreItem xmlns:ds="http://schemas.openxmlformats.org/officeDocument/2006/customXml" ds:itemID="{F3417EB6-94BB-49A5-ACB6-1EA4A9D809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formation coleration (2)</vt:lpstr>
      <vt:lpstr>pressure interpretation</vt:lpstr>
      <vt:lpstr>fracture coleration </vt:lpstr>
      <vt:lpstr>updated pressures</vt:lpstr>
      <vt:lpstr>formation coleration</vt:lpstr>
      <vt:lpstr>pressure coleration</vt:lpstr>
      <vt:lpstr>casing calculation</vt:lpstr>
      <vt:lpstr>lost file</vt:lpstr>
      <vt:lpstr>DRILLING RES</vt:lpstr>
      <vt:lpstr>casing design</vt:lpstr>
      <vt:lpstr>casing string cement design </vt:lpstr>
      <vt:lpstr>directional drilling</vt:lpstr>
      <vt:lpstr>liner calc</vt:lpstr>
      <vt:lpstr>CEMENT CALCULATION</vt:lpstr>
      <vt:lpstr>well control</vt:lpstr>
      <vt:lpstr>true cement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NAYEBALE, VALENTINE</dc:creator>
  <cp:keywords/>
  <dc:description/>
  <cp:lastModifiedBy>NAYEBALE, VALENTINE</cp:lastModifiedBy>
  <cp:revision/>
  <dcterms:created xsi:type="dcterms:W3CDTF">2015-06-05T18:17:20Z</dcterms:created>
  <dcterms:modified xsi:type="dcterms:W3CDTF">2025-07-13T17:23:45Z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0x010100B8F41A4901A66E46BF89403381D316C3</vt:lpwstr>
  </property>
  <property fmtid="{D5CDD505-2E9C-101B-9397-08002B2CF9AE}" pid="3" name="MediaServiceImageTags">
    <vt:lpwstr/>
  </property>
</Properties>
</file>