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9d8acd4cc705cee/Рабочий стол/Аналитик/"/>
    </mc:Choice>
  </mc:AlternateContent>
  <xr:revisionPtr revIDLastSave="299" documentId="13_ncr:1_{BE6C269F-8F3C-44E9-B9BA-16532C999688}" xr6:coauthVersionLast="47" xr6:coauthVersionMax="47" xr10:uidLastSave="{0D87C15D-2EFA-493D-B839-7397E59CE407}"/>
  <bookViews>
    <workbookView xWindow="-118" yWindow="-118" windowWidth="21181" windowHeight="11311" activeTab="1" xr2:uid="{00000000-000D-0000-FFFF-FFFF00000000}"/>
  </bookViews>
  <sheets>
    <sheet name="свод" sheetId="3" r:id="rId1"/>
    <sheet name="Когортный анализ" sheetId="4" r:id="rId2"/>
    <sheet name="DATA" sheetId="2" r:id="rId3"/>
  </sheets>
  <definedNames>
    <definedName name="_xlcn.WorksheetConnection_DATAAI1" hidden="1">DATA!$A:$I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:$I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4" l="1"/>
  <c r="J24" i="4" s="1"/>
  <c r="I15" i="4"/>
  <c r="I16" i="4"/>
  <c r="I17" i="4"/>
  <c r="I18" i="4"/>
  <c r="I19" i="4"/>
  <c r="I20" i="4"/>
  <c r="I21" i="4"/>
  <c r="I22" i="4"/>
  <c r="I23" i="4"/>
  <c r="C16" i="4"/>
  <c r="D15" i="4"/>
  <c r="E15" i="4"/>
  <c r="F15" i="4"/>
  <c r="G15" i="4"/>
  <c r="H15" i="4"/>
  <c r="C15" i="4"/>
  <c r="C24" i="4" s="1"/>
  <c r="D24" i="4"/>
  <c r="E30" i="4"/>
  <c r="E31" i="4"/>
  <c r="E32" i="4"/>
  <c r="E33" i="4"/>
  <c r="E34" i="4"/>
  <c r="E35" i="4"/>
  <c r="E36" i="4"/>
  <c r="E37" i="4"/>
  <c r="E38" i="4"/>
  <c r="B31" i="4"/>
  <c r="B32" i="4"/>
  <c r="B33" i="4"/>
  <c r="B34" i="4"/>
  <c r="B35" i="4"/>
  <c r="B36" i="4"/>
  <c r="B37" i="4"/>
  <c r="B38" i="4"/>
  <c r="B30" i="4"/>
  <c r="B27" i="4"/>
  <c r="K24" i="4"/>
  <c r="D23" i="4"/>
  <c r="E23" i="4"/>
  <c r="F23" i="4"/>
  <c r="G23" i="4"/>
  <c r="H23" i="4"/>
  <c r="C23" i="4"/>
  <c r="D22" i="4"/>
  <c r="E22" i="4"/>
  <c r="F22" i="4"/>
  <c r="G22" i="4"/>
  <c r="H22" i="4"/>
  <c r="C22" i="4"/>
  <c r="D21" i="4"/>
  <c r="E21" i="4"/>
  <c r="F21" i="4"/>
  <c r="G21" i="4"/>
  <c r="H21" i="4"/>
  <c r="C21" i="4"/>
  <c r="D20" i="4"/>
  <c r="E20" i="4"/>
  <c r="F20" i="4"/>
  <c r="G20" i="4"/>
  <c r="H20" i="4"/>
  <c r="C20" i="4"/>
  <c r="D19" i="4"/>
  <c r="E19" i="4"/>
  <c r="F19" i="4"/>
  <c r="G19" i="4"/>
  <c r="H19" i="4"/>
  <c r="C19" i="4"/>
  <c r="D18" i="4"/>
  <c r="E18" i="4"/>
  <c r="F18" i="4"/>
  <c r="G18" i="4"/>
  <c r="H18" i="4"/>
  <c r="C18" i="4"/>
  <c r="D17" i="4"/>
  <c r="E17" i="4"/>
  <c r="F17" i="4"/>
  <c r="G17" i="4"/>
  <c r="H17" i="4"/>
  <c r="C17" i="4"/>
  <c r="D16" i="4"/>
  <c r="E16" i="4"/>
  <c r="F16" i="4"/>
  <c r="G16" i="4"/>
  <c r="H16" i="4"/>
  <c r="J18" i="4" l="1"/>
  <c r="L18" i="4" s="1"/>
  <c r="J22" i="4"/>
  <c r="L22" i="4" s="1"/>
  <c r="C33" i="4"/>
  <c r="D33" i="4" s="1"/>
  <c r="F33" i="4" s="1"/>
  <c r="G24" i="4"/>
  <c r="H24" i="4"/>
  <c r="E24" i="4"/>
  <c r="F24" i="4"/>
  <c r="C37" i="4" l="1"/>
  <c r="D37" i="4" s="1"/>
  <c r="F37" i="4" s="1"/>
  <c r="J20" i="4"/>
  <c r="L20" i="4" s="1"/>
  <c r="C35" i="4"/>
  <c r="D35" i="4" s="1"/>
  <c r="F35" i="4" s="1"/>
  <c r="J21" i="4"/>
  <c r="L21" i="4" s="1"/>
  <c r="C36" i="4"/>
  <c r="D36" i="4" s="1"/>
  <c r="F36" i="4" s="1"/>
  <c r="J16" i="4"/>
  <c r="L16" i="4" s="1"/>
  <c r="C31" i="4"/>
  <c r="D31" i="4" s="1"/>
  <c r="F31" i="4" s="1"/>
  <c r="J19" i="4"/>
  <c r="L19" i="4" s="1"/>
  <c r="C34" i="4"/>
  <c r="D34" i="4" s="1"/>
  <c r="F34" i="4" s="1"/>
  <c r="J17" i="4"/>
  <c r="L17" i="4" s="1"/>
  <c r="C32" i="4"/>
  <c r="D32" i="4" s="1"/>
  <c r="F32" i="4" s="1"/>
  <c r="J23" i="4"/>
  <c r="L23" i="4" s="1"/>
  <c r="C38" i="4"/>
  <c r="D38" i="4" s="1"/>
  <c r="F38" i="4" s="1"/>
  <c r="J15" i="4"/>
  <c r="L15" i="4" s="1"/>
  <c r="C30" i="4"/>
  <c r="D30" i="4" s="1"/>
  <c r="F30" i="4" s="1"/>
  <c r="L24" i="4"/>
  <c r="M25" i="4" l="1"/>
  <c r="F39" i="4"/>
  <c r="F4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DE5998-4969-46F2-9D71-A623696AED52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A4AA771-7EB1-4FA5-9239-6EA3D0C28971}" name="WorksheetConnection_DATA!$A:$I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I1"/>
        </x15:connection>
      </ext>
    </extLst>
  </connection>
</connections>
</file>

<file path=xl/sharedStrings.xml><?xml version="1.0" encoding="utf-8"?>
<sst xmlns="http://schemas.openxmlformats.org/spreadsheetml/2006/main" count="77" uniqueCount="54">
  <si>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</si>
  <si>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</si>
  <si>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</si>
  <si>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</si>
  <si>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</si>
  <si>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</si>
  <si>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</si>
  <si>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</si>
  <si>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</si>
  <si>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</si>
  <si>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</si>
  <si>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/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</si>
  <si>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</si>
  <si>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</si>
  <si>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</si>
  <si>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</si>
  <si>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</si>
  <si>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</si>
  <si>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</si>
  <si>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</si>
  <si>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</si>
  <si>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</si>
  <si>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</si>
  <si>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Число разных элементов в столбце id_client</t>
  </si>
  <si>
    <t>Сумма по столбцу flag_30</t>
  </si>
  <si>
    <t>Сумма по столбцу flag_60</t>
  </si>
  <si>
    <t>Сумма по столбцу flag_90</t>
  </si>
  <si>
    <t>Сумма по столбцу flag_120</t>
  </si>
  <si>
    <t>Сумма по столбцу flag_150</t>
  </si>
  <si>
    <t>Сумма по столбцу flag_180</t>
  </si>
  <si>
    <t>r_0</t>
  </si>
  <si>
    <t>r_1</t>
  </si>
  <si>
    <t>r_2</t>
  </si>
  <si>
    <t>r_3</t>
  </si>
  <si>
    <t>r_4</t>
  </si>
  <si>
    <t>r_5</t>
  </si>
  <si>
    <t>r_6</t>
  </si>
  <si>
    <t>Количество</t>
  </si>
  <si>
    <t>Когорта</t>
  </si>
  <si>
    <t>Задача 1</t>
  </si>
  <si>
    <t>LT</t>
  </si>
  <si>
    <t>Задача 2-6</t>
  </si>
  <si>
    <t xml:space="preserve">ARPU </t>
  </si>
  <si>
    <t>LTR</t>
  </si>
  <si>
    <t>Среднее по столбцу COST</t>
  </si>
  <si>
    <t>avg_costs</t>
  </si>
  <si>
    <t>LTV</t>
  </si>
  <si>
    <t>Когорта, которая показывает высокий LTV за счёт высокого лайфтайма</t>
  </si>
  <si>
    <t>Когорта, которая показывает высокий LTV за счёт низких костов</t>
  </si>
  <si>
    <t>Когорта, которая показывает низкий LTV за счёт низкого лайфтайма</t>
  </si>
  <si>
    <t>Когорта, которая показывает низкий LTV за счёт высоких костов</t>
  </si>
  <si>
    <t>суммарная прибыль нашей компании по всем клиентам</t>
  </si>
  <si>
    <t>ARPU прогнозир</t>
  </si>
  <si>
    <t>На столько процентов изменится суммарная прибыль, если увеличить ARPU на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</si>
</sst>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2" borderId="0" xfId="0" applyFont="1" applyFill="1"/>
    <xf numFmtId="0" fontId="0" fillId="0" borderId="3" xfId="0" applyBorder="1" applyAlignment="1">
      <alignment horizontal="center"/>
    </xf>
    <xf numFmtId="9" fontId="0" fillId="0" borderId="0" xfId="1" applyFont="1"/>
    <xf numFmtId="17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5" borderId="10" xfId="0" applyFill="1" applyBorder="1" applyAlignment="1">
      <alignment horizontal="center"/>
    </xf>
    <xf numFmtId="2" fontId="0" fillId="0" borderId="7" xfId="1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2" fontId="0" fillId="6" borderId="3" xfId="1" applyNumberFormat="1" applyFont="1" applyFill="1" applyBorder="1" applyAlignment="1">
      <alignment horizontal="center"/>
    </xf>
    <xf numFmtId="2" fontId="0" fillId="7" borderId="3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2" fontId="0" fillId="9" borderId="3" xfId="1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4" fontId="0" fillId="10" borderId="3" xfId="0" applyNumberFormat="1" applyFill="1" applyBorder="1" applyAlignment="1">
      <alignment horizontal="center"/>
    </xf>
    <xf numFmtId="17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17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5" borderId="10" xfId="0" applyNumberFormat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57">
    <dxf>
      <numFmt numFmtId="2" formatCode="0.00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2" formatCode="mmm/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2" formatCode="mmm/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954.642574884259" backgroundQuery="1" createdVersion="8" refreshedVersion="8" minRefreshableVersion="3" recordCount="0" supportSubquery="1" supportAdvancedDrill="1" xr:uid="{48F7C86B-8B53-443C-A324-285903680C51}">
  <cacheSource type="external" connectionId="1"/>
  <cacheFields count="10">
    <cacheField name="[Диапазон].[date_come (Месяц)].[date_come (Месяц)]" caption="date_come (Месяц)" numFmtId="0" hierarchy="11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Диапазон].[date_come (Год)].[date_come (Год)]" caption="date_come (Год)" numFmtId="0" hierarchy="9" level="1">
      <sharedItems count="3">
        <s v=""/>
        <s v="2020"/>
        <s v="2021"/>
      </sharedItems>
    </cacheField>
    <cacheField name="[Measures].[Число разных элементов в столбце id_client]" caption="Число разных элементов в столбце id_client" numFmtId="0" hierarchy="16" level="32767"/>
    <cacheField name="[Measures].[Сумма по столбцу flag_30]" caption="Сумма по столбцу flag_30" numFmtId="0" hierarchy="17" level="32767"/>
    <cacheField name="[Measures].[Сумма по столбцу flag_60]" caption="Сумма по столбцу flag_60" numFmtId="0" hierarchy="18" level="32767"/>
    <cacheField name="[Measures].[Сумма по столбцу flag_90]" caption="Сумма по столбцу flag_90" numFmtId="0" hierarchy="19" level="32767"/>
    <cacheField name="[Measures].[Сумма по столбцу flag_120]" caption="Сумма по столбцу flag_120" numFmtId="0" hierarchy="20" level="32767"/>
    <cacheField name="[Measures].[Сумма по столбцу flag_150]" caption="Сумма по столбцу flag_150" numFmtId="0" hierarchy="21" level="32767"/>
    <cacheField name="[Measures].[Сумма по столбцу flag_180]" caption="Сумма по столбцу flag_180" numFmtId="0" hierarchy="22" level="32767"/>
    <cacheField name="[Measures].[Среднее по столбцу COST]" caption="Среднее по столбцу COST" numFmtId="0" hierarchy="24" level="32767"/>
  </cacheFields>
  <cacheHierarchies count="25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30]" caption="Сумма по столбцу flag_30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COST]" caption="Сумма по столбцу COS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COST]" caption="Среднее по столбцу COST" measure="1" displayFolder="" measureGroup="Диапазон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DA31D-5EE0-4428-8CA6-364E38F34E94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I16" firstHeaderRow="0" firstDataRow="1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3">
        <item x="0" e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13">
    <i>
      <x/>
    </i>
    <i>
      <x v="1"/>
    </i>
    <i r="1">
      <x/>
    </i>
    <i r="1">
      <x v="1"/>
    </i>
    <i r="1">
      <x v="2"/>
    </i>
    <i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Число разных элементов в столбце id_client" fld="2" subtotal="count" baseField="0" baseItem="3">
      <extLst>
        <ext xmlns:x15="http://schemas.microsoft.com/office/spreadsheetml/2010/11/main" uri="{FABC7310-3BB5-11E1-824E-6D434824019B}">
          <x15:dataField isCountDistinct="1"/>
        </ext>
      </extLst>
    </dataField>
    <dataField name="Сумма по столбцу flag_30" fld="3" baseField="0" baseItem="0"/>
    <dataField name="Сумма по столбцу flag_60" fld="4" baseField="0" baseItem="0"/>
    <dataField name="Сумма по столбцу flag_90" fld="5" baseField="0" baseItem="0"/>
    <dataField name="Сумма по столбцу flag_120" fld="6" baseField="0" baseItem="0"/>
    <dataField name="Сумма по столбцу flag_150" fld="7" baseField="0" baseItem="0"/>
    <dataField name="Сумма по столбцу flag_180" fld="8" baseField="0" baseItem="0"/>
    <dataField name="Среднее по столбцу COST" fld="9" subtotal="average" baseField="0" baseItem="2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COST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I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7CBCB-F61C-45A3-8726-698A9CEDFCA4}" name="Таблица1" displayName="Таблица1" ref="A2:H11" totalsRowShown="0" headerRowDxfId="56" dataDxfId="54" headerRowBorderDxfId="55" tableBorderDxfId="53" totalsRowBorderDxfId="52">
  <autoFilter ref="A2:H11" xr:uid="{62E7CBCB-F61C-45A3-8726-698A9CEDFCA4}"/>
  <tableColumns count="8">
    <tableColumn id="1" xr3:uid="{E206810E-166E-4D92-9D33-688F6D11C05A}" name="Когорта" dataDxfId="51"/>
    <tableColumn id="2" xr3:uid="{8A9C5D46-BEB0-4EE9-AF8F-916A1DA99A7C}" name="Количество" dataDxfId="50"/>
    <tableColumn id="4" xr3:uid="{4BD56043-6CEC-457F-887D-616223386292}" name="r_1" dataDxfId="49"/>
    <tableColumn id="5" xr3:uid="{DDE43917-0B57-492D-9323-5B935C1C4F69}" name="r_2" dataDxfId="48"/>
    <tableColumn id="6" xr3:uid="{4AEF6071-E99C-431E-B630-0EB20D6B563F}" name="r_3" dataDxfId="47"/>
    <tableColumn id="7" xr3:uid="{AFA0854C-4AC3-4C27-9830-1F85DC8C1B60}" name="r_4" dataDxfId="46"/>
    <tableColumn id="8" xr3:uid="{F48CCFB6-BBD7-4656-AD8F-8F2B98C7EC38}" name="r_5" dataDxfId="45"/>
    <tableColumn id="9" xr3:uid="{EC0B0FB7-6540-4A78-AD6F-776432322D4D}" name="r_6" dataDxfId="4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B2E218-827C-46D1-9D47-625B8B2D20AA}" name="Таблица2" displayName="Таблица2" ref="A14:L24" totalsRowCount="1" headerRowDxfId="43" dataDxfId="41" headerRowBorderDxfId="42" tableBorderDxfId="40" totalsRowBorderDxfId="39">
  <autoFilter ref="A14:L23" xr:uid="{AFB2E218-827C-46D1-9D47-625B8B2D20AA}"/>
  <tableColumns count="12">
    <tableColumn id="1" xr3:uid="{A0195F8A-A187-4237-991F-5E2109F868DF}" name="Когорта" dataDxfId="38" totalsRowDxfId="11"/>
    <tableColumn id="2" xr3:uid="{A3434E4D-46E2-4F39-839B-19A2A42846FD}" name="Количество" dataDxfId="37" totalsRowDxfId="10"/>
    <tableColumn id="4" xr3:uid="{5C589D1A-670E-4407-AF10-B2CDB4134184}" name="r_1" totalsRowFunction="custom" dataDxfId="36" totalsRowDxfId="9" dataCellStyle="Процентный">
      <totalsRowFormula>SUMPRODUCT(Таблица2[r_1],Таблица2[Количество])/SUM(Таблица2[Количество])</totalsRowFormula>
    </tableColumn>
    <tableColumn id="5" xr3:uid="{47C70354-1A84-47E1-B46B-4AD72FD3C940}" name="r_2" totalsRowFunction="custom" dataDxfId="35" totalsRowDxfId="8" dataCellStyle="Процентный">
      <totalsRowFormula>SUMPRODUCT(Таблица2[r_2],Таблица2[Количество])/SUM(Таблица2[Количество])</totalsRowFormula>
    </tableColumn>
    <tableColumn id="6" xr3:uid="{9D31DAA9-A215-4A59-8EC7-426AC7DF9C50}" name="r_3" totalsRowFunction="custom" dataDxfId="34" totalsRowDxfId="7" dataCellStyle="Процентный">
      <totalsRowFormula>SUMPRODUCT(Таблица2[r_3],Таблица2[Количество])/SUM(Таблица2[Количество])</totalsRowFormula>
    </tableColumn>
    <tableColumn id="7" xr3:uid="{67F6CEC7-2AD0-4624-8666-CBA7DDC332AD}" name="r_4" totalsRowFunction="custom" dataDxfId="33" totalsRowDxfId="6" dataCellStyle="Процентный">
      <totalsRowFormula>SUMPRODUCT(Таблица2[r_4],Таблица2[Количество])/SUM(Таблица2[Количество])</totalsRowFormula>
    </tableColumn>
    <tableColumn id="8" xr3:uid="{81291826-75E4-4188-AB54-46963202D3F0}" name="r_5" totalsRowFunction="custom" dataDxfId="32" totalsRowDxfId="5" dataCellStyle="Процентный">
      <totalsRowFormula>SUMPRODUCT(Таблица2[r_5],Таблица2[Количество])/SUM(Таблица2[Количество])</totalsRowFormula>
    </tableColumn>
    <tableColumn id="9" xr3:uid="{9DA5BC55-47E7-4A97-9418-70541B8F407F}" name="r_6" totalsRowFunction="custom" dataDxfId="31" totalsRowDxfId="4" dataCellStyle="Процентный">
      <totalsRowFormula>SUMPRODUCT(Таблица2[r_6],Таблица2[Количество])/SUM(Таблица2[Количество])</totalsRowFormula>
    </tableColumn>
    <tableColumn id="10" xr3:uid="{C0FF45B1-B1C4-4EB6-A3DC-0DFD3AEF0057}" name="LT" totalsRowFunction="custom" dataDxfId="12" totalsRowDxfId="3" dataCellStyle="Процентный">
      <calculatedColumnFormula>Таблица2[[#This Row],[r_1]]/2+Таблица2[[#This Row],[r_6]]/2+SUM(Таблица2[[#This Row],[r_2]:[r_5]])</calculatedColumnFormula>
      <totalsRowFormula>Таблица2[[#Totals],[r_6]]/2+Таблица2[[#Totals],[r_1]]/2+SUM(Таблица2[[#Totals],[r_2]:[r_5]])</totalsRowFormula>
    </tableColumn>
    <tableColumn id="11" xr3:uid="{2C7C31FF-7583-4B9D-B32C-0EB80E7E8DC7}" name="LTR" totalsRowFunction="custom" dataDxfId="30" totalsRowDxfId="2" dataCellStyle="Процентный">
      <calculatedColumnFormula>Таблица2[[#This Row],[LT]]*$B$26</calculatedColumnFormula>
      <totalsRowFormula>Таблица2[[#Totals],[LT]]*B26</totalsRowFormula>
    </tableColumn>
    <tableColumn id="12" xr3:uid="{C6971DC3-C737-4FDE-AFC8-8B627DBAABCE}" name="avg_costs" totalsRowFunction="custom" dataDxfId="29" totalsRowDxfId="1" dataCellStyle="Процентный">
      <totalsRowFormula>свод!I16</totalsRowFormula>
    </tableColumn>
    <tableColumn id="13" xr3:uid="{704DFA28-32B0-4762-8F05-76F8C59DD57F}" name="LTV" totalsRowFunction="custom" dataDxfId="28" totalsRowDxfId="0" dataCellStyle="Процентный">
      <calculatedColumnFormula>Таблица2[[#This Row],[LTR]]-Таблица2[[#This Row],[avg_costs]]</calculatedColumnFormula>
      <totalsRowFormula>Таблица2[[#Totals],[LTR]]-Таблица2[[#Totals],[avg_costs]]</totalsRow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03C9D1-F28D-47A6-B6F0-59A4170D1A2A}" name="Таблица3" displayName="Таблица3" ref="A29:F39" totalsRowCount="1" headerRowDxfId="27" headerRowBorderDxfId="26" tableBorderDxfId="25">
  <autoFilter ref="A29:F38" xr:uid="{2903C9D1-F28D-47A6-B6F0-59A4170D1A2A}"/>
  <tableColumns count="6">
    <tableColumn id="1" xr3:uid="{12097CCF-7703-4A76-95AA-63A4ED719878}" name="Когорта" dataDxfId="24" totalsRowDxfId="23"/>
    <tableColumn id="2" xr3:uid="{3AE0F1B3-3F16-4652-AD60-70BB8A32DCD2}" name="Количество" dataDxfId="22" totalsRowDxfId="21">
      <calculatedColumnFormula>B15</calculatedColumnFormula>
    </tableColumn>
    <tableColumn id="3" xr3:uid="{76A561CA-73AA-4653-BC1F-8F1E562F6251}" name="LT" dataDxfId="20" totalsRowDxfId="19">
      <calculatedColumnFormula>I15</calculatedColumnFormula>
    </tableColumn>
    <tableColumn id="4" xr3:uid="{F53E6D4D-6927-4D20-9F80-ACEF95D0857F}" name="LTR" dataDxfId="18" totalsRowDxfId="17">
      <calculatedColumnFormula>Таблица3[[#This Row],[LT]]*$B$27</calculatedColumnFormula>
    </tableColumn>
    <tableColumn id="5" xr3:uid="{2445014F-B266-4850-8180-80DC5A6B2228}" name="avg_costs" dataDxfId="16" totalsRowDxfId="15">
      <calculatedColumnFormula>K15</calculatedColumnFormula>
    </tableColumn>
    <tableColumn id="6" xr3:uid="{6AB78F45-58E8-497F-AC3F-284444228D8E}" name="LTV" totalsRowFunction="custom" dataDxfId="14" totalsRowDxfId="13">
      <calculatedColumnFormula>Таблица3[[#This Row],[LTR]]-Таблица3[[#This Row],[avg_costs]]</calculatedColumnFormula>
      <totalsRowFormula>SUMPRODUCT(Таблица3[Количество],Таблица3[LTV])</totalsRow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771E-1C90-47E6-B93F-06FB9962E8CC}">
  <dimension ref="A3:J26"/>
  <sheetViews>
    <sheetView topLeftCell="C1" workbookViewId="0">
      <selection activeCell="I16" sqref="I16"/>
    </sheetView>
  </sheetViews>
  <sheetFormatPr defaultRowHeight="15.05" x14ac:dyDescent="0.3"/>
  <cols>
    <col min="1" max="1" width="15.5546875" bestFit="1" customWidth="1"/>
    <col min="2" max="2" width="37.77734375" bestFit="1" customWidth="1"/>
    <col min="3" max="5" width="22.33203125" bestFit="1" customWidth="1"/>
    <col min="6" max="8" width="23.33203125" bestFit="1" customWidth="1"/>
    <col min="9" max="9" width="22.44140625" bestFit="1" customWidth="1"/>
  </cols>
  <sheetData>
    <row r="3" spans="1:9" x14ac:dyDescent="0.3">
      <c r="A3" s="2" t="s">
        <v>9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44</v>
      </c>
    </row>
    <row r="4" spans="1:9" x14ac:dyDescent="0.3">
      <c r="A4" s="3" t="s">
        <v>11</v>
      </c>
      <c r="B4">
        <v>1</v>
      </c>
    </row>
    <row r="5" spans="1:9" x14ac:dyDescent="0.3">
      <c r="A5" s="3" t="s">
        <v>12</v>
      </c>
    </row>
    <row r="6" spans="1:9" x14ac:dyDescent="0.3">
      <c r="A6" s="4" t="s">
        <v>13</v>
      </c>
      <c r="B6">
        <v>274</v>
      </c>
      <c r="C6">
        <v>230</v>
      </c>
      <c r="D6">
        <v>175</v>
      </c>
      <c r="E6">
        <v>104</v>
      </c>
      <c r="F6">
        <v>42</v>
      </c>
      <c r="G6">
        <v>22</v>
      </c>
      <c r="H6">
        <v>9</v>
      </c>
      <c r="I6">
        <v>70.226277372262771</v>
      </c>
    </row>
    <row r="7" spans="1:9" x14ac:dyDescent="0.3">
      <c r="A7" s="4" t="s">
        <v>14</v>
      </c>
      <c r="B7">
        <v>308</v>
      </c>
      <c r="C7">
        <v>257</v>
      </c>
      <c r="D7">
        <v>190</v>
      </c>
      <c r="E7">
        <v>118</v>
      </c>
      <c r="F7">
        <v>53</v>
      </c>
      <c r="G7">
        <v>27</v>
      </c>
      <c r="H7">
        <v>13</v>
      </c>
      <c r="I7">
        <v>36.142857142857146</v>
      </c>
    </row>
    <row r="8" spans="1:9" x14ac:dyDescent="0.3">
      <c r="A8" s="4" t="s">
        <v>15</v>
      </c>
      <c r="B8">
        <v>316</v>
      </c>
      <c r="C8">
        <v>249</v>
      </c>
      <c r="D8">
        <v>196</v>
      </c>
      <c r="E8">
        <v>111</v>
      </c>
      <c r="F8">
        <v>51</v>
      </c>
      <c r="G8">
        <v>22</v>
      </c>
      <c r="H8">
        <v>10</v>
      </c>
      <c r="I8">
        <v>70.00316455696202</v>
      </c>
    </row>
    <row r="9" spans="1:9" x14ac:dyDescent="0.3">
      <c r="A9" s="3" t="s">
        <v>16</v>
      </c>
    </row>
    <row r="10" spans="1:9" x14ac:dyDescent="0.3">
      <c r="A10" s="4" t="s">
        <v>17</v>
      </c>
      <c r="B10">
        <v>300</v>
      </c>
      <c r="C10">
        <v>233</v>
      </c>
      <c r="D10">
        <v>171</v>
      </c>
      <c r="E10">
        <v>107</v>
      </c>
      <c r="F10">
        <v>53</v>
      </c>
      <c r="G10">
        <v>27</v>
      </c>
      <c r="H10">
        <v>9</v>
      </c>
      <c r="I10">
        <v>183.46666666666667</v>
      </c>
    </row>
    <row r="11" spans="1:9" x14ac:dyDescent="0.3">
      <c r="A11" s="4" t="s">
        <v>18</v>
      </c>
      <c r="B11">
        <v>245</v>
      </c>
      <c r="C11">
        <v>192</v>
      </c>
      <c r="D11">
        <v>137</v>
      </c>
      <c r="E11">
        <v>85</v>
      </c>
      <c r="F11">
        <v>39</v>
      </c>
      <c r="G11">
        <v>18</v>
      </c>
      <c r="H11">
        <v>3</v>
      </c>
      <c r="I11">
        <v>69.836734693877546</v>
      </c>
    </row>
    <row r="12" spans="1:9" x14ac:dyDescent="0.3">
      <c r="A12" s="4" t="s">
        <v>19</v>
      </c>
      <c r="B12">
        <v>274</v>
      </c>
      <c r="C12">
        <v>139</v>
      </c>
      <c r="D12">
        <v>109</v>
      </c>
      <c r="E12">
        <v>82</v>
      </c>
      <c r="F12">
        <v>31</v>
      </c>
      <c r="G12">
        <v>14</v>
      </c>
      <c r="H12">
        <v>5</v>
      </c>
      <c r="I12">
        <v>70.226277372262771</v>
      </c>
    </row>
    <row r="13" spans="1:9" x14ac:dyDescent="0.3">
      <c r="A13" s="4" t="s">
        <v>20</v>
      </c>
      <c r="B13">
        <v>250</v>
      </c>
      <c r="C13">
        <v>202</v>
      </c>
      <c r="D13">
        <v>151</v>
      </c>
      <c r="E13">
        <v>88</v>
      </c>
      <c r="F13">
        <v>44</v>
      </c>
      <c r="G13">
        <v>25</v>
      </c>
      <c r="H13">
        <v>11</v>
      </c>
      <c r="I13">
        <v>70.207999999999998</v>
      </c>
    </row>
    <row r="14" spans="1:9" x14ac:dyDescent="0.3">
      <c r="A14" s="4" t="s">
        <v>21</v>
      </c>
      <c r="B14">
        <v>265</v>
      </c>
      <c r="C14">
        <v>214</v>
      </c>
      <c r="D14">
        <v>164</v>
      </c>
      <c r="E14">
        <v>146</v>
      </c>
      <c r="F14">
        <v>72</v>
      </c>
      <c r="G14">
        <v>37</v>
      </c>
      <c r="H14">
        <v>8</v>
      </c>
      <c r="I14">
        <v>71.26792452830189</v>
      </c>
    </row>
    <row r="15" spans="1:9" x14ac:dyDescent="0.3">
      <c r="A15" s="4" t="s">
        <v>22</v>
      </c>
      <c r="B15">
        <v>268</v>
      </c>
      <c r="C15">
        <v>201</v>
      </c>
      <c r="D15">
        <v>154</v>
      </c>
      <c r="E15">
        <v>79</v>
      </c>
      <c r="F15">
        <v>37</v>
      </c>
      <c r="G15">
        <v>18</v>
      </c>
      <c r="H15">
        <v>0</v>
      </c>
      <c r="I15">
        <v>70.440298507462686</v>
      </c>
    </row>
    <row r="16" spans="1:9" ht="15.75" thickBot="1" x14ac:dyDescent="0.35">
      <c r="A16" s="3" t="s">
        <v>10</v>
      </c>
      <c r="B16">
        <v>2501</v>
      </c>
      <c r="C16">
        <v>1917</v>
      </c>
      <c r="D16">
        <v>1447</v>
      </c>
      <c r="E16">
        <v>920</v>
      </c>
      <c r="F16">
        <v>422</v>
      </c>
      <c r="G16">
        <v>210</v>
      </c>
      <c r="H16">
        <v>68</v>
      </c>
      <c r="I16">
        <v>79.681200000000004</v>
      </c>
    </row>
    <row r="17" spans="1:10" x14ac:dyDescent="0.3">
      <c r="A17" s="7" t="s">
        <v>38</v>
      </c>
      <c r="B17" s="7" t="s">
        <v>37</v>
      </c>
      <c r="C17" s="5" t="s">
        <v>30</v>
      </c>
      <c r="D17" s="5" t="s">
        <v>31</v>
      </c>
      <c r="E17" s="5" t="s">
        <v>32</v>
      </c>
      <c r="F17" s="5" t="s">
        <v>33</v>
      </c>
      <c r="G17" s="5" t="s">
        <v>34</v>
      </c>
      <c r="H17" s="5" t="s">
        <v>35</v>
      </c>
      <c r="I17" s="5" t="s">
        <v>36</v>
      </c>
      <c r="J17" s="6" t="s">
        <v>45</v>
      </c>
    </row>
    <row r="18" spans="1:10" x14ac:dyDescent="0.3">
      <c r="A18" s="8">
        <v>44105</v>
      </c>
      <c r="B18" s="7">
        <v>274</v>
      </c>
      <c r="C18" s="7">
        <v>274</v>
      </c>
      <c r="D18" s="7">
        <v>230</v>
      </c>
      <c r="E18" s="7">
        <v>175</v>
      </c>
      <c r="F18" s="7">
        <v>104</v>
      </c>
      <c r="G18" s="7">
        <v>42</v>
      </c>
      <c r="H18" s="7">
        <v>22</v>
      </c>
      <c r="I18" s="7">
        <v>9</v>
      </c>
      <c r="J18">
        <v>70.226277372262771</v>
      </c>
    </row>
    <row r="19" spans="1:10" x14ac:dyDescent="0.3">
      <c r="A19" s="8">
        <v>44136</v>
      </c>
      <c r="B19" s="7">
        <v>308</v>
      </c>
      <c r="C19" s="7">
        <v>308</v>
      </c>
      <c r="D19" s="7">
        <v>257</v>
      </c>
      <c r="E19" s="7">
        <v>190</v>
      </c>
      <c r="F19" s="7">
        <v>118</v>
      </c>
      <c r="G19" s="7">
        <v>53</v>
      </c>
      <c r="H19" s="7">
        <v>27</v>
      </c>
      <c r="I19" s="7">
        <v>13</v>
      </c>
      <c r="J19">
        <v>36.142857142857146</v>
      </c>
    </row>
    <row r="20" spans="1:10" x14ac:dyDescent="0.3">
      <c r="A20" s="8">
        <v>44166</v>
      </c>
      <c r="B20" s="7">
        <v>316</v>
      </c>
      <c r="C20" s="7">
        <v>316</v>
      </c>
      <c r="D20" s="7">
        <v>249</v>
      </c>
      <c r="E20" s="7">
        <v>196</v>
      </c>
      <c r="F20" s="7">
        <v>111</v>
      </c>
      <c r="G20" s="7">
        <v>51</v>
      </c>
      <c r="H20" s="7">
        <v>22</v>
      </c>
      <c r="I20" s="7">
        <v>10</v>
      </c>
      <c r="J20">
        <v>70.00316455696202</v>
      </c>
    </row>
    <row r="21" spans="1:10" x14ac:dyDescent="0.3">
      <c r="A21" s="8">
        <v>44197</v>
      </c>
      <c r="B21" s="7">
        <v>300</v>
      </c>
      <c r="C21" s="7">
        <v>300</v>
      </c>
      <c r="D21" s="7">
        <v>233</v>
      </c>
      <c r="E21" s="7">
        <v>171</v>
      </c>
      <c r="F21" s="7">
        <v>107</v>
      </c>
      <c r="G21" s="7">
        <v>53</v>
      </c>
      <c r="H21" s="7">
        <v>27</v>
      </c>
      <c r="I21" s="7">
        <v>9</v>
      </c>
      <c r="J21">
        <v>183.46666666666667</v>
      </c>
    </row>
    <row r="22" spans="1:10" x14ac:dyDescent="0.3">
      <c r="A22" s="8">
        <v>44228</v>
      </c>
      <c r="B22" s="7">
        <v>245</v>
      </c>
      <c r="C22" s="7">
        <v>245</v>
      </c>
      <c r="D22" s="7">
        <v>192</v>
      </c>
      <c r="E22" s="7">
        <v>137</v>
      </c>
      <c r="F22" s="7">
        <v>85</v>
      </c>
      <c r="G22" s="7">
        <v>39</v>
      </c>
      <c r="H22" s="7">
        <v>18</v>
      </c>
      <c r="I22" s="7">
        <v>3</v>
      </c>
      <c r="J22">
        <v>69.836734693877546</v>
      </c>
    </row>
    <row r="23" spans="1:10" x14ac:dyDescent="0.3">
      <c r="A23" s="8">
        <v>44256</v>
      </c>
      <c r="B23" s="7">
        <v>274</v>
      </c>
      <c r="C23" s="7">
        <v>274</v>
      </c>
      <c r="D23" s="7">
        <v>139</v>
      </c>
      <c r="E23" s="7">
        <v>109</v>
      </c>
      <c r="F23" s="7">
        <v>82</v>
      </c>
      <c r="G23" s="7">
        <v>31</v>
      </c>
      <c r="H23" s="7">
        <v>14</v>
      </c>
      <c r="I23" s="7">
        <v>5</v>
      </c>
      <c r="J23">
        <v>70.226277372262771</v>
      </c>
    </row>
    <row r="24" spans="1:10" x14ac:dyDescent="0.3">
      <c r="A24" s="8">
        <v>44287</v>
      </c>
      <c r="B24" s="7">
        <v>250</v>
      </c>
      <c r="C24" s="7">
        <v>250</v>
      </c>
      <c r="D24" s="7">
        <v>202</v>
      </c>
      <c r="E24" s="7">
        <v>151</v>
      </c>
      <c r="F24" s="7">
        <v>88</v>
      </c>
      <c r="G24" s="7">
        <v>44</v>
      </c>
      <c r="H24" s="7">
        <v>25</v>
      </c>
      <c r="I24" s="7">
        <v>11</v>
      </c>
      <c r="J24">
        <v>70.207999999999998</v>
      </c>
    </row>
    <row r="25" spans="1:10" x14ac:dyDescent="0.3">
      <c r="A25" s="8">
        <v>44317</v>
      </c>
      <c r="B25" s="7">
        <v>265</v>
      </c>
      <c r="C25" s="7">
        <v>265</v>
      </c>
      <c r="D25" s="7">
        <v>214</v>
      </c>
      <c r="E25" s="7">
        <v>164</v>
      </c>
      <c r="F25" s="7">
        <v>146</v>
      </c>
      <c r="G25" s="7">
        <v>72</v>
      </c>
      <c r="H25" s="7">
        <v>37</v>
      </c>
      <c r="I25" s="7">
        <v>8</v>
      </c>
      <c r="J25">
        <v>71.26792452830189</v>
      </c>
    </row>
    <row r="26" spans="1:10" x14ac:dyDescent="0.3">
      <c r="A26" s="8">
        <v>44348</v>
      </c>
      <c r="B26" s="7">
        <v>268</v>
      </c>
      <c r="C26" s="7">
        <v>268</v>
      </c>
      <c r="D26" s="7">
        <v>201</v>
      </c>
      <c r="E26" s="7">
        <v>154</v>
      </c>
      <c r="F26" s="7">
        <v>79</v>
      </c>
      <c r="G26" s="7">
        <v>37</v>
      </c>
      <c r="H26" s="7">
        <v>18</v>
      </c>
      <c r="I26" s="7">
        <v>0</v>
      </c>
      <c r="J26">
        <v>70.440298507462686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5694-20E9-4639-8427-575C09D96AC4}">
  <dimension ref="A1:O40"/>
  <sheetViews>
    <sheetView tabSelected="1" topLeftCell="A10" workbookViewId="0">
      <selection activeCell="B27" sqref="B27"/>
    </sheetView>
  </sheetViews>
  <sheetFormatPr defaultRowHeight="15.05" x14ac:dyDescent="0.3"/>
  <cols>
    <col min="1" max="1" width="13.77734375" customWidth="1"/>
    <col min="2" max="2" width="12.109375" customWidth="1"/>
    <col min="4" max="4" width="16.44140625" customWidth="1"/>
    <col min="5" max="5" width="10.21875" customWidth="1"/>
    <col min="6" max="6" width="14.88671875" customWidth="1"/>
    <col min="9" max="9" width="12.6640625" customWidth="1"/>
    <col min="10" max="10" width="11.21875" customWidth="1"/>
    <col min="11" max="11" width="10.77734375" customWidth="1"/>
    <col min="12" max="12" width="10.5546875" customWidth="1"/>
    <col min="13" max="13" width="12.5546875" customWidth="1"/>
  </cols>
  <sheetData>
    <row r="1" spans="1:14" x14ac:dyDescent="0.3">
      <c r="A1" s="9" t="s">
        <v>39</v>
      </c>
    </row>
    <row r="2" spans="1:14" x14ac:dyDescent="0.3">
      <c r="A2" s="14" t="s">
        <v>38</v>
      </c>
      <c r="B2" s="15" t="s">
        <v>37</v>
      </c>
      <c r="C2" s="16" t="s">
        <v>31</v>
      </c>
      <c r="D2" s="16" t="s">
        <v>32</v>
      </c>
      <c r="E2" s="16" t="s">
        <v>33</v>
      </c>
      <c r="F2" s="16" t="s">
        <v>34</v>
      </c>
      <c r="G2" s="16" t="s">
        <v>35</v>
      </c>
      <c r="H2" s="17" t="s">
        <v>36</v>
      </c>
    </row>
    <row r="3" spans="1:14" x14ac:dyDescent="0.3">
      <c r="A3" s="12">
        <v>44105</v>
      </c>
      <c r="B3" s="10">
        <v>274</v>
      </c>
      <c r="C3" s="10">
        <v>230</v>
      </c>
      <c r="D3" s="10">
        <v>175</v>
      </c>
      <c r="E3" s="10">
        <v>104</v>
      </c>
      <c r="F3" s="10">
        <v>42</v>
      </c>
      <c r="G3" s="10">
        <v>22</v>
      </c>
      <c r="H3" s="13">
        <v>9</v>
      </c>
    </row>
    <row r="4" spans="1:14" x14ac:dyDescent="0.3">
      <c r="A4" s="12">
        <v>44136</v>
      </c>
      <c r="B4" s="10">
        <v>308</v>
      </c>
      <c r="C4" s="10">
        <v>257</v>
      </c>
      <c r="D4" s="10">
        <v>190</v>
      </c>
      <c r="E4" s="10">
        <v>118</v>
      </c>
      <c r="F4" s="10">
        <v>53</v>
      </c>
      <c r="G4" s="10">
        <v>27</v>
      </c>
      <c r="H4" s="13">
        <v>13</v>
      </c>
    </row>
    <row r="5" spans="1:14" x14ac:dyDescent="0.3">
      <c r="A5" s="12">
        <v>44166</v>
      </c>
      <c r="B5" s="10">
        <v>316</v>
      </c>
      <c r="C5" s="10">
        <v>249</v>
      </c>
      <c r="D5" s="10">
        <v>196</v>
      </c>
      <c r="E5" s="10">
        <v>111</v>
      </c>
      <c r="F5" s="10">
        <v>51</v>
      </c>
      <c r="G5" s="10">
        <v>22</v>
      </c>
      <c r="H5" s="13">
        <v>10</v>
      </c>
    </row>
    <row r="6" spans="1:14" x14ac:dyDescent="0.3">
      <c r="A6" s="12">
        <v>44197</v>
      </c>
      <c r="B6" s="10">
        <v>300</v>
      </c>
      <c r="C6" s="10">
        <v>233</v>
      </c>
      <c r="D6" s="10">
        <v>171</v>
      </c>
      <c r="E6" s="10">
        <v>107</v>
      </c>
      <c r="F6" s="10">
        <v>53</v>
      </c>
      <c r="G6" s="10">
        <v>27</v>
      </c>
      <c r="H6" s="13">
        <v>9</v>
      </c>
    </row>
    <row r="7" spans="1:14" x14ac:dyDescent="0.3">
      <c r="A7" s="12">
        <v>44228</v>
      </c>
      <c r="B7" s="10">
        <v>245</v>
      </c>
      <c r="C7" s="10">
        <v>192</v>
      </c>
      <c r="D7" s="10">
        <v>137</v>
      </c>
      <c r="E7" s="10">
        <v>85</v>
      </c>
      <c r="F7" s="10">
        <v>39</v>
      </c>
      <c r="G7" s="10">
        <v>18</v>
      </c>
      <c r="H7" s="13">
        <v>3</v>
      </c>
    </row>
    <row r="8" spans="1:14" x14ac:dyDescent="0.3">
      <c r="A8" s="12">
        <v>44256</v>
      </c>
      <c r="B8" s="10">
        <v>274</v>
      </c>
      <c r="C8" s="10">
        <v>139</v>
      </c>
      <c r="D8" s="10">
        <v>109</v>
      </c>
      <c r="E8" s="10">
        <v>82</v>
      </c>
      <c r="F8" s="10">
        <v>31</v>
      </c>
      <c r="G8" s="10">
        <v>14</v>
      </c>
      <c r="H8" s="13">
        <v>5</v>
      </c>
    </row>
    <row r="9" spans="1:14" x14ac:dyDescent="0.3">
      <c r="A9" s="12">
        <v>44287</v>
      </c>
      <c r="B9" s="10">
        <v>250</v>
      </c>
      <c r="C9" s="10">
        <v>202</v>
      </c>
      <c r="D9" s="10">
        <v>151</v>
      </c>
      <c r="E9" s="10">
        <v>88</v>
      </c>
      <c r="F9" s="10">
        <v>44</v>
      </c>
      <c r="G9" s="10">
        <v>25</v>
      </c>
      <c r="H9" s="13">
        <v>11</v>
      </c>
    </row>
    <row r="10" spans="1:14" x14ac:dyDescent="0.3">
      <c r="A10" s="12">
        <v>44317</v>
      </c>
      <c r="B10" s="10">
        <v>265</v>
      </c>
      <c r="C10" s="10">
        <v>214</v>
      </c>
      <c r="D10" s="10">
        <v>164</v>
      </c>
      <c r="E10" s="10">
        <v>146</v>
      </c>
      <c r="F10" s="10">
        <v>72</v>
      </c>
      <c r="G10" s="10">
        <v>37</v>
      </c>
      <c r="H10" s="13">
        <v>8</v>
      </c>
    </row>
    <row r="11" spans="1:14" x14ac:dyDescent="0.3">
      <c r="A11" s="18">
        <v>44348</v>
      </c>
      <c r="B11" s="19">
        <v>268</v>
      </c>
      <c r="C11" s="19">
        <v>201</v>
      </c>
      <c r="D11" s="19">
        <v>154</v>
      </c>
      <c r="E11" s="19">
        <v>79</v>
      </c>
      <c r="F11" s="19">
        <v>37</v>
      </c>
      <c r="G11" s="19">
        <v>18</v>
      </c>
      <c r="H11" s="20">
        <v>0</v>
      </c>
    </row>
    <row r="13" spans="1:14" x14ac:dyDescent="0.3">
      <c r="A13" s="9" t="s">
        <v>41</v>
      </c>
    </row>
    <row r="14" spans="1:14" x14ac:dyDescent="0.3">
      <c r="A14" s="21" t="s">
        <v>38</v>
      </c>
      <c r="B14" s="22" t="s">
        <v>37</v>
      </c>
      <c r="C14" s="23" t="s">
        <v>31</v>
      </c>
      <c r="D14" s="23" t="s">
        <v>32</v>
      </c>
      <c r="E14" s="23" t="s">
        <v>33</v>
      </c>
      <c r="F14" s="23" t="s">
        <v>34</v>
      </c>
      <c r="G14" s="23" t="s">
        <v>35</v>
      </c>
      <c r="H14" s="24" t="s">
        <v>36</v>
      </c>
      <c r="I14" s="23" t="s">
        <v>40</v>
      </c>
      <c r="J14" s="23" t="s">
        <v>43</v>
      </c>
      <c r="K14" s="23" t="s">
        <v>45</v>
      </c>
      <c r="L14" s="23" t="s">
        <v>46</v>
      </c>
    </row>
    <row r="15" spans="1:14" x14ac:dyDescent="0.3">
      <c r="A15" s="12">
        <v>44105</v>
      </c>
      <c r="B15" s="10">
        <v>274</v>
      </c>
      <c r="C15" s="25">
        <f>C3/$B$3</f>
        <v>0.83941605839416056</v>
      </c>
      <c r="D15" s="25">
        <f t="shared" ref="D15:H15" si="0">D3/$B$3</f>
        <v>0.63868613138686137</v>
      </c>
      <c r="E15" s="25">
        <f t="shared" si="0"/>
        <v>0.37956204379562042</v>
      </c>
      <c r="F15" s="25">
        <f t="shared" si="0"/>
        <v>0.15328467153284672</v>
      </c>
      <c r="G15" s="25">
        <f t="shared" si="0"/>
        <v>8.0291970802919707E-2</v>
      </c>
      <c r="H15" s="25">
        <f t="shared" si="0"/>
        <v>3.2846715328467155E-2</v>
      </c>
      <c r="I15" s="28">
        <f>Таблица2[[#This Row],[r_1]]/2+Таблица2[[#This Row],[r_6]]/2+SUM(Таблица2[[#This Row],[r_2]:[r_5]])</f>
        <v>1.687956204379562</v>
      </c>
      <c r="J15" s="28">
        <f>Таблица2[[#This Row],[LT]]*$B$26</f>
        <v>504.69890510948903</v>
      </c>
      <c r="K15" s="28">
        <v>70.226277372262771</v>
      </c>
      <c r="L15" s="28">
        <f>Таблица2[[#This Row],[LTR]]-Таблица2[[#This Row],[avg_costs]]</f>
        <v>434.47262773722628</v>
      </c>
    </row>
    <row r="16" spans="1:14" x14ac:dyDescent="0.3">
      <c r="A16" s="12">
        <v>44136</v>
      </c>
      <c r="B16" s="10">
        <v>308</v>
      </c>
      <c r="C16" s="25">
        <f>C4/$B$4</f>
        <v>0.83441558441558439</v>
      </c>
      <c r="D16" s="25">
        <f>D4/$B$4</f>
        <v>0.61688311688311692</v>
      </c>
      <c r="E16" s="25">
        <f>E4/$B$4</f>
        <v>0.38311688311688313</v>
      </c>
      <c r="F16" s="25">
        <f>F4/$B$4</f>
        <v>0.17207792207792208</v>
      </c>
      <c r="G16" s="25">
        <f>G4/$B$4</f>
        <v>8.7662337662337664E-2</v>
      </c>
      <c r="H16" s="26">
        <f>H4/$B$4</f>
        <v>4.2207792207792208E-2</v>
      </c>
      <c r="I16" s="29">
        <f>Таблица2[[#This Row],[r_1]]/2+Таблица2[[#This Row],[r_6]]/2+SUM(Таблица2[[#This Row],[r_2]:[r_5]])</f>
        <v>1.698051948051948</v>
      </c>
      <c r="J16" s="29">
        <f>Таблица2[[#This Row],[LT]]*$B$26</f>
        <v>507.71753246753246</v>
      </c>
      <c r="K16" s="29">
        <v>36.142857142857146</v>
      </c>
      <c r="L16" s="33">
        <f>Таблица2[[#This Row],[LTR]]-Таблица2[[#This Row],[avg_costs]]</f>
        <v>471.5746753246753</v>
      </c>
      <c r="N16" t="s">
        <v>48</v>
      </c>
    </row>
    <row r="17" spans="1:15" x14ac:dyDescent="0.3">
      <c r="A17" s="12">
        <v>44166</v>
      </c>
      <c r="B17" s="10">
        <v>316</v>
      </c>
      <c r="C17" s="25">
        <f>C5/$B$5</f>
        <v>0.78797468354430378</v>
      </c>
      <c r="D17" s="25">
        <f>D5/$B$5</f>
        <v>0.620253164556962</v>
      </c>
      <c r="E17" s="25">
        <f>E5/$B$5</f>
        <v>0.35126582278481011</v>
      </c>
      <c r="F17" s="25">
        <f>F5/$B$5</f>
        <v>0.16139240506329114</v>
      </c>
      <c r="G17" s="25">
        <f>G5/$B$5</f>
        <v>6.9620253164556958E-2</v>
      </c>
      <c r="H17" s="26">
        <f>H5/$B$5</f>
        <v>3.1645569620253167E-2</v>
      </c>
      <c r="I17" s="29">
        <f>Таблица2[[#This Row],[r_1]]/2+Таблица2[[#This Row],[r_6]]/2+SUM(Таблица2[[#This Row],[r_2]:[r_5]])</f>
        <v>1.6123417721518987</v>
      </c>
      <c r="J17" s="29">
        <f>Таблица2[[#This Row],[LT]]*$B$26</f>
        <v>482.09018987341773</v>
      </c>
      <c r="K17" s="29">
        <v>70.00316455696202</v>
      </c>
      <c r="L17" s="29">
        <f>Таблица2[[#This Row],[LTR]]-Таблица2[[#This Row],[avg_costs]]</f>
        <v>412.08702531645571</v>
      </c>
    </row>
    <row r="18" spans="1:15" x14ac:dyDescent="0.3">
      <c r="A18" s="12">
        <v>44197</v>
      </c>
      <c r="B18" s="10">
        <v>300</v>
      </c>
      <c r="C18" s="25">
        <f>C6/$B$6</f>
        <v>0.77666666666666662</v>
      </c>
      <c r="D18" s="25">
        <f>D6/$B$6</f>
        <v>0.56999999999999995</v>
      </c>
      <c r="E18" s="25">
        <f>E6/$B$6</f>
        <v>0.35666666666666669</v>
      </c>
      <c r="F18" s="25">
        <f>F6/$B$6</f>
        <v>0.17666666666666667</v>
      </c>
      <c r="G18" s="25">
        <f>G6/$B$6</f>
        <v>0.09</v>
      </c>
      <c r="H18" s="25">
        <f>H6/$B$6</f>
        <v>0.03</v>
      </c>
      <c r="I18" s="29">
        <f>Таблица2[[#This Row],[r_1]]/2+Таблица2[[#This Row],[r_6]]/2+SUM(Таблица2[[#This Row],[r_2]:[r_5]])</f>
        <v>1.5966666666666667</v>
      </c>
      <c r="J18" s="29">
        <f>Таблица2[[#This Row],[LT]]*$B$26</f>
        <v>477.40333333333336</v>
      </c>
      <c r="K18" s="29">
        <v>183.46666666666667</v>
      </c>
      <c r="L18" s="35">
        <f>Таблица2[[#This Row],[LTR]]-Таблица2[[#This Row],[avg_costs]]</f>
        <v>293.93666666666672</v>
      </c>
      <c r="N18" t="s">
        <v>50</v>
      </c>
    </row>
    <row r="19" spans="1:15" x14ac:dyDescent="0.3">
      <c r="A19" s="12">
        <v>44228</v>
      </c>
      <c r="B19" s="10">
        <v>245</v>
      </c>
      <c r="C19" s="25">
        <f>C7/$B$7</f>
        <v>0.78367346938775506</v>
      </c>
      <c r="D19" s="25">
        <f>D7/$B$7</f>
        <v>0.5591836734693878</v>
      </c>
      <c r="E19" s="25">
        <f>E7/$B$7</f>
        <v>0.34693877551020408</v>
      </c>
      <c r="F19" s="25">
        <f>F7/$B$7</f>
        <v>0.15918367346938775</v>
      </c>
      <c r="G19" s="25">
        <f>G7/$B$7</f>
        <v>7.3469387755102047E-2</v>
      </c>
      <c r="H19" s="25">
        <f>H7/$B$7</f>
        <v>1.2244897959183673E-2</v>
      </c>
      <c r="I19" s="29">
        <f>Таблица2[[#This Row],[r_1]]/2+Таблица2[[#This Row],[r_6]]/2+SUM(Таблица2[[#This Row],[r_2]:[r_5]])</f>
        <v>1.536734693877551</v>
      </c>
      <c r="J19" s="29">
        <f>Таблица2[[#This Row],[LT]]*$B$26</f>
        <v>459.48367346938778</v>
      </c>
      <c r="K19" s="29">
        <v>69.836734693877546</v>
      </c>
      <c r="L19" s="29">
        <f>Таблица2[[#This Row],[LTR]]-Таблица2[[#This Row],[avg_costs]]</f>
        <v>389.64693877551025</v>
      </c>
    </row>
    <row r="20" spans="1:15" x14ac:dyDescent="0.3">
      <c r="A20" s="12">
        <v>44256</v>
      </c>
      <c r="B20" s="10">
        <v>274</v>
      </c>
      <c r="C20" s="25">
        <f>C8/$B$8</f>
        <v>0.50729927007299269</v>
      </c>
      <c r="D20" s="25">
        <f>D8/$B$8</f>
        <v>0.3978102189781022</v>
      </c>
      <c r="E20" s="25">
        <f>E8/$B$8</f>
        <v>0.29927007299270075</v>
      </c>
      <c r="F20" s="25">
        <f>F8/$B$8</f>
        <v>0.11313868613138686</v>
      </c>
      <c r="G20" s="25">
        <f>G8/$B$8</f>
        <v>5.1094890510948905E-2</v>
      </c>
      <c r="H20" s="25">
        <f>H8/$B$8</f>
        <v>1.824817518248175E-2</v>
      </c>
      <c r="I20" s="29">
        <f>Таблица2[[#This Row],[r_1]]/2+Таблица2[[#This Row],[r_6]]/2+SUM(Таблица2[[#This Row],[r_2]:[r_5]])</f>
        <v>1.1240875912408761</v>
      </c>
      <c r="J20" s="29">
        <f>Таблица2[[#This Row],[LT]]*$B$26</f>
        <v>336.10218978102193</v>
      </c>
      <c r="K20" s="29">
        <v>70.226277372262771</v>
      </c>
      <c r="L20" s="34">
        <f>Таблица2[[#This Row],[LTR]]-Таблица2[[#This Row],[avg_costs]]</f>
        <v>265.87591240875918</v>
      </c>
      <c r="N20" t="s">
        <v>49</v>
      </c>
    </row>
    <row r="21" spans="1:15" x14ac:dyDescent="0.3">
      <c r="A21" s="12">
        <v>44287</v>
      </c>
      <c r="B21" s="10">
        <v>250</v>
      </c>
      <c r="C21" s="25">
        <f>C9/$B$9</f>
        <v>0.80800000000000005</v>
      </c>
      <c r="D21" s="25">
        <f>D9/$B$9</f>
        <v>0.60399999999999998</v>
      </c>
      <c r="E21" s="25">
        <f>E9/$B$9</f>
        <v>0.35199999999999998</v>
      </c>
      <c r="F21" s="25">
        <f>F9/$B$9</f>
        <v>0.17599999999999999</v>
      </c>
      <c r="G21" s="25">
        <f>G9/$B$9</f>
        <v>0.1</v>
      </c>
      <c r="H21" s="25">
        <f>H9/$B$9</f>
        <v>4.3999999999999997E-2</v>
      </c>
      <c r="I21" s="29">
        <f>Таблица2[[#This Row],[r_1]]/2+Таблица2[[#This Row],[r_6]]/2+SUM(Таблица2[[#This Row],[r_2]:[r_5]])</f>
        <v>1.6579999999999999</v>
      </c>
      <c r="J21" s="29">
        <f>Таблица2[[#This Row],[LT]]*$B$26</f>
        <v>495.74199999999996</v>
      </c>
      <c r="K21" s="29">
        <v>70.207999999999998</v>
      </c>
      <c r="L21" s="29">
        <f>Таблица2[[#This Row],[LTR]]-Таблица2[[#This Row],[avg_costs]]</f>
        <v>425.53399999999999</v>
      </c>
    </row>
    <row r="22" spans="1:15" x14ac:dyDescent="0.3">
      <c r="A22" s="12">
        <v>44317</v>
      </c>
      <c r="B22" s="10">
        <v>265</v>
      </c>
      <c r="C22" s="25">
        <f>C10/$B$10</f>
        <v>0.8075471698113208</v>
      </c>
      <c r="D22" s="25">
        <f>D10/$B$10</f>
        <v>0.61886792452830186</v>
      </c>
      <c r="E22" s="25">
        <f>E10/$B$10</f>
        <v>0.55094339622641508</v>
      </c>
      <c r="F22" s="25">
        <f>F10/$B$10</f>
        <v>0.27169811320754716</v>
      </c>
      <c r="G22" s="25">
        <f>G10/$B$10</f>
        <v>0.13962264150943396</v>
      </c>
      <c r="H22" s="25">
        <f>H10/$B$10</f>
        <v>3.0188679245283019E-2</v>
      </c>
      <c r="I22" s="29">
        <f>Таблица2[[#This Row],[r_1]]/2+Таблица2[[#This Row],[r_6]]/2+SUM(Таблица2[[#This Row],[r_2]:[r_5]])</f>
        <v>2</v>
      </c>
      <c r="J22" s="29">
        <f>Таблица2[[#This Row],[LT]]*$B$26</f>
        <v>598</v>
      </c>
      <c r="K22" s="29">
        <v>71.26792452830189</v>
      </c>
      <c r="L22" s="32">
        <f>Таблица2[[#This Row],[LTR]]-Таблица2[[#This Row],[avg_costs]]</f>
        <v>526.73207547169807</v>
      </c>
      <c r="N22" t="s">
        <v>47</v>
      </c>
    </row>
    <row r="23" spans="1:15" x14ac:dyDescent="0.3">
      <c r="A23" s="18">
        <v>44348</v>
      </c>
      <c r="B23" s="19">
        <v>268</v>
      </c>
      <c r="C23" s="25">
        <f>C11/$B$11</f>
        <v>0.75</v>
      </c>
      <c r="D23" s="25">
        <f>D11/$B$11</f>
        <v>0.57462686567164178</v>
      </c>
      <c r="E23" s="25">
        <f>E11/$B$11</f>
        <v>0.29477611940298509</v>
      </c>
      <c r="F23" s="25">
        <f>F11/$B$11</f>
        <v>0.13805970149253732</v>
      </c>
      <c r="G23" s="25">
        <f>G11/$B$11</f>
        <v>6.7164179104477612E-2</v>
      </c>
      <c r="H23" s="25">
        <f>H11/$B$11</f>
        <v>0</v>
      </c>
      <c r="I23" s="30">
        <f>Таблица2[[#This Row],[r_1]]/2+Таблица2[[#This Row],[r_6]]/2+SUM(Таблица2[[#This Row],[r_2]:[r_5]])</f>
        <v>1.449626865671642</v>
      </c>
      <c r="J23" s="30">
        <f>Таблица2[[#This Row],[LT]]*$B$26</f>
        <v>433.43843283582095</v>
      </c>
      <c r="K23" s="30">
        <v>70.440298507462686</v>
      </c>
      <c r="L23" s="30">
        <f>Таблица2[[#This Row],[LTR]]-Таблица2[[#This Row],[avg_costs]]</f>
        <v>362.99813432835828</v>
      </c>
    </row>
    <row r="24" spans="1:15" x14ac:dyDescent="0.3">
      <c r="A24" s="18"/>
      <c r="B24" s="19"/>
      <c r="C24" s="48">
        <f>SUMPRODUCT(Таблица2[r_1],Таблица2[Количество])/SUM(Таблица2[Количество])</f>
        <v>0.76680000000000004</v>
      </c>
      <c r="D24" s="48">
        <f>SUMPRODUCT(Таблица2[r_2],Таблица2[Количество])/SUM(Таблица2[Количество])</f>
        <v>0.57879999999999998</v>
      </c>
      <c r="E24" s="48">
        <f>SUMPRODUCT(Таблица2[r_3],Таблица2[Количество])/SUM(Таблица2[Количество])</f>
        <v>0.36799999999999999</v>
      </c>
      <c r="F24" s="48">
        <f>SUMPRODUCT(Таблица2[r_4],Таблица2[Количество])/SUM(Таблица2[Количество])</f>
        <v>0.16880000000000001</v>
      </c>
      <c r="G24" s="48">
        <f>SUMPRODUCT(Таблица2[r_5],Таблица2[Количество])/SUM(Таблица2[Количество])</f>
        <v>8.4000000000000005E-2</v>
      </c>
      <c r="H24" s="48">
        <f>SUMPRODUCT(Таблица2[r_6],Таблица2[Количество])/SUM(Таблица2[Количество])</f>
        <v>2.7199999999999998E-2</v>
      </c>
      <c r="I24" s="31">
        <f>Таблица2[[#Totals],[r_6]]/2+Таблица2[[#Totals],[r_1]]/2+SUM(Таблица2[[#Totals],[r_2]:[r_5]])</f>
        <v>1.5966</v>
      </c>
      <c r="J24" s="27">
        <f>Таблица2[[#Totals],[LT]]*B26</f>
        <v>477.38339999999999</v>
      </c>
      <c r="K24" s="31">
        <f>свод!I16</f>
        <v>79.681200000000004</v>
      </c>
      <c r="L24" s="31">
        <f>Таблица2[[#Totals],[LTR]]-Таблица2[[#Totals],[avg_costs]]</f>
        <v>397.7022</v>
      </c>
    </row>
    <row r="25" spans="1:15" x14ac:dyDescent="0.3">
      <c r="M25" s="37">
        <f>SUMPRODUCT(Таблица2[LTV],Таблица2[Количество])</f>
        <v>994255.5</v>
      </c>
      <c r="O25" t="s">
        <v>51</v>
      </c>
    </row>
    <row r="26" spans="1:15" x14ac:dyDescent="0.3">
      <c r="A26" s="10" t="s">
        <v>42</v>
      </c>
      <c r="B26" s="10">
        <v>299</v>
      </c>
      <c r="J26" s="29"/>
    </row>
    <row r="27" spans="1:15" x14ac:dyDescent="0.3">
      <c r="A27" s="10" t="s">
        <v>52</v>
      </c>
      <c r="B27" s="10">
        <f>B26*1.1</f>
        <v>328.90000000000003</v>
      </c>
    </row>
    <row r="28" spans="1:15" x14ac:dyDescent="0.3">
      <c r="B28" s="36"/>
      <c r="C28" s="36"/>
      <c r="D28" s="36"/>
    </row>
    <row r="29" spans="1:15" x14ac:dyDescent="0.3">
      <c r="A29" s="43" t="s">
        <v>38</v>
      </c>
      <c r="B29" s="44" t="s">
        <v>37</v>
      </c>
      <c r="C29" s="45" t="s">
        <v>40</v>
      </c>
      <c r="D29" s="45" t="s">
        <v>43</v>
      </c>
      <c r="E29" s="45" t="s">
        <v>45</v>
      </c>
      <c r="F29" s="45" t="s">
        <v>46</v>
      </c>
    </row>
    <row r="30" spans="1:15" x14ac:dyDescent="0.3">
      <c r="A30" s="38">
        <v>44105</v>
      </c>
      <c r="B30" s="39">
        <f>B15</f>
        <v>274</v>
      </c>
      <c r="C30" s="46">
        <f>I15</f>
        <v>1.687956204379562</v>
      </c>
      <c r="D30" s="46">
        <f>Таблица3[[#This Row],[LT]]*$B$27</f>
        <v>555.168795620438</v>
      </c>
      <c r="E30" s="46">
        <f t="shared" ref="E30:E38" si="1">K15</f>
        <v>70.226277372262771</v>
      </c>
      <c r="F30" s="46">
        <f>Таблица3[[#This Row],[LTR]]-Таблица3[[#This Row],[avg_costs]]</f>
        <v>484.94251824817525</v>
      </c>
    </row>
    <row r="31" spans="1:15" x14ac:dyDescent="0.3">
      <c r="A31" s="40">
        <v>44136</v>
      </c>
      <c r="B31" s="10">
        <f t="shared" ref="B31:B38" si="2">B16</f>
        <v>308</v>
      </c>
      <c r="C31" s="46">
        <f t="shared" ref="C31:C38" si="3">I16</f>
        <v>1.698051948051948</v>
      </c>
      <c r="D31" s="46">
        <f>Таблица3[[#This Row],[LT]]*$B$27</f>
        <v>558.48928571428576</v>
      </c>
      <c r="E31" s="46">
        <f t="shared" si="1"/>
        <v>36.142857142857146</v>
      </c>
      <c r="F31" s="46">
        <f>Таблица3[[#This Row],[LTR]]-Таблица3[[#This Row],[avg_costs]]</f>
        <v>522.34642857142865</v>
      </c>
    </row>
    <row r="32" spans="1:15" x14ac:dyDescent="0.3">
      <c r="A32" s="38">
        <v>44166</v>
      </c>
      <c r="B32" s="39">
        <f t="shared" si="2"/>
        <v>316</v>
      </c>
      <c r="C32" s="46">
        <f t="shared" si="3"/>
        <v>1.6123417721518987</v>
      </c>
      <c r="D32" s="46">
        <f>Таблица3[[#This Row],[LT]]*$B$27</f>
        <v>530.29920886075956</v>
      </c>
      <c r="E32" s="46">
        <f t="shared" si="1"/>
        <v>70.00316455696202</v>
      </c>
      <c r="F32" s="46">
        <f>Таблица3[[#This Row],[LTR]]-Таблица3[[#This Row],[avg_costs]]</f>
        <v>460.29604430379754</v>
      </c>
    </row>
    <row r="33" spans="1:7" x14ac:dyDescent="0.3">
      <c r="A33" s="40">
        <v>44197</v>
      </c>
      <c r="B33" s="10">
        <f t="shared" si="2"/>
        <v>300</v>
      </c>
      <c r="C33" s="46">
        <f t="shared" si="3"/>
        <v>1.5966666666666667</v>
      </c>
      <c r="D33" s="46">
        <f>Таблица3[[#This Row],[LT]]*$B$27</f>
        <v>525.14366666666672</v>
      </c>
      <c r="E33" s="46">
        <f t="shared" si="1"/>
        <v>183.46666666666667</v>
      </c>
      <c r="F33" s="46">
        <f>Таблица3[[#This Row],[LTR]]-Таблица3[[#This Row],[avg_costs]]</f>
        <v>341.67700000000002</v>
      </c>
    </row>
    <row r="34" spans="1:7" x14ac:dyDescent="0.3">
      <c r="A34" s="38">
        <v>44228</v>
      </c>
      <c r="B34" s="39">
        <f t="shared" si="2"/>
        <v>245</v>
      </c>
      <c r="C34" s="46">
        <f t="shared" si="3"/>
        <v>1.536734693877551</v>
      </c>
      <c r="D34" s="46">
        <f>Таблица3[[#This Row],[LT]]*$B$27</f>
        <v>505.43204081632661</v>
      </c>
      <c r="E34" s="46">
        <f t="shared" si="1"/>
        <v>69.836734693877546</v>
      </c>
      <c r="F34" s="46">
        <f>Таблица3[[#This Row],[LTR]]-Таблица3[[#This Row],[avg_costs]]</f>
        <v>435.59530612244907</v>
      </c>
    </row>
    <row r="35" spans="1:7" x14ac:dyDescent="0.3">
      <c r="A35" s="40">
        <v>44256</v>
      </c>
      <c r="B35" s="10">
        <f t="shared" si="2"/>
        <v>274</v>
      </c>
      <c r="C35" s="46">
        <f t="shared" si="3"/>
        <v>1.1240875912408761</v>
      </c>
      <c r="D35" s="46">
        <f>Таблица3[[#This Row],[LT]]*$B$27</f>
        <v>369.71240875912417</v>
      </c>
      <c r="E35" s="46">
        <f t="shared" si="1"/>
        <v>70.226277372262771</v>
      </c>
      <c r="F35" s="46">
        <f>Таблица3[[#This Row],[LTR]]-Таблица3[[#This Row],[avg_costs]]</f>
        <v>299.48613138686142</v>
      </c>
    </row>
    <row r="36" spans="1:7" x14ac:dyDescent="0.3">
      <c r="A36" s="38">
        <v>44287</v>
      </c>
      <c r="B36" s="39">
        <f t="shared" si="2"/>
        <v>250</v>
      </c>
      <c r="C36" s="46">
        <f t="shared" si="3"/>
        <v>1.6579999999999999</v>
      </c>
      <c r="D36" s="46">
        <f>Таблица3[[#This Row],[LT]]*$B$27</f>
        <v>545.31619999999998</v>
      </c>
      <c r="E36" s="46">
        <f t="shared" si="1"/>
        <v>70.207999999999998</v>
      </c>
      <c r="F36" s="46">
        <f>Таблица3[[#This Row],[LTR]]-Таблица3[[#This Row],[avg_costs]]</f>
        <v>475.10820000000001</v>
      </c>
    </row>
    <row r="37" spans="1:7" x14ac:dyDescent="0.3">
      <c r="A37" s="40">
        <v>44317</v>
      </c>
      <c r="B37" s="10">
        <f t="shared" si="2"/>
        <v>265</v>
      </c>
      <c r="C37" s="46">
        <f t="shared" si="3"/>
        <v>2</v>
      </c>
      <c r="D37" s="46">
        <f>Таблица3[[#This Row],[LT]]*$B$27</f>
        <v>657.80000000000007</v>
      </c>
      <c r="E37" s="46">
        <f t="shared" si="1"/>
        <v>71.26792452830189</v>
      </c>
      <c r="F37" s="46">
        <f>Таблица3[[#This Row],[LTR]]-Таблица3[[#This Row],[avg_costs]]</f>
        <v>586.53207547169814</v>
      </c>
    </row>
    <row r="38" spans="1:7" x14ac:dyDescent="0.3">
      <c r="A38" s="38">
        <v>44348</v>
      </c>
      <c r="B38" s="39">
        <f t="shared" si="2"/>
        <v>268</v>
      </c>
      <c r="C38" s="46">
        <f t="shared" si="3"/>
        <v>1.449626865671642</v>
      </c>
      <c r="D38" s="46">
        <f>Таблица3[[#This Row],[LT]]*$B$27</f>
        <v>476.78227611940309</v>
      </c>
      <c r="E38" s="46">
        <f t="shared" si="1"/>
        <v>70.440298507462686</v>
      </c>
      <c r="F38" s="46">
        <f>Таблица3[[#This Row],[LTR]]-Таблица3[[#This Row],[avg_costs]]</f>
        <v>406.34197761194042</v>
      </c>
    </row>
    <row r="39" spans="1:7" x14ac:dyDescent="0.3">
      <c r="A39" s="41"/>
      <c r="B39" s="42"/>
      <c r="C39" s="47"/>
      <c r="D39" s="47"/>
      <c r="E39" s="47"/>
      <c r="F39" s="37">
        <f>SUMPRODUCT(Таблица3[Количество],Таблица3[LTV])</f>
        <v>1113601.3500000003</v>
      </c>
    </row>
    <row r="40" spans="1:7" x14ac:dyDescent="0.3">
      <c r="F40" s="11">
        <f>Таблица3[[#Totals],[LTV]]/M25-1</f>
        <v>0.12003539331690938</v>
      </c>
      <c r="G40" t="s">
        <v>53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I2501"/>
  <sheetViews>
    <sheetView workbookViewId="0">
      <selection activeCell="B2" sqref="B2"/>
    </sheetView>
  </sheetViews>
  <sheetFormatPr defaultRowHeight="15.05" x14ac:dyDescent="0.3"/>
  <cols>
    <col min="2" max="2" width="10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</row>
    <row r="3" spans="1:9" x14ac:dyDescent="0.3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9" x14ac:dyDescent="0.3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9" x14ac:dyDescent="0.3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9" x14ac:dyDescent="0.3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9" x14ac:dyDescent="0.3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9" x14ac:dyDescent="0.3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9" x14ac:dyDescent="0.3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9" x14ac:dyDescent="0.3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9" x14ac:dyDescent="0.3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9" x14ac:dyDescent="0.3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9" x14ac:dyDescent="0.3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9" x14ac:dyDescent="0.3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9" x14ac:dyDescent="0.3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9" x14ac:dyDescent="0.3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x14ac:dyDescent="0.3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x14ac:dyDescent="0.3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x14ac:dyDescent="0.3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3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x14ac:dyDescent="0.3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x14ac:dyDescent="0.3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x14ac:dyDescent="0.3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x14ac:dyDescent="0.3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x14ac:dyDescent="0.3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x14ac:dyDescent="0.3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x14ac:dyDescent="0.3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x14ac:dyDescent="0.3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x14ac:dyDescent="0.3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x14ac:dyDescent="0.3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x14ac:dyDescent="0.3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x14ac:dyDescent="0.3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3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3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3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3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3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3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3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3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3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3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3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3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3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3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3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3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3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3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3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3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3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3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3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3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3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3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3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3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3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3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3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3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3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3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3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3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3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3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3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3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3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3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3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3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3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3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3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3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3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3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3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3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3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3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3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3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3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3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3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3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3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3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3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3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3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3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3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3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3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3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3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3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3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3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3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3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3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3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3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3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3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3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3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3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3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3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3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3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3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3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3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3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3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3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3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3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3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3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3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3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3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3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3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3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3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3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3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3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3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3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3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3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3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3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3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3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3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3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3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3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3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3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3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3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3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3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3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3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3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3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3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3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3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3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3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3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3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3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3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3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3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3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3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3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3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3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3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3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3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3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3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3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3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3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3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3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3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3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3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3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3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3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3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3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3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3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3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3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3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3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3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3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3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3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3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3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3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3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3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3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3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3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3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3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3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3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3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3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3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3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3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3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3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3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3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3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3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3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3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3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3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3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3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3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3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3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3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3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3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3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3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3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3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3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3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3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3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3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3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3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3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3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3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3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3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3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3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3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3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3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3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3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3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3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3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3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3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3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3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3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3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3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3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3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3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3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3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3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3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3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3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3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3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3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3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3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3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3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3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3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3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3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3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3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3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3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3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3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3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3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3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3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3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3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3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3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3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3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3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3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3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3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3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3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3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3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3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3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3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3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3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3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3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3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3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3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3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3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3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3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3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3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3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3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3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3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3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3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3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3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3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3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3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3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3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3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3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3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3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3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3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3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3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3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3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3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3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3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3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3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3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3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3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3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3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3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3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3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3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3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3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3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3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3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3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3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3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3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3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3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3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3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3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3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3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3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3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3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3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3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3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3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3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3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3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3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3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3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3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3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3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3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3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3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3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3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3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3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3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3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3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3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3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3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3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3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3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3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3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3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3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3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3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3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3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3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3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3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3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3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3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3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3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3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3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3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3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3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3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3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3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3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3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3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3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3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3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3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3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3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3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3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3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3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3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3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3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3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3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3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3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3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3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3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3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3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3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3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3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3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3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3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3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3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3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3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3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3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3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3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3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3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3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3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3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3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3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3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3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3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3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3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3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3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3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3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3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3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3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3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3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3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3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3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3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3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3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3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3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3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3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3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3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3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3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3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3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3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3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3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3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3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3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3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3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3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3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3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3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3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3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3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3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3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3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3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3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3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3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3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3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3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3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3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3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3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3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3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3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3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3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3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3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3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3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3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3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3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3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3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3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3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3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3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3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3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3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3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3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3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3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3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3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3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3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3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3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3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3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3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3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3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3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3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3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3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3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3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3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3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3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3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3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3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3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3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3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3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3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3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3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3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3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3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3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3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3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3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3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3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3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3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3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3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3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3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3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3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3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3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3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3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3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3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3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3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3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3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3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3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3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3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3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3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3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3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3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3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3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3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3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3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3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3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3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3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3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3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3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3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3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3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3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3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3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3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3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3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3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3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3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3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3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3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3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3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3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3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3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3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3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3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3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3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3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3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3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3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3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3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3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3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3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3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3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3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3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3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3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3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3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3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3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3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3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3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3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3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3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3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3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3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3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3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3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3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3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3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3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3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3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3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3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3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3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3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3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3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3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3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3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3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3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3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3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3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3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3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3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3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3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3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3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3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3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3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3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3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3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3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3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3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3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3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3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3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3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3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3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3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3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3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3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3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3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3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3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3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3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3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3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3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3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3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3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3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3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3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3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3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3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3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3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3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3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3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3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3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3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3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3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3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3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3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3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3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3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3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3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3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3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3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3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3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3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3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3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3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3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3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3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3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3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3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3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3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3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3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3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3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3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3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3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3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3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3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3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3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3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3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3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3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3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3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3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3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3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3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3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3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3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3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3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3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3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3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3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3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3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3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3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3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3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3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3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3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3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3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3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3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3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3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3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3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3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3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3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3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3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3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3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3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3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3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3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3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3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3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3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3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3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3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3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3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3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3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3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3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3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3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3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3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3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3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3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3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3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3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3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3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3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3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3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3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3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3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3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3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3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3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3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3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3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3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3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3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3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3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3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3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3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3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3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3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3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3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3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3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3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3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3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3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3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3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3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3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3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3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3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3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3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3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3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3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3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3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3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3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3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3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3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3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3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3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3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3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3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3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3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3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3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3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3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3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3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3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3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3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3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3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3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3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3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3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3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3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3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3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3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3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3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3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3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3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3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3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3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3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3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3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3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3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3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3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3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3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3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3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3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3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3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3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3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3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3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3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3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3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3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3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3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3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3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3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3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3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3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3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3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3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3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3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3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3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3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3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3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3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3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3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3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3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3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3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3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3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3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3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3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3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3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3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3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3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3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3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3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3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3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3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3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3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3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3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3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3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3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3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3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3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3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3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3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3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3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3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3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3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3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3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3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3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3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3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3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3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3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3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3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3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3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3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3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3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3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3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3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3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3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3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3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3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3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3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3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3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3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3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3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3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3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3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3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3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3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3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3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3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3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3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3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3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3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3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3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3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3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3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3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3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3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3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3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3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3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3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3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3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3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3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3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3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3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3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3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3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3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3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3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3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3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3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3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3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3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3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3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3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3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3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3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3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3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3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3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3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3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3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3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3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3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3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3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3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3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3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3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3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3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3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3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3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3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3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3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3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3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3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3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3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3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3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3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3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3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3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3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3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3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3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3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3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3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3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3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3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3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3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3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3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3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3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3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3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3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3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3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3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3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3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3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3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3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3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3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3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3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3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3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3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3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3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3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3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3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3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3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3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3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3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3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3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3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3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3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3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3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3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3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3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3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3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3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3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3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3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3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3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3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3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3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3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3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3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3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3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3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3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3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3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3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3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3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3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3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3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3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3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3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3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3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3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3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3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3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3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3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3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3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3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3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3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3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3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3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3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3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3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3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3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3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3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3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3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3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3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3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3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3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3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3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3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3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3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3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3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3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3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3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3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3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3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3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3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3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3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3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3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3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3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3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3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3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3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3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3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3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3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3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3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3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3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3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3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3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3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3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3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3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3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3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3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3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3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3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3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3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3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3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3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3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3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3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3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3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3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3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3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3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3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3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3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3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3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3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3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3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3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3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3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3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3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3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3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3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3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3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3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3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3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3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3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3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3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3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3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3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3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3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3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3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3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3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3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3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3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3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3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3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3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3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3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3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3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3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3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3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3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3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3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3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3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3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3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3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3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3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3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3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3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3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3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3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3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3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3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3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3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3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3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3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3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3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3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3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3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3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3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3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3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3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3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3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3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3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3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3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3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3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3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3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3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3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3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3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3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3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3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3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3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3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3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3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3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3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3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3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3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3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3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3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3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3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3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3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3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3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3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3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3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3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3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3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3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3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3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3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3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3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3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3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3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3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3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3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3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3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3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3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3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3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3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3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3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3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3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3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3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3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3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3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3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3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3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3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3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3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3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3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3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3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3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3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3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3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3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3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3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3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3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3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3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3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3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3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3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3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3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3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3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3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3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3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3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3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3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3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3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3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3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3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3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3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3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3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3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3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3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3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3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3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3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3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3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3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3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3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3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3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3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3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3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3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3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3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3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3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3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3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3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3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3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3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3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3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3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3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3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3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3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3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3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3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3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3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3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3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3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3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3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3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3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3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3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3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3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3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3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3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3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3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3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3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3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3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3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3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3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3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3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3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3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3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3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3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3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3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3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3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3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3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3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3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3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3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3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3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3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3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3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3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3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3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3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3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3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3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3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3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3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3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3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3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3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3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3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3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3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3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3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3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3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3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3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3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3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3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3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3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3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3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3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3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3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3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3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3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3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3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3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3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3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3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3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3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3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3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3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3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3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3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3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3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3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3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3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3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3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3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3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3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3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3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3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3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3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3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3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3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3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3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3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3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3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3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3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3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3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3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3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3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3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3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3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3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3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3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3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3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3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3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3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3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3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3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3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3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3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3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3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3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3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3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3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3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3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3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3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3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3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3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3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3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3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3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3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3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3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3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3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3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3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3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3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3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3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3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3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3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3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3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3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3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3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3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3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3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3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3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3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3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3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3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3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3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3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3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3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3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3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3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3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3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3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3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3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3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3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3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3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3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3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3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3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3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3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3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3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3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3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3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3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3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3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3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3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3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3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3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3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3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3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3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3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3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3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3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3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3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3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3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3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3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3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3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3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3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3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3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3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3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3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3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3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3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3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3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3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3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3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3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3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3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3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3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3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3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3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3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3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3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3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3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3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3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3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3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3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3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3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3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3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3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3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3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3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3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3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3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3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3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3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3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3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3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3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3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3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3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3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3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3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3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3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3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3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3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3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3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3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3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3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3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3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3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3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3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3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3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3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3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3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3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3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3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3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3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3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3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3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3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3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3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3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3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3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3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3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3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3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3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3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3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3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3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3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3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3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3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3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3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3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3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3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3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3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3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3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3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3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3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3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3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3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3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3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3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3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3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3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3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3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3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3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3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3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3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3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3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3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3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3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3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3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3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3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3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3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3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3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3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3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3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3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3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3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3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3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3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3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3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3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3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3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3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3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3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3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3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3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3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3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3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3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3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3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3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3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3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3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3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3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3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3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3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3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3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3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3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3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3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3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3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3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3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3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3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3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3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3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3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3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3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3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3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3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3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3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3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3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3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3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3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3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3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3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3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3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3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3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3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3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3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3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3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3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3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3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3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3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3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3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3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3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3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3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3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3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3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3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3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3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3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3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3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3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3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3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3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3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3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3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3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3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3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3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3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3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3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3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3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3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3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3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3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3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3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3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3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3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3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3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3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3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3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3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3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3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3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3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3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3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3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3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3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3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3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3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3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3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3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3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3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3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3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3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3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3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3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3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3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3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3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3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3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3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3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3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3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3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3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3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3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3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3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3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3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3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3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3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3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3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3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3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3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3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3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3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3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3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3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3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3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3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3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3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3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3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3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3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3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3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3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3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3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3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3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3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3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3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3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3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3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3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3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3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3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3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3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3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3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3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3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3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3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3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3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3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3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3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3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3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3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3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3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3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3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3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3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3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3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3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3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3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3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3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3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3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3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3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3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3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3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3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3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3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3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3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3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3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3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3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3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3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3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3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3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3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3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3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3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3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3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3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3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3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3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3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3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3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3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3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3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3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3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3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3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3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3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3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3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3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3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3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3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3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3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3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3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3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3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3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3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3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3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3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3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3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3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3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3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3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3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3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3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3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3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3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3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3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3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3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3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3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3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3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3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3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3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3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3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3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3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3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3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3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3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3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3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3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3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3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3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3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3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3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3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3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3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3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3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3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3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3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3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3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3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3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3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3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3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3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3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3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3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3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3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3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3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3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3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3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3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3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3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3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3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3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3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3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3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3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3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3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3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3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3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3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3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3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3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3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3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3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3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3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3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3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3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3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3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3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3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3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3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3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3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3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3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3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3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3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3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3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3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3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3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3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3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3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3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3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3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3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3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3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3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3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3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3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3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3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3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3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3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3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3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3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3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3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3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3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3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3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3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3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3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3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3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3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3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3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3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3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3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3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3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3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3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3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3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3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3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3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3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3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3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3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3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3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3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3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3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3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3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3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3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3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3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3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3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3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3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3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3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3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3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3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3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3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3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3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3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3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3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3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3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3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3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3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3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3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3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3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3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3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3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3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3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3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3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3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3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3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3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3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3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3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3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3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3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3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3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3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3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3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3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3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3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3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3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3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3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3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3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3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3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3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3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</vt:lpstr>
      <vt:lpstr>Когортный анализ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Valeria Navolotskaya</cp:lastModifiedBy>
  <dcterms:created xsi:type="dcterms:W3CDTF">2015-06-05T18:19:34Z</dcterms:created>
  <dcterms:modified xsi:type="dcterms:W3CDTF">2023-01-28T12:57:35Z</dcterms:modified>
</cp:coreProperties>
</file>