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Mmendiola\CONTENIDO ACADEMICO\ISIL\FORMULACION DE PROYECTOS\"/>
    </mc:Choice>
  </mc:AlternateContent>
  <xr:revisionPtr revIDLastSave="0" documentId="13_ncr:1_{B019DD1F-9EC0-4A4D-B601-48B8C43F6502}" xr6:coauthVersionLast="47" xr6:coauthVersionMax="47" xr10:uidLastSave="{00000000-0000-0000-0000-000000000000}"/>
  <bookViews>
    <workbookView xWindow="21150" yWindow="-4395" windowWidth="16545" windowHeight="14910" firstSheet="1" activeTab="1" xr2:uid="{00000000-000D-0000-FFFF-FFFF00000000}"/>
  </bookViews>
  <sheets>
    <sheet name="Resultados encuestas " sheetId="1" r:id="rId1"/>
    <sheet name="2.1.1" sheetId="2" r:id="rId2"/>
    <sheet name="3.4" sheetId="3" r:id="rId3"/>
    <sheet name="8" sheetId="20" r:id="rId4"/>
    <sheet name="9 y 10" sheetId="21" r:id="rId5"/>
    <sheet name="11- REAL" sheetId="23" r:id="rId6"/>
    <sheet name="11- OPTIMISTA" sheetId="24" r:id="rId7"/>
    <sheet name="11- PESIMISTA" sheetId="25" r:id="rId8"/>
    <sheet name="Valoración" sheetId="1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37" i="24" l="1"/>
  <c r="I694" i="25"/>
  <c r="H694" i="25"/>
  <c r="G694" i="25"/>
  <c r="F694" i="25"/>
  <c r="E694" i="25"/>
  <c r="D678" i="25"/>
  <c r="F655" i="25"/>
  <c r="I655" i="25" s="1"/>
  <c r="E654" i="25"/>
  <c r="C654" i="25"/>
  <c r="F654" i="25" s="1"/>
  <c r="I654" i="25" s="1"/>
  <c r="C653" i="25"/>
  <c r="C606" i="25"/>
  <c r="C607" i="25" s="1"/>
  <c r="C608" i="25" s="1"/>
  <c r="C609" i="25" s="1"/>
  <c r="C610" i="25" s="1"/>
  <c r="C611" i="25" s="1"/>
  <c r="C612" i="25" s="1"/>
  <c r="C613" i="25" s="1"/>
  <c r="C614" i="25" s="1"/>
  <c r="C615" i="25" s="1"/>
  <c r="C616" i="25" s="1"/>
  <c r="C617" i="25" s="1"/>
  <c r="C618" i="25" s="1"/>
  <c r="C619" i="25" s="1"/>
  <c r="C620" i="25" s="1"/>
  <c r="C621" i="25" s="1"/>
  <c r="C622" i="25" s="1"/>
  <c r="C623" i="25" s="1"/>
  <c r="C624" i="25" s="1"/>
  <c r="C625" i="25" s="1"/>
  <c r="C626" i="25" s="1"/>
  <c r="C627" i="25" s="1"/>
  <c r="C628" i="25" s="1"/>
  <c r="C629" i="25" s="1"/>
  <c r="C630" i="25" s="1"/>
  <c r="C631" i="25" s="1"/>
  <c r="C632" i="25" s="1"/>
  <c r="C633" i="25" s="1"/>
  <c r="C634" i="25" s="1"/>
  <c r="C635" i="25" s="1"/>
  <c r="C636" i="25" s="1"/>
  <c r="C637" i="25" s="1"/>
  <c r="C638" i="25" s="1"/>
  <c r="C639" i="25" s="1"/>
  <c r="C640" i="25" s="1"/>
  <c r="C641" i="25" s="1"/>
  <c r="C642" i="25" s="1"/>
  <c r="C643" i="25" s="1"/>
  <c r="C644" i="25" s="1"/>
  <c r="C645" i="25" s="1"/>
  <c r="C646" i="25" s="1"/>
  <c r="C647" i="25" s="1"/>
  <c r="C605" i="25"/>
  <c r="C589" i="25"/>
  <c r="C590" i="25" s="1"/>
  <c r="C591" i="25" s="1"/>
  <c r="C592" i="25" s="1"/>
  <c r="C593" i="25" s="1"/>
  <c r="C594" i="25" s="1"/>
  <c r="C595" i="25" s="1"/>
  <c r="C596" i="25" s="1"/>
  <c r="C597" i="25" s="1"/>
  <c r="C598" i="25" s="1"/>
  <c r="C599" i="25" s="1"/>
  <c r="C600" i="25" s="1"/>
  <c r="C601" i="25" s="1"/>
  <c r="C602" i="25" s="1"/>
  <c r="C603" i="25" s="1"/>
  <c r="C604" i="25" s="1"/>
  <c r="C572" i="25"/>
  <c r="D578" i="25" s="1"/>
  <c r="C571" i="25"/>
  <c r="C570" i="25"/>
  <c r="C569" i="25"/>
  <c r="C568" i="25"/>
  <c r="G551" i="25"/>
  <c r="H551" i="25" s="1"/>
  <c r="I551" i="25" s="1"/>
  <c r="F551" i="25"/>
  <c r="E545" i="25"/>
  <c r="F545" i="25" s="1"/>
  <c r="G545" i="25" s="1"/>
  <c r="H545" i="25" s="1"/>
  <c r="I545" i="25" s="1"/>
  <c r="D545" i="25"/>
  <c r="I542" i="25"/>
  <c r="H542" i="25"/>
  <c r="G542" i="25"/>
  <c r="F542" i="25"/>
  <c r="E542" i="25"/>
  <c r="I541" i="25"/>
  <c r="H541" i="25"/>
  <c r="G541" i="25"/>
  <c r="F541" i="25"/>
  <c r="E541" i="25"/>
  <c r="F526" i="25"/>
  <c r="F678" i="25" s="1"/>
  <c r="E526" i="25"/>
  <c r="E678" i="25" s="1"/>
  <c r="B518" i="25"/>
  <c r="B517" i="25"/>
  <c r="B516" i="25"/>
  <c r="B515" i="25"/>
  <c r="B514" i="25"/>
  <c r="I513" i="25"/>
  <c r="I518" i="25" s="1"/>
  <c r="H513" i="25"/>
  <c r="G513" i="25"/>
  <c r="F513" i="25"/>
  <c r="F518" i="25" s="1"/>
  <c r="E513" i="25"/>
  <c r="E518" i="25" s="1"/>
  <c r="B513" i="25"/>
  <c r="B500" i="25"/>
  <c r="B499" i="25"/>
  <c r="I497" i="25"/>
  <c r="H497" i="25"/>
  <c r="G497" i="25"/>
  <c r="F497" i="25"/>
  <c r="E497" i="25"/>
  <c r="I480" i="25"/>
  <c r="H480" i="25"/>
  <c r="G480" i="25"/>
  <c r="F480" i="25"/>
  <c r="E480" i="25"/>
  <c r="I479" i="25"/>
  <c r="H479" i="25"/>
  <c r="G479" i="25"/>
  <c r="F479" i="25"/>
  <c r="E479" i="25"/>
  <c r="F470" i="25"/>
  <c r="J461" i="25"/>
  <c r="I461" i="25"/>
  <c r="H461" i="25"/>
  <c r="G461" i="25"/>
  <c r="J460" i="25"/>
  <c r="I460" i="25"/>
  <c r="H460" i="25"/>
  <c r="G460" i="25"/>
  <c r="J459" i="25"/>
  <c r="I459" i="25"/>
  <c r="H459" i="25"/>
  <c r="G459" i="25"/>
  <c r="J455" i="25"/>
  <c r="J470" i="25" s="1"/>
  <c r="I455" i="25"/>
  <c r="I470" i="25" s="1"/>
  <c r="H455" i="25"/>
  <c r="H470" i="25" s="1"/>
  <c r="G455" i="25"/>
  <c r="G470" i="25" s="1"/>
  <c r="F455" i="25"/>
  <c r="J454" i="25"/>
  <c r="I454" i="25"/>
  <c r="H454" i="25"/>
  <c r="G454" i="25"/>
  <c r="F454" i="25"/>
  <c r="J453" i="25"/>
  <c r="I453" i="25"/>
  <c r="H453" i="25"/>
  <c r="G453" i="25"/>
  <c r="F453" i="25"/>
  <c r="G435" i="25"/>
  <c r="G442" i="25" s="1"/>
  <c r="F435" i="25"/>
  <c r="F434" i="25"/>
  <c r="G433" i="25"/>
  <c r="F433" i="25"/>
  <c r="J431" i="25"/>
  <c r="I431" i="25"/>
  <c r="H431" i="25"/>
  <c r="G431" i="25"/>
  <c r="J430" i="25"/>
  <c r="I430" i="25"/>
  <c r="H430" i="25"/>
  <c r="G430" i="25"/>
  <c r="G434" i="25" s="1"/>
  <c r="G441" i="25" s="1"/>
  <c r="J429" i="25"/>
  <c r="I429" i="25"/>
  <c r="H429" i="25"/>
  <c r="G429" i="25"/>
  <c r="J420" i="25"/>
  <c r="I420" i="25"/>
  <c r="H420" i="25"/>
  <c r="G420" i="25"/>
  <c r="J419" i="25"/>
  <c r="I419" i="25"/>
  <c r="H419" i="25"/>
  <c r="G419" i="25"/>
  <c r="J418" i="25"/>
  <c r="I418" i="25"/>
  <c r="H418" i="25"/>
  <c r="G418" i="25"/>
  <c r="J417" i="25"/>
  <c r="I417" i="25"/>
  <c r="H417" i="25"/>
  <c r="G417" i="25"/>
  <c r="J416" i="25"/>
  <c r="I416" i="25"/>
  <c r="H416" i="25"/>
  <c r="G416" i="25"/>
  <c r="J415" i="25"/>
  <c r="I415" i="25"/>
  <c r="H415" i="25"/>
  <c r="G415" i="25"/>
  <c r="F413" i="25"/>
  <c r="F439" i="25" s="1"/>
  <c r="F452" i="25" s="1"/>
  <c r="H402" i="25"/>
  <c r="E402" i="25"/>
  <c r="H399" i="25"/>
  <c r="G399" i="25"/>
  <c r="G402" i="25" s="1"/>
  <c r="F399" i="25"/>
  <c r="F402" i="25" s="1"/>
  <c r="E399" i="25"/>
  <c r="E393" i="25"/>
  <c r="F384" i="25"/>
  <c r="G382" i="25"/>
  <c r="D382" i="25"/>
  <c r="A382" i="25"/>
  <c r="G380" i="25"/>
  <c r="A380" i="25"/>
  <c r="D379" i="25"/>
  <c r="C379" i="25"/>
  <c r="G378" i="25"/>
  <c r="A378" i="25"/>
  <c r="D372" i="25"/>
  <c r="C372" i="25"/>
  <c r="E371" i="25"/>
  <c r="D371" i="25"/>
  <c r="D383" i="25" s="1"/>
  <c r="C371" i="25"/>
  <c r="C383" i="25" s="1"/>
  <c r="E369" i="25"/>
  <c r="E379" i="25" s="1"/>
  <c r="H379" i="25" s="1"/>
  <c r="D369" i="25"/>
  <c r="C369" i="25"/>
  <c r="C368" i="25"/>
  <c r="C378" i="25" s="1"/>
  <c r="H357" i="25"/>
  <c r="H356" i="25"/>
  <c r="E350" i="25"/>
  <c r="D340" i="25"/>
  <c r="D337" i="25"/>
  <c r="C370" i="25" s="1"/>
  <c r="C380" i="25" s="1"/>
  <c r="D334" i="25"/>
  <c r="F321" i="25"/>
  <c r="N319" i="25"/>
  <c r="O319" i="25" s="1"/>
  <c r="P319" i="25" s="1"/>
  <c r="F319" i="25"/>
  <c r="G319" i="25" s="1"/>
  <c r="H319" i="25" s="1"/>
  <c r="I319" i="25" s="1"/>
  <c r="J319" i="25" s="1"/>
  <c r="K319" i="25" s="1"/>
  <c r="L319" i="25" s="1"/>
  <c r="M319" i="25" s="1"/>
  <c r="E319" i="25"/>
  <c r="G315" i="25"/>
  <c r="H315" i="25" s="1"/>
  <c r="I315" i="25" s="1"/>
  <c r="J315" i="25" s="1"/>
  <c r="K315" i="25" s="1"/>
  <c r="L315" i="25" s="1"/>
  <c r="M315" i="25" s="1"/>
  <c r="N315" i="25" s="1"/>
  <c r="O315" i="25" s="1"/>
  <c r="P315" i="25" s="1"/>
  <c r="F315" i="25"/>
  <c r="C314" i="25"/>
  <c r="E313" i="25"/>
  <c r="R312" i="25"/>
  <c r="G312" i="25"/>
  <c r="H312" i="25" s="1"/>
  <c r="I312" i="25" s="1"/>
  <c r="J312" i="25" s="1"/>
  <c r="K312" i="25" s="1"/>
  <c r="L312" i="25" s="1"/>
  <c r="M312" i="25" s="1"/>
  <c r="N312" i="25" s="1"/>
  <c r="O312" i="25" s="1"/>
  <c r="P312" i="25" s="1"/>
  <c r="F312" i="25"/>
  <c r="E312" i="25"/>
  <c r="E311" i="25"/>
  <c r="R311" i="25" s="1"/>
  <c r="E310" i="25"/>
  <c r="R309" i="25"/>
  <c r="G309" i="25"/>
  <c r="H309" i="25" s="1"/>
  <c r="I309" i="25" s="1"/>
  <c r="J309" i="25" s="1"/>
  <c r="K309" i="25" s="1"/>
  <c r="L309" i="25" s="1"/>
  <c r="M309" i="25" s="1"/>
  <c r="N309" i="25" s="1"/>
  <c r="O309" i="25" s="1"/>
  <c r="P309" i="25" s="1"/>
  <c r="F309" i="25"/>
  <c r="E309" i="25"/>
  <c r="Q309" i="25" s="1"/>
  <c r="E308" i="25"/>
  <c r="F299" i="25"/>
  <c r="P298" i="25"/>
  <c r="O298" i="25"/>
  <c r="N298" i="25"/>
  <c r="M298" i="25"/>
  <c r="L298" i="25"/>
  <c r="K298" i="25"/>
  <c r="J298" i="25"/>
  <c r="I298" i="25"/>
  <c r="H298" i="25"/>
  <c r="G298" i="25"/>
  <c r="F298" i="25"/>
  <c r="E298" i="25"/>
  <c r="D360" i="25" s="1"/>
  <c r="P297" i="25"/>
  <c r="O297" i="25"/>
  <c r="N297" i="25"/>
  <c r="M297" i="25"/>
  <c r="L297" i="25"/>
  <c r="K297" i="25"/>
  <c r="J297" i="25"/>
  <c r="I297" i="25"/>
  <c r="H297" i="25"/>
  <c r="G297" i="25"/>
  <c r="F297" i="25"/>
  <c r="E297" i="25"/>
  <c r="D359" i="25" s="1"/>
  <c r="F296" i="25"/>
  <c r="E294" i="25"/>
  <c r="P293" i="25"/>
  <c r="Q293" i="25" s="1"/>
  <c r="G293" i="25"/>
  <c r="H293" i="25" s="1"/>
  <c r="I293" i="25" s="1"/>
  <c r="J293" i="25" s="1"/>
  <c r="K293" i="25" s="1"/>
  <c r="L293" i="25" s="1"/>
  <c r="M293" i="25" s="1"/>
  <c r="N293" i="25" s="1"/>
  <c r="O293" i="25" s="1"/>
  <c r="F293" i="25"/>
  <c r="E293" i="25"/>
  <c r="R293" i="25" s="1"/>
  <c r="R292" i="25"/>
  <c r="L292" i="25"/>
  <c r="M292" i="25" s="1"/>
  <c r="N292" i="25" s="1"/>
  <c r="O292" i="25" s="1"/>
  <c r="P292" i="25" s="1"/>
  <c r="F292" i="25"/>
  <c r="G292" i="25" s="1"/>
  <c r="H292" i="25" s="1"/>
  <c r="I292" i="25" s="1"/>
  <c r="J292" i="25" s="1"/>
  <c r="K292" i="25" s="1"/>
  <c r="E292" i="25"/>
  <c r="E291" i="25"/>
  <c r="E290" i="25"/>
  <c r="F290" i="25" s="1"/>
  <c r="G290" i="25" s="1"/>
  <c r="H290" i="25" s="1"/>
  <c r="I290" i="25" s="1"/>
  <c r="J290" i="25" s="1"/>
  <c r="K290" i="25" s="1"/>
  <c r="L290" i="25" s="1"/>
  <c r="M290" i="25" s="1"/>
  <c r="N290" i="25" s="1"/>
  <c r="O290" i="25" s="1"/>
  <c r="P290" i="25" s="1"/>
  <c r="C290" i="25"/>
  <c r="M289" i="25"/>
  <c r="N289" i="25" s="1"/>
  <c r="O289" i="25" s="1"/>
  <c r="P289" i="25" s="1"/>
  <c r="J289" i="25"/>
  <c r="K289" i="25" s="1"/>
  <c r="L289" i="25" s="1"/>
  <c r="G289" i="25"/>
  <c r="H289" i="25" s="1"/>
  <c r="I289" i="25" s="1"/>
  <c r="F289" i="25"/>
  <c r="E289" i="25"/>
  <c r="R289" i="25" s="1"/>
  <c r="R288" i="25"/>
  <c r="E288" i="25"/>
  <c r="F288" i="25" s="1"/>
  <c r="F287" i="25"/>
  <c r="E287" i="25"/>
  <c r="R287" i="25" s="1"/>
  <c r="E286" i="25"/>
  <c r="R286" i="25" s="1"/>
  <c r="R285" i="25"/>
  <c r="Q285" i="25"/>
  <c r="J285" i="25"/>
  <c r="K285" i="25" s="1"/>
  <c r="L285" i="25" s="1"/>
  <c r="M285" i="25" s="1"/>
  <c r="N285" i="25" s="1"/>
  <c r="O285" i="25" s="1"/>
  <c r="P285" i="25" s="1"/>
  <c r="I285" i="25"/>
  <c r="F285" i="25"/>
  <c r="G285" i="25" s="1"/>
  <c r="H285" i="25" s="1"/>
  <c r="E285" i="25"/>
  <c r="R284" i="25"/>
  <c r="N284" i="25"/>
  <c r="O284" i="25" s="1"/>
  <c r="P284" i="25" s="1"/>
  <c r="M284" i="25"/>
  <c r="H284" i="25"/>
  <c r="I284" i="25" s="1"/>
  <c r="J284" i="25" s="1"/>
  <c r="K284" i="25" s="1"/>
  <c r="L284" i="25" s="1"/>
  <c r="G284" i="25"/>
  <c r="F284" i="25"/>
  <c r="E284" i="25"/>
  <c r="E283" i="25"/>
  <c r="R283" i="25" s="1"/>
  <c r="R282" i="25"/>
  <c r="E282" i="25"/>
  <c r="E295" i="25" s="1"/>
  <c r="D354" i="25" s="1"/>
  <c r="E272" i="25"/>
  <c r="C272" i="25"/>
  <c r="C270" i="25"/>
  <c r="E267" i="25"/>
  <c r="C267" i="25"/>
  <c r="C266" i="25"/>
  <c r="C271" i="25" s="1"/>
  <c r="C265" i="25"/>
  <c r="D262" i="25"/>
  <c r="K257" i="25"/>
  <c r="J257" i="25"/>
  <c r="E257" i="25"/>
  <c r="F257" i="25" s="1"/>
  <c r="G257" i="25" s="1"/>
  <c r="H257" i="25" s="1"/>
  <c r="I257" i="25" s="1"/>
  <c r="B257" i="25"/>
  <c r="B256" i="25"/>
  <c r="B255" i="25"/>
  <c r="E253" i="25"/>
  <c r="D252" i="25"/>
  <c r="I251" i="25"/>
  <c r="J251" i="25" s="1"/>
  <c r="K251" i="25" s="1"/>
  <c r="L251" i="25" s="1"/>
  <c r="M251" i="25" s="1"/>
  <c r="N251" i="25" s="1"/>
  <c r="O251" i="25" s="1"/>
  <c r="F251" i="25"/>
  <c r="G251" i="25" s="1"/>
  <c r="H251" i="25" s="1"/>
  <c r="E251" i="25"/>
  <c r="D251" i="25"/>
  <c r="E265" i="25" s="1"/>
  <c r="F237" i="25"/>
  <c r="F236" i="25"/>
  <c r="F235" i="25"/>
  <c r="F234" i="25"/>
  <c r="A245" i="25" s="1"/>
  <c r="D245" i="25" s="1"/>
  <c r="E213" i="25"/>
  <c r="D208" i="25"/>
  <c r="E218" i="25" s="1"/>
  <c r="B208" i="25"/>
  <c r="C213" i="25" s="1"/>
  <c r="C218" i="25" s="1"/>
  <c r="G205" i="25"/>
  <c r="H205" i="25" s="1"/>
  <c r="I205" i="25" s="1"/>
  <c r="J205" i="25" s="1"/>
  <c r="K205" i="25" s="1"/>
  <c r="L205" i="25" s="1"/>
  <c r="M205" i="25" s="1"/>
  <c r="N205" i="25" s="1"/>
  <c r="O205" i="25" s="1"/>
  <c r="P205" i="25" s="1"/>
  <c r="F205" i="25"/>
  <c r="E205" i="25"/>
  <c r="D205" i="25"/>
  <c r="D204" i="25"/>
  <c r="E204" i="25" s="1"/>
  <c r="F204" i="25" s="1"/>
  <c r="G204" i="25" s="1"/>
  <c r="H204" i="25" s="1"/>
  <c r="I204" i="25" s="1"/>
  <c r="J204" i="25" s="1"/>
  <c r="K204" i="25" s="1"/>
  <c r="L204" i="25" s="1"/>
  <c r="M204" i="25" s="1"/>
  <c r="N204" i="25" s="1"/>
  <c r="O204" i="25" s="1"/>
  <c r="P204" i="25" s="1"/>
  <c r="I203" i="25"/>
  <c r="J203" i="25" s="1"/>
  <c r="K203" i="25" s="1"/>
  <c r="L203" i="25" s="1"/>
  <c r="M203" i="25" s="1"/>
  <c r="N203" i="25" s="1"/>
  <c r="O203" i="25" s="1"/>
  <c r="P203" i="25" s="1"/>
  <c r="H203" i="25"/>
  <c r="G203" i="25"/>
  <c r="D203" i="25"/>
  <c r="E203" i="25" s="1"/>
  <c r="F203" i="25" s="1"/>
  <c r="E201" i="25"/>
  <c r="D201" i="25"/>
  <c r="D210" i="25" s="1"/>
  <c r="B201" i="25"/>
  <c r="B210" i="25" s="1"/>
  <c r="C215" i="25" s="1"/>
  <c r="C220" i="25" s="1"/>
  <c r="A201" i="25"/>
  <c r="D200" i="25"/>
  <c r="E214" i="25" s="1"/>
  <c r="B200" i="25"/>
  <c r="B209" i="25" s="1"/>
  <c r="C214" i="25" s="1"/>
  <c r="C219" i="25" s="1"/>
  <c r="A200" i="25"/>
  <c r="E199" i="25"/>
  <c r="D199" i="25"/>
  <c r="B199" i="25"/>
  <c r="A199" i="25"/>
  <c r="C193" i="25"/>
  <c r="F187" i="25"/>
  <c r="F186" i="25"/>
  <c r="L178" i="25"/>
  <c r="L177" i="25"/>
  <c r="C90" i="25"/>
  <c r="C91" i="25" s="1"/>
  <c r="G86" i="25"/>
  <c r="C93" i="25" s="1"/>
  <c r="D84" i="25"/>
  <c r="G62" i="25"/>
  <c r="H62" i="25" s="1"/>
  <c r="G61" i="25"/>
  <c r="H61" i="25" s="1"/>
  <c r="H60" i="25"/>
  <c r="E59" i="25"/>
  <c r="E63" i="25" s="1"/>
  <c r="B59" i="25"/>
  <c r="H58" i="25"/>
  <c r="G58" i="25"/>
  <c r="E57" i="25"/>
  <c r="D57" i="25"/>
  <c r="C57" i="25"/>
  <c r="B57" i="25"/>
  <c r="B51" i="25"/>
  <c r="E51" i="25" s="1"/>
  <c r="G51" i="25" s="1"/>
  <c r="H51" i="25" s="1"/>
  <c r="B50" i="25"/>
  <c r="E50" i="25" s="1"/>
  <c r="G50" i="25" s="1"/>
  <c r="H50" i="25" s="1"/>
  <c r="G49" i="25"/>
  <c r="H49" i="25" s="1"/>
  <c r="E49" i="25"/>
  <c r="E48" i="25"/>
  <c r="G48" i="25" s="1"/>
  <c r="H48" i="25" s="1"/>
  <c r="H47" i="25"/>
  <c r="G47" i="25"/>
  <c r="E47" i="25"/>
  <c r="B47" i="25"/>
  <c r="B46" i="25"/>
  <c r="E46" i="25" s="1"/>
  <c r="G46" i="25" s="1"/>
  <c r="H46" i="25" s="1"/>
  <c r="H45" i="25"/>
  <c r="G45" i="25"/>
  <c r="E45" i="25"/>
  <c r="E44" i="25"/>
  <c r="G44" i="25" s="1"/>
  <c r="H44" i="25" s="1"/>
  <c r="B43" i="25"/>
  <c r="E43" i="25" s="1"/>
  <c r="G43" i="25" s="1"/>
  <c r="H43" i="25" s="1"/>
  <c r="H42" i="25"/>
  <c r="G42" i="25"/>
  <c r="E42" i="25"/>
  <c r="B42" i="25"/>
  <c r="B41" i="25"/>
  <c r="E41" i="25" s="1"/>
  <c r="G41" i="25" s="1"/>
  <c r="H41" i="25" s="1"/>
  <c r="H40" i="25"/>
  <c r="G40" i="25"/>
  <c r="E40" i="25"/>
  <c r="E39" i="25"/>
  <c r="G39" i="25" s="1"/>
  <c r="H39" i="25" s="1"/>
  <c r="B39" i="25"/>
  <c r="E38" i="25"/>
  <c r="G38" i="25" s="1"/>
  <c r="H38" i="25" s="1"/>
  <c r="G37" i="25"/>
  <c r="H37" i="25" s="1"/>
  <c r="E37" i="25"/>
  <c r="B37" i="25"/>
  <c r="B36" i="25"/>
  <c r="E36" i="25" s="1"/>
  <c r="G36" i="25" s="1"/>
  <c r="H36" i="25" s="1"/>
  <c r="B35" i="25"/>
  <c r="E35" i="25" s="1"/>
  <c r="G35" i="25" s="1"/>
  <c r="H35" i="25" s="1"/>
  <c r="G34" i="25"/>
  <c r="H34" i="25" s="1"/>
  <c r="E34" i="25"/>
  <c r="B34" i="25"/>
  <c r="E33" i="25"/>
  <c r="B33" i="25"/>
  <c r="I694" i="24"/>
  <c r="H694" i="24"/>
  <c r="G694" i="24"/>
  <c r="F694" i="24"/>
  <c r="E694" i="24"/>
  <c r="D678" i="24"/>
  <c r="F655" i="24"/>
  <c r="I655" i="24" s="1"/>
  <c r="I654" i="24"/>
  <c r="E654" i="24"/>
  <c r="F654" i="24" s="1"/>
  <c r="C654" i="24"/>
  <c r="C653" i="24"/>
  <c r="C593" i="24"/>
  <c r="C594" i="24" s="1"/>
  <c r="C595" i="24" s="1"/>
  <c r="C596" i="24" s="1"/>
  <c r="C597" i="24" s="1"/>
  <c r="C598" i="24" s="1"/>
  <c r="C599" i="24" s="1"/>
  <c r="C600" i="24" s="1"/>
  <c r="C601" i="24" s="1"/>
  <c r="C602" i="24" s="1"/>
  <c r="C603" i="24" s="1"/>
  <c r="C604" i="24" s="1"/>
  <c r="C605" i="24" s="1"/>
  <c r="C606" i="24" s="1"/>
  <c r="C607" i="24" s="1"/>
  <c r="C608" i="24" s="1"/>
  <c r="C609" i="24" s="1"/>
  <c r="C610" i="24" s="1"/>
  <c r="C611" i="24" s="1"/>
  <c r="C612" i="24" s="1"/>
  <c r="C613" i="24" s="1"/>
  <c r="C614" i="24" s="1"/>
  <c r="C615" i="24" s="1"/>
  <c r="C616" i="24" s="1"/>
  <c r="C617" i="24" s="1"/>
  <c r="C618" i="24" s="1"/>
  <c r="C619" i="24" s="1"/>
  <c r="C620" i="24" s="1"/>
  <c r="C621" i="24" s="1"/>
  <c r="C622" i="24" s="1"/>
  <c r="C623" i="24" s="1"/>
  <c r="C624" i="24" s="1"/>
  <c r="C625" i="24" s="1"/>
  <c r="C626" i="24" s="1"/>
  <c r="C627" i="24" s="1"/>
  <c r="C628" i="24" s="1"/>
  <c r="C629" i="24" s="1"/>
  <c r="C630" i="24" s="1"/>
  <c r="C631" i="24" s="1"/>
  <c r="C632" i="24" s="1"/>
  <c r="C633" i="24" s="1"/>
  <c r="C634" i="24" s="1"/>
  <c r="C635" i="24" s="1"/>
  <c r="C636" i="24" s="1"/>
  <c r="C637" i="24" s="1"/>
  <c r="C638" i="24" s="1"/>
  <c r="C639" i="24" s="1"/>
  <c r="C640" i="24" s="1"/>
  <c r="C641" i="24" s="1"/>
  <c r="C642" i="24" s="1"/>
  <c r="C643" i="24" s="1"/>
  <c r="C644" i="24" s="1"/>
  <c r="C645" i="24" s="1"/>
  <c r="C646" i="24" s="1"/>
  <c r="C647" i="24" s="1"/>
  <c r="C590" i="24"/>
  <c r="C591" i="24" s="1"/>
  <c r="C592" i="24" s="1"/>
  <c r="C589" i="24"/>
  <c r="C572" i="24"/>
  <c r="D578" i="24" s="1"/>
  <c r="C571" i="24"/>
  <c r="C570" i="24"/>
  <c r="F577" i="24" s="1"/>
  <c r="C569" i="24"/>
  <c r="C568" i="24"/>
  <c r="F551" i="24"/>
  <c r="G551" i="24" s="1"/>
  <c r="H551" i="24" s="1"/>
  <c r="I551" i="24" s="1"/>
  <c r="I545" i="24"/>
  <c r="G545" i="24"/>
  <c r="H545" i="24" s="1"/>
  <c r="F545" i="24"/>
  <c r="D545" i="24"/>
  <c r="E545" i="24" s="1"/>
  <c r="I542" i="24"/>
  <c r="H542" i="24"/>
  <c r="G542" i="24"/>
  <c r="F542" i="24"/>
  <c r="E542" i="24"/>
  <c r="I541" i="24"/>
  <c r="H541" i="24"/>
  <c r="G541" i="24"/>
  <c r="F541" i="24"/>
  <c r="E541" i="24"/>
  <c r="F526" i="24"/>
  <c r="E526" i="24"/>
  <c r="E678" i="24" s="1"/>
  <c r="G518" i="24"/>
  <c r="B518" i="24"/>
  <c r="B517" i="24"/>
  <c r="G516" i="24"/>
  <c r="B516" i="24"/>
  <c r="B515" i="24"/>
  <c r="G514" i="24"/>
  <c r="G515" i="24" s="1"/>
  <c r="B514" i="24"/>
  <c r="I513" i="24"/>
  <c r="H513" i="24"/>
  <c r="H518" i="24" s="1"/>
  <c r="G513" i="24"/>
  <c r="F513" i="24"/>
  <c r="F518" i="24" s="1"/>
  <c r="E513" i="24"/>
  <c r="E518" i="24" s="1"/>
  <c r="B513" i="24"/>
  <c r="B500" i="24"/>
  <c r="B499" i="24"/>
  <c r="I497" i="24"/>
  <c r="H497" i="24"/>
  <c r="G497" i="24"/>
  <c r="F497" i="24"/>
  <c r="E497" i="24"/>
  <c r="I480" i="24"/>
  <c r="H480" i="24"/>
  <c r="G480" i="24"/>
  <c r="F480" i="24"/>
  <c r="E480" i="24"/>
  <c r="I479" i="24"/>
  <c r="H479" i="24"/>
  <c r="G479" i="24"/>
  <c r="F479" i="24"/>
  <c r="E479" i="24"/>
  <c r="I470" i="24"/>
  <c r="J461" i="24"/>
  <c r="I461" i="24"/>
  <c r="H461" i="24"/>
  <c r="G461" i="24"/>
  <c r="J460" i="24"/>
  <c r="I460" i="24"/>
  <c r="H460" i="24"/>
  <c r="G460" i="24"/>
  <c r="J459" i="24"/>
  <c r="I459" i="24"/>
  <c r="H459" i="24"/>
  <c r="G459" i="24"/>
  <c r="J455" i="24"/>
  <c r="J470" i="24" s="1"/>
  <c r="I455" i="24"/>
  <c r="H455" i="24"/>
  <c r="H470" i="24" s="1"/>
  <c r="G455" i="24"/>
  <c r="G470" i="24" s="1"/>
  <c r="F455" i="24"/>
  <c r="F470" i="24" s="1"/>
  <c r="J454" i="24"/>
  <c r="I454" i="24"/>
  <c r="H454" i="24"/>
  <c r="G454" i="24"/>
  <c r="F454" i="24"/>
  <c r="J453" i="24"/>
  <c r="I453" i="24"/>
  <c r="H453" i="24"/>
  <c r="G453" i="24"/>
  <c r="F453" i="24"/>
  <c r="F439" i="24"/>
  <c r="F452" i="24" s="1"/>
  <c r="G435" i="24"/>
  <c r="G442" i="24" s="1"/>
  <c r="F435" i="24"/>
  <c r="F434" i="24"/>
  <c r="F433" i="24"/>
  <c r="J431" i="24"/>
  <c r="I431" i="24"/>
  <c r="H431" i="24"/>
  <c r="G431" i="24"/>
  <c r="J430" i="24"/>
  <c r="I430" i="24"/>
  <c r="H430" i="24"/>
  <c r="G430" i="24"/>
  <c r="G434" i="24" s="1"/>
  <c r="J429" i="24"/>
  <c r="I429" i="24"/>
  <c r="H429" i="24"/>
  <c r="G429" i="24"/>
  <c r="J420" i="24"/>
  <c r="I420" i="24"/>
  <c r="H420" i="24"/>
  <c r="G420" i="24"/>
  <c r="J419" i="24"/>
  <c r="I419" i="24"/>
  <c r="H419" i="24"/>
  <c r="G419" i="24"/>
  <c r="J418" i="24"/>
  <c r="I418" i="24"/>
  <c r="H418" i="24"/>
  <c r="G418" i="24"/>
  <c r="J417" i="24"/>
  <c r="I417" i="24"/>
  <c r="H417" i="24"/>
  <c r="G417" i="24"/>
  <c r="J416" i="24"/>
  <c r="I416" i="24"/>
  <c r="H416" i="24"/>
  <c r="G416" i="24"/>
  <c r="J415" i="24"/>
  <c r="I415" i="24"/>
  <c r="H415" i="24"/>
  <c r="G415" i="24"/>
  <c r="F413" i="24"/>
  <c r="H402" i="24"/>
  <c r="H399" i="24"/>
  <c r="G399" i="24"/>
  <c r="G402" i="24" s="1"/>
  <c r="F399" i="24"/>
  <c r="F402" i="24" s="1"/>
  <c r="E399" i="24"/>
  <c r="E402" i="24" s="1"/>
  <c r="E393" i="24"/>
  <c r="G384" i="24"/>
  <c r="F384" i="24"/>
  <c r="E383" i="24"/>
  <c r="H383" i="24" s="1"/>
  <c r="G382" i="24"/>
  <c r="D382" i="24"/>
  <c r="A382" i="24"/>
  <c r="G380" i="24"/>
  <c r="A380" i="24"/>
  <c r="D379" i="24"/>
  <c r="C379" i="24"/>
  <c r="G378" i="24"/>
  <c r="C378" i="24"/>
  <c r="A378" i="24"/>
  <c r="D372" i="24"/>
  <c r="D371" i="24"/>
  <c r="E371" i="24" s="1"/>
  <c r="I371" i="24" s="1"/>
  <c r="C371" i="24"/>
  <c r="C383" i="24" s="1"/>
  <c r="E369" i="24"/>
  <c r="D369" i="24"/>
  <c r="C369" i="24"/>
  <c r="H357" i="24"/>
  <c r="H356" i="24"/>
  <c r="E350" i="24"/>
  <c r="D340" i="24"/>
  <c r="C372" i="24" s="1"/>
  <c r="D337" i="24"/>
  <c r="C370" i="24" s="1"/>
  <c r="D334" i="24"/>
  <c r="C368" i="24" s="1"/>
  <c r="F321" i="24"/>
  <c r="F315" i="24"/>
  <c r="C314" i="24"/>
  <c r="E319" i="24" s="1"/>
  <c r="R313" i="24"/>
  <c r="F313" i="24"/>
  <c r="G313" i="24" s="1"/>
  <c r="H313" i="24" s="1"/>
  <c r="I313" i="24" s="1"/>
  <c r="J313" i="24" s="1"/>
  <c r="K313" i="24" s="1"/>
  <c r="L313" i="24" s="1"/>
  <c r="M313" i="24" s="1"/>
  <c r="N313" i="24" s="1"/>
  <c r="O313" i="24" s="1"/>
  <c r="P313" i="24" s="1"/>
  <c r="E313" i="24"/>
  <c r="R312" i="24"/>
  <c r="F312" i="24"/>
  <c r="G312" i="24" s="1"/>
  <c r="H312" i="24" s="1"/>
  <c r="I312" i="24" s="1"/>
  <c r="J312" i="24" s="1"/>
  <c r="K312" i="24" s="1"/>
  <c r="L312" i="24" s="1"/>
  <c r="M312" i="24" s="1"/>
  <c r="N312" i="24" s="1"/>
  <c r="O312" i="24" s="1"/>
  <c r="P312" i="24" s="1"/>
  <c r="E312" i="24"/>
  <c r="E311" i="24"/>
  <c r="R311" i="24" s="1"/>
  <c r="R310" i="24"/>
  <c r="F310" i="24"/>
  <c r="G310" i="24" s="1"/>
  <c r="H310" i="24" s="1"/>
  <c r="I310" i="24" s="1"/>
  <c r="J310" i="24" s="1"/>
  <c r="K310" i="24" s="1"/>
  <c r="L310" i="24" s="1"/>
  <c r="M310" i="24" s="1"/>
  <c r="N310" i="24" s="1"/>
  <c r="O310" i="24" s="1"/>
  <c r="P310" i="24" s="1"/>
  <c r="E310" i="24"/>
  <c r="R309" i="24"/>
  <c r="O309" i="24"/>
  <c r="P309" i="24" s="1"/>
  <c r="F309" i="24"/>
  <c r="G309" i="24" s="1"/>
  <c r="H309" i="24" s="1"/>
  <c r="I309" i="24" s="1"/>
  <c r="J309" i="24" s="1"/>
  <c r="K309" i="24" s="1"/>
  <c r="L309" i="24" s="1"/>
  <c r="M309" i="24" s="1"/>
  <c r="N309" i="24" s="1"/>
  <c r="E309" i="24"/>
  <c r="E308" i="24"/>
  <c r="R308" i="24" s="1"/>
  <c r="F299" i="24"/>
  <c r="P298" i="24"/>
  <c r="O298" i="24"/>
  <c r="N298" i="24"/>
  <c r="M298" i="24"/>
  <c r="L298" i="24"/>
  <c r="K298" i="24"/>
  <c r="J298" i="24"/>
  <c r="I298" i="24"/>
  <c r="H298" i="24"/>
  <c r="G298" i="24"/>
  <c r="F298" i="24"/>
  <c r="E298" i="24"/>
  <c r="D360" i="24" s="1"/>
  <c r="P297" i="24"/>
  <c r="O297" i="24"/>
  <c r="N297" i="24"/>
  <c r="M297" i="24"/>
  <c r="L297" i="24"/>
  <c r="K297" i="24"/>
  <c r="J297" i="24"/>
  <c r="I297" i="24"/>
  <c r="H297" i="24"/>
  <c r="G297" i="24"/>
  <c r="F297" i="24"/>
  <c r="E297" i="24"/>
  <c r="D359" i="24" s="1"/>
  <c r="F296" i="24"/>
  <c r="H294" i="24"/>
  <c r="F294" i="24"/>
  <c r="G294" i="24" s="1"/>
  <c r="E294" i="24"/>
  <c r="R294" i="24" s="1"/>
  <c r="E293" i="24"/>
  <c r="R293" i="24" s="1"/>
  <c r="R292" i="24"/>
  <c r="F292" i="24"/>
  <c r="G292" i="24" s="1"/>
  <c r="H292" i="24" s="1"/>
  <c r="I292" i="24" s="1"/>
  <c r="J292" i="24" s="1"/>
  <c r="K292" i="24" s="1"/>
  <c r="L292" i="24" s="1"/>
  <c r="M292" i="24" s="1"/>
  <c r="N292" i="24" s="1"/>
  <c r="O292" i="24" s="1"/>
  <c r="P292" i="24" s="1"/>
  <c r="E292" i="24"/>
  <c r="O291" i="24"/>
  <c r="P291" i="24" s="1"/>
  <c r="F291" i="24"/>
  <c r="G291" i="24" s="1"/>
  <c r="H291" i="24" s="1"/>
  <c r="I291" i="24" s="1"/>
  <c r="J291" i="24" s="1"/>
  <c r="K291" i="24" s="1"/>
  <c r="L291" i="24" s="1"/>
  <c r="M291" i="24" s="1"/>
  <c r="N291" i="24" s="1"/>
  <c r="E291" i="24"/>
  <c r="R291" i="24" s="1"/>
  <c r="C290" i="24"/>
  <c r="E290" i="24" s="1"/>
  <c r="E289" i="24"/>
  <c r="R289" i="24" s="1"/>
  <c r="E288" i="24"/>
  <c r="R288" i="24" s="1"/>
  <c r="R287" i="24"/>
  <c r="F287" i="24"/>
  <c r="G287" i="24" s="1"/>
  <c r="H287" i="24" s="1"/>
  <c r="I287" i="24" s="1"/>
  <c r="J287" i="24" s="1"/>
  <c r="K287" i="24" s="1"/>
  <c r="E287" i="24"/>
  <c r="E286" i="24"/>
  <c r="R286" i="24" s="1"/>
  <c r="E285" i="24"/>
  <c r="R285" i="24" s="1"/>
  <c r="R284" i="24"/>
  <c r="F284" i="24"/>
  <c r="E284" i="24"/>
  <c r="E283" i="24"/>
  <c r="R283" i="24" s="1"/>
  <c r="E282" i="24"/>
  <c r="E272" i="24"/>
  <c r="C271" i="24"/>
  <c r="E267" i="24"/>
  <c r="C267" i="24"/>
  <c r="C272" i="24" s="1"/>
  <c r="C266" i="24"/>
  <c r="C265" i="24"/>
  <c r="C270" i="24" s="1"/>
  <c r="G262" i="24"/>
  <c r="E262" i="24"/>
  <c r="D262" i="24"/>
  <c r="F257" i="24"/>
  <c r="G257" i="24" s="1"/>
  <c r="H257" i="24" s="1"/>
  <c r="I257" i="24" s="1"/>
  <c r="J257" i="24" s="1"/>
  <c r="K257" i="24" s="1"/>
  <c r="L257" i="24" s="1"/>
  <c r="M257" i="24" s="1"/>
  <c r="N257" i="24" s="1"/>
  <c r="O257" i="24" s="1"/>
  <c r="E257" i="24"/>
  <c r="B257" i="24"/>
  <c r="B256" i="24"/>
  <c r="B255" i="24"/>
  <c r="G253" i="24"/>
  <c r="E253" i="24"/>
  <c r="F253" i="24" s="1"/>
  <c r="F262" i="24" s="1"/>
  <c r="D252" i="24"/>
  <c r="D251" i="24"/>
  <c r="F237" i="24"/>
  <c r="F236" i="24"/>
  <c r="F240" i="24" s="1"/>
  <c r="H240" i="24" s="1"/>
  <c r="B242" i="24" s="1"/>
  <c r="D242" i="24" s="1"/>
  <c r="F235" i="24"/>
  <c r="F234" i="24"/>
  <c r="C219" i="24"/>
  <c r="E213" i="24"/>
  <c r="E210" i="24"/>
  <c r="D209" i="24"/>
  <c r="B209" i="24"/>
  <c r="C214" i="24" s="1"/>
  <c r="D208" i="24"/>
  <c r="D205" i="24"/>
  <c r="E205" i="24" s="1"/>
  <c r="F205" i="24" s="1"/>
  <c r="I204" i="24"/>
  <c r="J204" i="24" s="1"/>
  <c r="K204" i="24" s="1"/>
  <c r="L204" i="24" s="1"/>
  <c r="M204" i="24" s="1"/>
  <c r="N204" i="24" s="1"/>
  <c r="O204" i="24" s="1"/>
  <c r="P204" i="24" s="1"/>
  <c r="E204" i="24"/>
  <c r="F204" i="24" s="1"/>
  <c r="G204" i="24" s="1"/>
  <c r="H204" i="24" s="1"/>
  <c r="D204" i="24"/>
  <c r="P203" i="24"/>
  <c r="I203" i="24"/>
  <c r="J203" i="24" s="1"/>
  <c r="K203" i="24" s="1"/>
  <c r="L203" i="24" s="1"/>
  <c r="M203" i="24" s="1"/>
  <c r="N203" i="24" s="1"/>
  <c r="O203" i="24" s="1"/>
  <c r="D203" i="24"/>
  <c r="E203" i="24" s="1"/>
  <c r="F203" i="24" s="1"/>
  <c r="G203" i="24" s="1"/>
  <c r="H203" i="24" s="1"/>
  <c r="E201" i="24"/>
  <c r="F201" i="24" s="1"/>
  <c r="G201" i="24" s="1"/>
  <c r="D201" i="24"/>
  <c r="E215" i="24" s="1"/>
  <c r="B201" i="24"/>
  <c r="B210" i="24" s="1"/>
  <c r="C215" i="24" s="1"/>
  <c r="C220" i="24" s="1"/>
  <c r="A201" i="24"/>
  <c r="D200" i="24"/>
  <c r="E200" i="24" s="1"/>
  <c r="B200" i="24"/>
  <c r="A200" i="24"/>
  <c r="D199" i="24"/>
  <c r="B199" i="24"/>
  <c r="B208" i="24" s="1"/>
  <c r="C213" i="24" s="1"/>
  <c r="C218" i="24" s="1"/>
  <c r="A199" i="24"/>
  <c r="C193" i="24"/>
  <c r="F187" i="24"/>
  <c r="F186" i="24"/>
  <c r="L177" i="24"/>
  <c r="L178" i="24" s="1"/>
  <c r="C90" i="24"/>
  <c r="C91" i="24" s="1"/>
  <c r="G86" i="24"/>
  <c r="C93" i="24" s="1"/>
  <c r="D84" i="24"/>
  <c r="G63" i="24"/>
  <c r="H62" i="24"/>
  <c r="G62" i="24"/>
  <c r="G61" i="24"/>
  <c r="H61" i="24" s="1"/>
  <c r="H60" i="24"/>
  <c r="G59" i="24"/>
  <c r="H59" i="24" s="1"/>
  <c r="E59" i="24"/>
  <c r="E63" i="24" s="1"/>
  <c r="B59" i="24"/>
  <c r="H58" i="24"/>
  <c r="H63" i="24" s="1"/>
  <c r="G58" i="24"/>
  <c r="E57" i="24"/>
  <c r="D57" i="24"/>
  <c r="C57" i="24"/>
  <c r="B57" i="24"/>
  <c r="B51" i="24"/>
  <c r="E51" i="24" s="1"/>
  <c r="G51" i="24" s="1"/>
  <c r="H51" i="24" s="1"/>
  <c r="E50" i="24"/>
  <c r="G50" i="24" s="1"/>
  <c r="H50" i="24" s="1"/>
  <c r="B50" i="24"/>
  <c r="G49" i="24"/>
  <c r="H49" i="24" s="1"/>
  <c r="E49" i="24"/>
  <c r="G48" i="24"/>
  <c r="H48" i="24" s="1"/>
  <c r="E48" i="24"/>
  <c r="E47" i="24"/>
  <c r="G47" i="24" s="1"/>
  <c r="H47" i="24" s="1"/>
  <c r="B47" i="24"/>
  <c r="B46" i="24"/>
  <c r="E46" i="24" s="1"/>
  <c r="G46" i="24" s="1"/>
  <c r="H46" i="24" s="1"/>
  <c r="H45" i="24"/>
  <c r="E45" i="24"/>
  <c r="G45" i="24" s="1"/>
  <c r="E44" i="24"/>
  <c r="G44" i="24" s="1"/>
  <c r="H44" i="24" s="1"/>
  <c r="H43" i="24"/>
  <c r="E43" i="24"/>
  <c r="G43" i="24" s="1"/>
  <c r="B43" i="24"/>
  <c r="G42" i="24"/>
  <c r="H42" i="24" s="1"/>
  <c r="E42" i="24"/>
  <c r="B42" i="24"/>
  <c r="B41" i="24"/>
  <c r="E41" i="24" s="1"/>
  <c r="G41" i="24" s="1"/>
  <c r="H41" i="24" s="1"/>
  <c r="H40" i="24"/>
  <c r="E40" i="24"/>
  <c r="G40" i="24" s="1"/>
  <c r="E39" i="24"/>
  <c r="G39" i="24" s="1"/>
  <c r="H39" i="24" s="1"/>
  <c r="B39" i="24"/>
  <c r="G38" i="24"/>
  <c r="H38" i="24" s="1"/>
  <c r="E38" i="24"/>
  <c r="G37" i="24"/>
  <c r="H37" i="24" s="1"/>
  <c r="E37" i="24"/>
  <c r="B37" i="24"/>
  <c r="B36" i="24"/>
  <c r="E36" i="24" s="1"/>
  <c r="G36" i="24" s="1"/>
  <c r="H36" i="24" s="1"/>
  <c r="E35" i="24"/>
  <c r="G35" i="24" s="1"/>
  <c r="H35" i="24" s="1"/>
  <c r="B35" i="24"/>
  <c r="E34" i="24"/>
  <c r="G34" i="24" s="1"/>
  <c r="H34" i="24" s="1"/>
  <c r="B34" i="24"/>
  <c r="B33" i="24"/>
  <c r="E33" i="24" s="1"/>
  <c r="C572" i="23"/>
  <c r="C571" i="23"/>
  <c r="C570" i="23"/>
  <c r="C569" i="23"/>
  <c r="C568" i="23"/>
  <c r="C404" i="21"/>
  <c r="G537" i="23"/>
  <c r="H537" i="23"/>
  <c r="I537" i="23"/>
  <c r="F537" i="23"/>
  <c r="F464" i="23"/>
  <c r="F463" i="23"/>
  <c r="A201" i="23"/>
  <c r="A200" i="23"/>
  <c r="A199" i="23"/>
  <c r="H443" i="23"/>
  <c r="I443" i="23"/>
  <c r="J443" i="23"/>
  <c r="H442" i="23"/>
  <c r="I442" i="23"/>
  <c r="J442" i="23"/>
  <c r="H441" i="23"/>
  <c r="I441" i="23"/>
  <c r="J441" i="23"/>
  <c r="H440" i="23"/>
  <c r="I440" i="23"/>
  <c r="J440" i="23"/>
  <c r="G443" i="23"/>
  <c r="G441" i="23"/>
  <c r="G442" i="23"/>
  <c r="G440" i="23"/>
  <c r="F443" i="23"/>
  <c r="F442" i="23"/>
  <c r="F441" i="23"/>
  <c r="F440" i="23"/>
  <c r="B278" i="21"/>
  <c r="H435" i="23"/>
  <c r="I435" i="23"/>
  <c r="J435" i="23"/>
  <c r="H434" i="23"/>
  <c r="I434" i="23" s="1"/>
  <c r="J434" i="23" s="1"/>
  <c r="G434" i="23"/>
  <c r="G435" i="23"/>
  <c r="H433" i="23"/>
  <c r="I433" i="23" s="1"/>
  <c r="J433" i="23" s="1"/>
  <c r="G433" i="23"/>
  <c r="F435" i="23"/>
  <c r="F434" i="23"/>
  <c r="F433" i="23"/>
  <c r="E350" i="23"/>
  <c r="E186" i="21"/>
  <c r="D338" i="23"/>
  <c r="D335" i="23"/>
  <c r="D340" i="23"/>
  <c r="D337" i="23"/>
  <c r="D334" i="23"/>
  <c r="N262" i="23"/>
  <c r="O262" i="23"/>
  <c r="F262" i="23"/>
  <c r="G262" i="23"/>
  <c r="H262" i="23"/>
  <c r="I262" i="23"/>
  <c r="J262" i="23"/>
  <c r="K262" i="23"/>
  <c r="L262" i="23"/>
  <c r="M262" i="23"/>
  <c r="E262" i="23"/>
  <c r="D262" i="23"/>
  <c r="D261" i="23"/>
  <c r="D260" i="23"/>
  <c r="D256" i="23"/>
  <c r="D255" i="23"/>
  <c r="B257" i="23"/>
  <c r="B256" i="23"/>
  <c r="B255" i="23"/>
  <c r="P201" i="23"/>
  <c r="F215" i="23" s="1"/>
  <c r="P211" i="23"/>
  <c r="P209" i="23"/>
  <c r="P210" i="23"/>
  <c r="P208" i="23"/>
  <c r="D208" i="23"/>
  <c r="P205" i="23"/>
  <c r="P204" i="23"/>
  <c r="P203" i="23"/>
  <c r="L210" i="23"/>
  <c r="M210" i="23"/>
  <c r="N210" i="23"/>
  <c r="O210" i="23"/>
  <c r="L209" i="23"/>
  <c r="M209" i="23"/>
  <c r="N209" i="23"/>
  <c r="O209" i="23"/>
  <c r="L208" i="23"/>
  <c r="M208" i="23"/>
  <c r="N208" i="23"/>
  <c r="O208" i="23"/>
  <c r="N201" i="23"/>
  <c r="O201" i="23"/>
  <c r="J201" i="23"/>
  <c r="K201" i="23" s="1"/>
  <c r="L201" i="23" s="1"/>
  <c r="M201" i="23" s="1"/>
  <c r="H201" i="23"/>
  <c r="I201" i="23" s="1"/>
  <c r="F201" i="23"/>
  <c r="G201" i="23" s="1"/>
  <c r="F210" i="23"/>
  <c r="O205" i="23"/>
  <c r="O204" i="23"/>
  <c r="O203" i="23"/>
  <c r="D205" i="23"/>
  <c r="E205" i="23" s="1"/>
  <c r="F205" i="23" s="1"/>
  <c r="D204" i="23"/>
  <c r="E204" i="23" s="1"/>
  <c r="F204" i="23" s="1"/>
  <c r="G204" i="23" s="1"/>
  <c r="H204" i="23" s="1"/>
  <c r="I204" i="23" s="1"/>
  <c r="J204" i="23" s="1"/>
  <c r="K204" i="23" s="1"/>
  <c r="L204" i="23" s="1"/>
  <c r="M204" i="23" s="1"/>
  <c r="N204" i="23" s="1"/>
  <c r="D203" i="23"/>
  <c r="E203" i="23" s="1"/>
  <c r="F203" i="23" s="1"/>
  <c r="G203" i="23" s="1"/>
  <c r="H203" i="23" s="1"/>
  <c r="I203" i="23" s="1"/>
  <c r="J203" i="23" s="1"/>
  <c r="K203" i="23" s="1"/>
  <c r="L203" i="23" s="1"/>
  <c r="M203" i="23" s="1"/>
  <c r="N203" i="23" s="1"/>
  <c r="D201" i="23"/>
  <c r="E201" i="23" s="1"/>
  <c r="D200" i="23"/>
  <c r="E214" i="23" s="1"/>
  <c r="D199" i="23"/>
  <c r="E213" i="23" s="1"/>
  <c r="B201" i="23"/>
  <c r="B210" i="23" s="1"/>
  <c r="C215" i="23" s="1"/>
  <c r="C220" i="23" s="1"/>
  <c r="B200" i="23"/>
  <c r="B209" i="23" s="1"/>
  <c r="C214" i="23" s="1"/>
  <c r="C219" i="23" s="1"/>
  <c r="B199" i="23"/>
  <c r="B208" i="23" s="1"/>
  <c r="C213" i="23" s="1"/>
  <c r="C218" i="23" s="1"/>
  <c r="E215" i="23"/>
  <c r="D577" i="24" l="1"/>
  <c r="H435" i="25"/>
  <c r="H442" i="25" s="1"/>
  <c r="E208" i="25"/>
  <c r="F199" i="25"/>
  <c r="G63" i="25"/>
  <c r="D345" i="25"/>
  <c r="H360" i="25" s="1"/>
  <c r="E75" i="25"/>
  <c r="D102" i="25"/>
  <c r="D101" i="25"/>
  <c r="E101" i="25" s="1"/>
  <c r="E210" i="25"/>
  <c r="F201" i="25"/>
  <c r="E266" i="25"/>
  <c r="E252" i="25"/>
  <c r="F252" i="25" s="1"/>
  <c r="G252" i="25" s="1"/>
  <c r="H252" i="25" s="1"/>
  <c r="I252" i="25" s="1"/>
  <c r="J252" i="25" s="1"/>
  <c r="K252" i="25" s="1"/>
  <c r="L252" i="25" s="1"/>
  <c r="M252" i="25" s="1"/>
  <c r="N252" i="25" s="1"/>
  <c r="O252" i="25" s="1"/>
  <c r="P252" i="25"/>
  <c r="F266" i="25" s="1"/>
  <c r="L257" i="25"/>
  <c r="M257" i="25" s="1"/>
  <c r="N257" i="25" s="1"/>
  <c r="O257" i="25" s="1"/>
  <c r="P257" i="25"/>
  <c r="G33" i="25"/>
  <c r="E53" i="25"/>
  <c r="F463" i="25"/>
  <c r="G463" i="25" s="1"/>
  <c r="H463" i="25" s="1"/>
  <c r="I463" i="25" s="1"/>
  <c r="J463" i="25" s="1"/>
  <c r="J468" i="25" s="1"/>
  <c r="D255" i="25"/>
  <c r="G287" i="25"/>
  <c r="H287" i="25" s="1"/>
  <c r="I287" i="25" s="1"/>
  <c r="J287" i="25" s="1"/>
  <c r="K287" i="25" s="1"/>
  <c r="L287" i="25" s="1"/>
  <c r="M287" i="25" s="1"/>
  <c r="N287" i="25" s="1"/>
  <c r="O287" i="25" s="1"/>
  <c r="P287" i="25" s="1"/>
  <c r="Q287" i="25"/>
  <c r="F310" i="25"/>
  <c r="G310" i="25" s="1"/>
  <c r="H310" i="25" s="1"/>
  <c r="I310" i="25" s="1"/>
  <c r="J310" i="25" s="1"/>
  <c r="K310" i="25" s="1"/>
  <c r="L310" i="25" s="1"/>
  <c r="M310" i="25" s="1"/>
  <c r="N310" i="25" s="1"/>
  <c r="O310" i="25" s="1"/>
  <c r="P310" i="25" s="1"/>
  <c r="R310" i="25"/>
  <c r="H354" i="25"/>
  <c r="G59" i="25"/>
  <c r="H59" i="25" s="1"/>
  <c r="H63" i="25" s="1"/>
  <c r="E200" i="25"/>
  <c r="E262" i="25"/>
  <c r="F253" i="25"/>
  <c r="F282" i="25"/>
  <c r="Q312" i="25"/>
  <c r="I369" i="25"/>
  <c r="E215" i="25"/>
  <c r="G288" i="25"/>
  <c r="H288" i="25" s="1"/>
  <c r="I288" i="25" s="1"/>
  <c r="J288" i="25" s="1"/>
  <c r="K288" i="25" s="1"/>
  <c r="L288" i="25" s="1"/>
  <c r="M288" i="25" s="1"/>
  <c r="N288" i="25" s="1"/>
  <c r="O288" i="25" s="1"/>
  <c r="P288" i="25" s="1"/>
  <c r="Q292" i="25"/>
  <c r="Q315" i="25"/>
  <c r="E314" i="25"/>
  <c r="Q313" i="25"/>
  <c r="F313" i="25"/>
  <c r="G313" i="25" s="1"/>
  <c r="H313" i="25" s="1"/>
  <c r="I313" i="25" s="1"/>
  <c r="J313" i="25" s="1"/>
  <c r="K313" i="25" s="1"/>
  <c r="L313" i="25" s="1"/>
  <c r="M313" i="25" s="1"/>
  <c r="N313" i="25" s="1"/>
  <c r="O313" i="25" s="1"/>
  <c r="P313" i="25" s="1"/>
  <c r="G321" i="25"/>
  <c r="H321" i="25" s="1"/>
  <c r="I321" i="25" s="1"/>
  <c r="J321" i="25" s="1"/>
  <c r="K321" i="25" s="1"/>
  <c r="L321" i="25" s="1"/>
  <c r="M321" i="25" s="1"/>
  <c r="N321" i="25" s="1"/>
  <c r="O321" i="25" s="1"/>
  <c r="P321" i="25" s="1"/>
  <c r="Q321" i="25"/>
  <c r="Q284" i="25"/>
  <c r="R290" i="25"/>
  <c r="R295" i="25" s="1"/>
  <c r="Q290" i="25"/>
  <c r="R313" i="25"/>
  <c r="E220" i="25"/>
  <c r="D209" i="25"/>
  <c r="F240" i="25"/>
  <c r="H240" i="25" s="1"/>
  <c r="B242" i="25" s="1"/>
  <c r="D242" i="25" s="1"/>
  <c r="P251" i="25"/>
  <c r="F265" i="25" s="1"/>
  <c r="E300" i="25"/>
  <c r="F468" i="25"/>
  <c r="Q283" i="25"/>
  <c r="G518" i="25"/>
  <c r="G514" i="25"/>
  <c r="G515" i="25" s="1"/>
  <c r="G516" i="25" s="1"/>
  <c r="F283" i="25"/>
  <c r="G283" i="25" s="1"/>
  <c r="H283" i="25" s="1"/>
  <c r="I283" i="25" s="1"/>
  <c r="J283" i="25" s="1"/>
  <c r="K283" i="25" s="1"/>
  <c r="L283" i="25" s="1"/>
  <c r="M283" i="25" s="1"/>
  <c r="N283" i="25" s="1"/>
  <c r="O283" i="25" s="1"/>
  <c r="P283" i="25" s="1"/>
  <c r="R294" i="25"/>
  <c r="F294" i="25"/>
  <c r="G440" i="25"/>
  <c r="G443" i="25" s="1"/>
  <c r="F528" i="25" s="1"/>
  <c r="H433" i="25"/>
  <c r="H518" i="25"/>
  <c r="H514" i="25"/>
  <c r="R291" i="25"/>
  <c r="F291" i="25"/>
  <c r="Q297" i="25"/>
  <c r="R297" i="25" s="1"/>
  <c r="E499" i="25" s="1"/>
  <c r="E653" i="25"/>
  <c r="C547" i="25"/>
  <c r="I371" i="25"/>
  <c r="E383" i="25"/>
  <c r="H383" i="25" s="1"/>
  <c r="Q319" i="25"/>
  <c r="E517" i="25" s="1"/>
  <c r="F517" i="25" s="1"/>
  <c r="G517" i="25" s="1"/>
  <c r="H517" i="25" s="1"/>
  <c r="I517" i="25" s="1"/>
  <c r="C382" i="25"/>
  <c r="E382" i="25" s="1"/>
  <c r="H382" i="25" s="1"/>
  <c r="E372" i="25"/>
  <c r="F577" i="25"/>
  <c r="D577" i="25"/>
  <c r="Q286" i="25"/>
  <c r="Q289" i="25"/>
  <c r="Q298" i="25"/>
  <c r="R298" i="25" s="1"/>
  <c r="E500" i="25" s="1"/>
  <c r="F308" i="25"/>
  <c r="G308" i="25" s="1"/>
  <c r="H308" i="25" s="1"/>
  <c r="I308" i="25" s="1"/>
  <c r="J308" i="25" s="1"/>
  <c r="K308" i="25" s="1"/>
  <c r="L308" i="25" s="1"/>
  <c r="M308" i="25" s="1"/>
  <c r="N308" i="25" s="1"/>
  <c r="O308" i="25" s="1"/>
  <c r="P308" i="25" s="1"/>
  <c r="R308" i="25"/>
  <c r="F311" i="25"/>
  <c r="G311" i="25" s="1"/>
  <c r="H311" i="25" s="1"/>
  <c r="I311" i="25" s="1"/>
  <c r="J311" i="25" s="1"/>
  <c r="K311" i="25" s="1"/>
  <c r="L311" i="25" s="1"/>
  <c r="M311" i="25" s="1"/>
  <c r="N311" i="25" s="1"/>
  <c r="O311" i="25" s="1"/>
  <c r="P311" i="25" s="1"/>
  <c r="G413" i="25"/>
  <c r="G439" i="25" s="1"/>
  <c r="G452" i="25" s="1"/>
  <c r="F393" i="25"/>
  <c r="H434" i="25"/>
  <c r="F286" i="25"/>
  <c r="G286" i="25" s="1"/>
  <c r="H286" i="25" s="1"/>
  <c r="I286" i="25" s="1"/>
  <c r="J286" i="25" s="1"/>
  <c r="K286" i="25" s="1"/>
  <c r="L286" i="25" s="1"/>
  <c r="M286" i="25" s="1"/>
  <c r="N286" i="25" s="1"/>
  <c r="O286" i="25" s="1"/>
  <c r="P286" i="25" s="1"/>
  <c r="F467" i="25"/>
  <c r="E481" i="25"/>
  <c r="E502" i="25"/>
  <c r="I514" i="25"/>
  <c r="G384" i="25"/>
  <c r="E514" i="25"/>
  <c r="E515" i="25" s="1"/>
  <c r="E516" i="25" s="1"/>
  <c r="G526" i="25"/>
  <c r="F514" i="25"/>
  <c r="F515" i="25" s="1"/>
  <c r="F516" i="25" s="1"/>
  <c r="F653" i="25"/>
  <c r="C656" i="25"/>
  <c r="E218" i="24"/>
  <c r="I294" i="24"/>
  <c r="J294" i="24" s="1"/>
  <c r="K294" i="24" s="1"/>
  <c r="L294" i="24" s="1"/>
  <c r="M294" i="24" s="1"/>
  <c r="N294" i="24" s="1"/>
  <c r="O294" i="24" s="1"/>
  <c r="P294" i="24" s="1"/>
  <c r="Q294" i="24" s="1"/>
  <c r="D102" i="24"/>
  <c r="D101" i="24"/>
  <c r="E101" i="24" s="1"/>
  <c r="H201" i="24"/>
  <c r="L287" i="24"/>
  <c r="M287" i="24" s="1"/>
  <c r="N287" i="24" s="1"/>
  <c r="O287" i="24" s="1"/>
  <c r="P287" i="24" s="1"/>
  <c r="R290" i="24"/>
  <c r="F290" i="24"/>
  <c r="G413" i="24"/>
  <c r="G439" i="24" s="1"/>
  <c r="G452" i="24" s="1"/>
  <c r="F393" i="24"/>
  <c r="F467" i="24"/>
  <c r="E481" i="24"/>
  <c r="E219" i="24"/>
  <c r="H253" i="24"/>
  <c r="E379" i="24"/>
  <c r="H379" i="24" s="1"/>
  <c r="I369" i="24"/>
  <c r="E266" i="24"/>
  <c r="E252" i="24"/>
  <c r="F252" i="24" s="1"/>
  <c r="G252" i="24" s="1"/>
  <c r="H252" i="24" s="1"/>
  <c r="I252" i="24" s="1"/>
  <c r="J252" i="24" s="1"/>
  <c r="K252" i="24" s="1"/>
  <c r="L252" i="24" s="1"/>
  <c r="M252" i="24" s="1"/>
  <c r="N252" i="24" s="1"/>
  <c r="O252" i="24" s="1"/>
  <c r="P252" i="24"/>
  <c r="F266" i="24" s="1"/>
  <c r="D345" i="24"/>
  <c r="H360" i="24" s="1"/>
  <c r="E75" i="24"/>
  <c r="E209" i="24"/>
  <c r="F200" i="24"/>
  <c r="F210" i="24"/>
  <c r="G205" i="24"/>
  <c r="H205" i="24" s="1"/>
  <c r="I205" i="24" s="1"/>
  <c r="J205" i="24" s="1"/>
  <c r="K205" i="24" s="1"/>
  <c r="L205" i="24" s="1"/>
  <c r="M205" i="24" s="1"/>
  <c r="N205" i="24" s="1"/>
  <c r="O205" i="24" s="1"/>
  <c r="P205" i="24" s="1"/>
  <c r="G284" i="24"/>
  <c r="H284" i="24" s="1"/>
  <c r="I284" i="24" s="1"/>
  <c r="J284" i="24" s="1"/>
  <c r="K284" i="24" s="1"/>
  <c r="L284" i="24" s="1"/>
  <c r="M284" i="24" s="1"/>
  <c r="N284" i="24" s="1"/>
  <c r="O284" i="24" s="1"/>
  <c r="P284" i="24" s="1"/>
  <c r="E53" i="24"/>
  <c r="G33" i="24"/>
  <c r="F464" i="24"/>
  <c r="G464" i="24" s="1"/>
  <c r="H464" i="24" s="1"/>
  <c r="I464" i="24" s="1"/>
  <c r="D256" i="24"/>
  <c r="A245" i="24"/>
  <c r="D245" i="24" s="1"/>
  <c r="Q292" i="24"/>
  <c r="E214" i="24"/>
  <c r="R314" i="24"/>
  <c r="R319" i="24" s="1"/>
  <c r="P257" i="24"/>
  <c r="H434" i="24"/>
  <c r="G441" i="24"/>
  <c r="F678" i="24"/>
  <c r="G526" i="24"/>
  <c r="E199" i="24"/>
  <c r="E251" i="24"/>
  <c r="F251" i="24" s="1"/>
  <c r="G251" i="24" s="1"/>
  <c r="H251" i="24" s="1"/>
  <c r="I251" i="24" s="1"/>
  <c r="J251" i="24" s="1"/>
  <c r="K251" i="24" s="1"/>
  <c r="L251" i="24" s="1"/>
  <c r="M251" i="24" s="1"/>
  <c r="N251" i="24" s="1"/>
  <c r="O251" i="24" s="1"/>
  <c r="E265" i="24"/>
  <c r="Q297" i="24"/>
  <c r="R297" i="24" s="1"/>
  <c r="E499" i="24" s="1"/>
  <c r="F319" i="24"/>
  <c r="G319" i="24" s="1"/>
  <c r="H319" i="24" s="1"/>
  <c r="I319" i="24" s="1"/>
  <c r="J319" i="24" s="1"/>
  <c r="K319" i="24" s="1"/>
  <c r="L319" i="24" s="1"/>
  <c r="M319" i="24" s="1"/>
  <c r="N319" i="24" s="1"/>
  <c r="O319" i="24" s="1"/>
  <c r="P319" i="24" s="1"/>
  <c r="Q319" i="24"/>
  <c r="E517" i="24" s="1"/>
  <c r="F517" i="24" s="1"/>
  <c r="G517" i="24" s="1"/>
  <c r="H517" i="24" s="1"/>
  <c r="I517" i="24" s="1"/>
  <c r="G321" i="24"/>
  <c r="H321" i="24" s="1"/>
  <c r="I321" i="24" s="1"/>
  <c r="J321" i="24" s="1"/>
  <c r="K321" i="24" s="1"/>
  <c r="L321" i="24" s="1"/>
  <c r="M321" i="24" s="1"/>
  <c r="N321" i="24" s="1"/>
  <c r="O321" i="24" s="1"/>
  <c r="P321" i="24" s="1"/>
  <c r="Q321" i="24"/>
  <c r="E372" i="24"/>
  <c r="C382" i="24"/>
  <c r="E382" i="24" s="1"/>
  <c r="H382" i="24" s="1"/>
  <c r="F469" i="24"/>
  <c r="D210" i="24"/>
  <c r="I519" i="24"/>
  <c r="I530" i="24" s="1"/>
  <c r="I682" i="24" s="1"/>
  <c r="I518" i="24"/>
  <c r="I514" i="24"/>
  <c r="I515" i="24" s="1"/>
  <c r="I516" i="24" s="1"/>
  <c r="Q293" i="24"/>
  <c r="C547" i="24"/>
  <c r="E653" i="24"/>
  <c r="F653" i="24" s="1"/>
  <c r="E295" i="24"/>
  <c r="F293" i="24"/>
  <c r="G293" i="24" s="1"/>
  <c r="H293" i="24" s="1"/>
  <c r="I293" i="24" s="1"/>
  <c r="J293" i="24" s="1"/>
  <c r="K293" i="24" s="1"/>
  <c r="L293" i="24" s="1"/>
  <c r="M293" i="24" s="1"/>
  <c r="N293" i="24" s="1"/>
  <c r="O293" i="24" s="1"/>
  <c r="P293" i="24" s="1"/>
  <c r="Q298" i="24"/>
  <c r="R298" i="24" s="1"/>
  <c r="E500" i="24" s="1"/>
  <c r="F308" i="24"/>
  <c r="F311" i="24"/>
  <c r="E314" i="24"/>
  <c r="C380" i="24"/>
  <c r="F282" i="24"/>
  <c r="R282" i="24"/>
  <c r="R295" i="24" s="1"/>
  <c r="F285" i="24"/>
  <c r="G285" i="24" s="1"/>
  <c r="H285" i="24" s="1"/>
  <c r="I285" i="24" s="1"/>
  <c r="J285" i="24" s="1"/>
  <c r="K285" i="24" s="1"/>
  <c r="L285" i="24" s="1"/>
  <c r="M285" i="24" s="1"/>
  <c r="N285" i="24" s="1"/>
  <c r="O285" i="24" s="1"/>
  <c r="P285" i="24" s="1"/>
  <c r="F288" i="24"/>
  <c r="G288" i="24" s="1"/>
  <c r="H288" i="24" s="1"/>
  <c r="I288" i="24" s="1"/>
  <c r="J288" i="24" s="1"/>
  <c r="K288" i="24" s="1"/>
  <c r="L288" i="24" s="1"/>
  <c r="M288" i="24" s="1"/>
  <c r="N288" i="24" s="1"/>
  <c r="O288" i="24" s="1"/>
  <c r="P288" i="24" s="1"/>
  <c r="Q291" i="24"/>
  <c r="Q310" i="24"/>
  <c r="Q313" i="24"/>
  <c r="G433" i="24"/>
  <c r="Q283" i="24"/>
  <c r="Q286" i="24"/>
  <c r="F283" i="24"/>
  <c r="G283" i="24" s="1"/>
  <c r="H283" i="24" s="1"/>
  <c r="I283" i="24" s="1"/>
  <c r="J283" i="24" s="1"/>
  <c r="K283" i="24" s="1"/>
  <c r="L283" i="24" s="1"/>
  <c r="M283" i="24" s="1"/>
  <c r="N283" i="24" s="1"/>
  <c r="O283" i="24" s="1"/>
  <c r="P283" i="24" s="1"/>
  <c r="F286" i="24"/>
  <c r="G286" i="24" s="1"/>
  <c r="H286" i="24" s="1"/>
  <c r="I286" i="24" s="1"/>
  <c r="J286" i="24" s="1"/>
  <c r="K286" i="24" s="1"/>
  <c r="L286" i="24" s="1"/>
  <c r="M286" i="24" s="1"/>
  <c r="N286" i="24" s="1"/>
  <c r="O286" i="24" s="1"/>
  <c r="P286" i="24" s="1"/>
  <c r="F289" i="24"/>
  <c r="G289" i="24" s="1"/>
  <c r="H289" i="24" s="1"/>
  <c r="I289" i="24" s="1"/>
  <c r="J289" i="24" s="1"/>
  <c r="K289" i="24" s="1"/>
  <c r="L289" i="24" s="1"/>
  <c r="M289" i="24" s="1"/>
  <c r="N289" i="24" s="1"/>
  <c r="O289" i="24" s="1"/>
  <c r="P289" i="24" s="1"/>
  <c r="Q309" i="24"/>
  <c r="Q312" i="24"/>
  <c r="G315" i="24"/>
  <c r="H315" i="24" s="1"/>
  <c r="I315" i="24" s="1"/>
  <c r="J315" i="24" s="1"/>
  <c r="K315" i="24" s="1"/>
  <c r="L315" i="24" s="1"/>
  <c r="M315" i="24" s="1"/>
  <c r="N315" i="24" s="1"/>
  <c r="O315" i="24" s="1"/>
  <c r="P315" i="24" s="1"/>
  <c r="Q315" i="24"/>
  <c r="D383" i="24"/>
  <c r="C656" i="24"/>
  <c r="G519" i="24"/>
  <c r="H435" i="24"/>
  <c r="G530" i="24"/>
  <c r="G682" i="24" s="1"/>
  <c r="E514" i="24"/>
  <c r="F514" i="24"/>
  <c r="F515" i="24" s="1"/>
  <c r="F516" i="24" s="1"/>
  <c r="H576" i="24"/>
  <c r="H514" i="24"/>
  <c r="H577" i="24"/>
  <c r="G205" i="23"/>
  <c r="E199" i="23"/>
  <c r="E200" i="23"/>
  <c r="E210" i="23"/>
  <c r="D210" i="23"/>
  <c r="E220" i="23" s="1"/>
  <c r="D209" i="23"/>
  <c r="E219" i="23" s="1"/>
  <c r="F220" i="23"/>
  <c r="F200" i="23"/>
  <c r="E209" i="23"/>
  <c r="F25" i="21"/>
  <c r="F24" i="21"/>
  <c r="C138" i="3"/>
  <c r="C137" i="3"/>
  <c r="C136" i="3"/>
  <c r="C114" i="3"/>
  <c r="C107" i="3"/>
  <c r="E99" i="3"/>
  <c r="E98" i="3"/>
  <c r="E97" i="3"/>
  <c r="R300" i="24" l="1"/>
  <c r="R300" i="25"/>
  <c r="H468" i="25"/>
  <c r="I468" i="25"/>
  <c r="I435" i="25"/>
  <c r="I442" i="25" s="1"/>
  <c r="G469" i="24"/>
  <c r="E531" i="25"/>
  <c r="F499" i="25"/>
  <c r="G201" i="25"/>
  <c r="F210" i="25"/>
  <c r="F464" i="25"/>
  <c r="D256" i="25"/>
  <c r="E219" i="25"/>
  <c r="E221" i="25" s="1"/>
  <c r="F314" i="25"/>
  <c r="G314" i="25" s="1"/>
  <c r="H314" i="25" s="1"/>
  <c r="I314" i="25" s="1"/>
  <c r="J314" i="25" s="1"/>
  <c r="K314" i="25" s="1"/>
  <c r="L314" i="25" s="1"/>
  <c r="M314" i="25" s="1"/>
  <c r="N314" i="25" s="1"/>
  <c r="O314" i="25" s="1"/>
  <c r="P314" i="25" s="1"/>
  <c r="R320" i="25"/>
  <c r="E320" i="25" s="1"/>
  <c r="R316" i="25"/>
  <c r="I653" i="25"/>
  <c r="I656" i="25" s="1"/>
  <c r="C701" i="25" s="1"/>
  <c r="F656" i="25"/>
  <c r="E507" i="25"/>
  <c r="E483" i="25"/>
  <c r="E498" i="25" s="1"/>
  <c r="E209" i="25"/>
  <c r="F200" i="25"/>
  <c r="R314" i="25"/>
  <c r="R319" i="25" s="1"/>
  <c r="H515" i="25"/>
  <c r="H516" i="25" s="1"/>
  <c r="H519" i="25"/>
  <c r="H530" i="25" s="1"/>
  <c r="H682" i="25" s="1"/>
  <c r="G519" i="25"/>
  <c r="G530" i="25" s="1"/>
  <c r="G682" i="25" s="1"/>
  <c r="G282" i="25"/>
  <c r="F295" i="25"/>
  <c r="F300" i="25" s="1"/>
  <c r="D344" i="25"/>
  <c r="E74" i="25"/>
  <c r="E65" i="25"/>
  <c r="G468" i="25"/>
  <c r="H413" i="25"/>
  <c r="H439" i="25" s="1"/>
  <c r="H452" i="25" s="1"/>
  <c r="G393" i="25"/>
  <c r="E519" i="25"/>
  <c r="E530" i="25" s="1"/>
  <c r="E682" i="25" s="1"/>
  <c r="G467" i="25"/>
  <c r="F481" i="25"/>
  <c r="G291" i="25"/>
  <c r="H291" i="25" s="1"/>
  <c r="I291" i="25" s="1"/>
  <c r="J291" i="25" s="1"/>
  <c r="K291" i="25" s="1"/>
  <c r="L291" i="25" s="1"/>
  <c r="M291" i="25" s="1"/>
  <c r="N291" i="25" s="1"/>
  <c r="O291" i="25" s="1"/>
  <c r="P291" i="25" s="1"/>
  <c r="H576" i="25"/>
  <c r="H577" i="25"/>
  <c r="H440" i="25"/>
  <c r="I433" i="25"/>
  <c r="Q310" i="25"/>
  <c r="E255" i="25"/>
  <c r="F255" i="25" s="1"/>
  <c r="G255" i="25" s="1"/>
  <c r="H255" i="25" s="1"/>
  <c r="I255" i="25" s="1"/>
  <c r="J255" i="25" s="1"/>
  <c r="K255" i="25" s="1"/>
  <c r="L255" i="25" s="1"/>
  <c r="M255" i="25" s="1"/>
  <c r="N255" i="25" s="1"/>
  <c r="O255" i="25" s="1"/>
  <c r="P255" i="25" s="1"/>
  <c r="D260" i="25"/>
  <c r="D335" i="25"/>
  <c r="D368" i="25" s="1"/>
  <c r="G199" i="25"/>
  <c r="F208" i="25"/>
  <c r="I515" i="25"/>
  <c r="I516" i="25" s="1"/>
  <c r="I519" i="25"/>
  <c r="I530" i="25" s="1"/>
  <c r="I682" i="25" s="1"/>
  <c r="F537" i="25"/>
  <c r="F680" i="25"/>
  <c r="G678" i="25"/>
  <c r="H526" i="25"/>
  <c r="Q311" i="25"/>
  <c r="F519" i="25"/>
  <c r="F530" i="25" s="1"/>
  <c r="F682" i="25" s="1"/>
  <c r="H441" i="25"/>
  <c r="I434" i="25"/>
  <c r="E532" i="25"/>
  <c r="F500" i="25"/>
  <c r="Q308" i="25"/>
  <c r="G294" i="25"/>
  <c r="H294" i="25" s="1"/>
  <c r="I294" i="25" s="1"/>
  <c r="J294" i="25" s="1"/>
  <c r="K294" i="25" s="1"/>
  <c r="L294" i="25" s="1"/>
  <c r="M294" i="25" s="1"/>
  <c r="N294" i="25" s="1"/>
  <c r="O294" i="25" s="1"/>
  <c r="P294" i="25" s="1"/>
  <c r="Q294" i="25"/>
  <c r="Q288" i="25"/>
  <c r="F262" i="25"/>
  <c r="G253" i="25"/>
  <c r="G53" i="25"/>
  <c r="H33" i="25"/>
  <c r="H53" i="25" s="1"/>
  <c r="I653" i="24"/>
  <c r="I656" i="24" s="1"/>
  <c r="C701" i="24" s="1"/>
  <c r="F656" i="24"/>
  <c r="D338" i="24"/>
  <c r="D370" i="24" s="1"/>
  <c r="E256" i="24"/>
  <c r="F256" i="24" s="1"/>
  <c r="G256" i="24" s="1"/>
  <c r="H256" i="24" s="1"/>
  <c r="I256" i="24" s="1"/>
  <c r="J256" i="24" s="1"/>
  <c r="K256" i="24" s="1"/>
  <c r="L256" i="24" s="1"/>
  <c r="M256" i="24" s="1"/>
  <c r="N256" i="24" s="1"/>
  <c r="O256" i="24" s="1"/>
  <c r="P256" i="24" s="1"/>
  <c r="H413" i="24"/>
  <c r="H439" i="24" s="1"/>
  <c r="H452" i="24" s="1"/>
  <c r="G393" i="24"/>
  <c r="G311" i="24"/>
  <c r="H311" i="24" s="1"/>
  <c r="I311" i="24" s="1"/>
  <c r="J311" i="24" s="1"/>
  <c r="K311" i="24" s="1"/>
  <c r="L311" i="24" s="1"/>
  <c r="M311" i="24" s="1"/>
  <c r="N311" i="24" s="1"/>
  <c r="O311" i="24" s="1"/>
  <c r="P311" i="24" s="1"/>
  <c r="E220" i="24"/>
  <c r="E221" i="24" s="1"/>
  <c r="I469" i="24"/>
  <c r="J464" i="24"/>
  <c r="J469" i="24" s="1"/>
  <c r="F481" i="24"/>
  <c r="G467" i="24"/>
  <c r="F463" i="24"/>
  <c r="D255" i="24"/>
  <c r="I576" i="24"/>
  <c r="G282" i="24"/>
  <c r="F295" i="24"/>
  <c r="F300" i="24" s="1"/>
  <c r="G308" i="24"/>
  <c r="H308" i="24" s="1"/>
  <c r="I308" i="24" s="1"/>
  <c r="J308" i="24" s="1"/>
  <c r="K308" i="24" s="1"/>
  <c r="L308" i="24" s="1"/>
  <c r="M308" i="24" s="1"/>
  <c r="N308" i="24" s="1"/>
  <c r="O308" i="24" s="1"/>
  <c r="P308" i="24" s="1"/>
  <c r="Q308" i="24"/>
  <c r="E300" i="24"/>
  <c r="D354" i="24"/>
  <c r="G678" i="24"/>
  <c r="H526" i="24"/>
  <c r="H33" i="24"/>
  <c r="H53" i="24" s="1"/>
  <c r="G53" i="24"/>
  <c r="G200" i="24"/>
  <c r="F209" i="24"/>
  <c r="G290" i="24"/>
  <c r="H290" i="24" s="1"/>
  <c r="I290" i="24" s="1"/>
  <c r="J290" i="24" s="1"/>
  <c r="K290" i="24" s="1"/>
  <c r="L290" i="24" s="1"/>
  <c r="M290" i="24" s="1"/>
  <c r="N290" i="24" s="1"/>
  <c r="O290" i="24" s="1"/>
  <c r="P290" i="24" s="1"/>
  <c r="H441" i="24"/>
  <c r="I434" i="24"/>
  <c r="H262" i="24"/>
  <c r="I253" i="24"/>
  <c r="I201" i="24"/>
  <c r="H210" i="24"/>
  <c r="H515" i="24"/>
  <c r="H516" i="24" s="1"/>
  <c r="H519" i="24"/>
  <c r="H530" i="24" s="1"/>
  <c r="H682" i="24" s="1"/>
  <c r="Q285" i="24"/>
  <c r="F519" i="24"/>
  <c r="F530" i="24" s="1"/>
  <c r="F682" i="24" s="1"/>
  <c r="F500" i="24"/>
  <c r="E532" i="24"/>
  <c r="F499" i="24"/>
  <c r="E531" i="24"/>
  <c r="E502" i="24"/>
  <c r="D344" i="24"/>
  <c r="E74" i="24"/>
  <c r="E65" i="24"/>
  <c r="E67" i="24" s="1"/>
  <c r="Q288" i="24"/>
  <c r="R316" i="24"/>
  <c r="F314" i="24"/>
  <c r="G314" i="24" s="1"/>
  <c r="H314" i="24" s="1"/>
  <c r="I314" i="24" s="1"/>
  <c r="J314" i="24" s="1"/>
  <c r="K314" i="24" s="1"/>
  <c r="L314" i="24" s="1"/>
  <c r="M314" i="24" s="1"/>
  <c r="N314" i="24" s="1"/>
  <c r="O314" i="24" s="1"/>
  <c r="P314" i="24" s="1"/>
  <c r="R320" i="24"/>
  <c r="E320" i="24" s="1"/>
  <c r="Q314" i="24"/>
  <c r="P251" i="24"/>
  <c r="F265" i="24" s="1"/>
  <c r="F199" i="24"/>
  <c r="E208" i="24"/>
  <c r="G210" i="24"/>
  <c r="I435" i="24"/>
  <c r="H442" i="24"/>
  <c r="H433" i="24"/>
  <c r="G440" i="24"/>
  <c r="G443" i="24" s="1"/>
  <c r="F528" i="24" s="1"/>
  <c r="E515" i="24"/>
  <c r="E516" i="24" s="1"/>
  <c r="Q289" i="24"/>
  <c r="H469" i="24"/>
  <c r="Q284" i="24"/>
  <c r="E507" i="24"/>
  <c r="E483" i="24"/>
  <c r="E498" i="24" s="1"/>
  <c r="Q287" i="24"/>
  <c r="D261" i="24"/>
  <c r="H205" i="23"/>
  <c r="G210" i="23"/>
  <c r="E208" i="23"/>
  <c r="F199" i="23"/>
  <c r="G200" i="23"/>
  <c r="F209" i="23"/>
  <c r="E218" i="23"/>
  <c r="E221" i="23" s="1"/>
  <c r="I125" i="3"/>
  <c r="F74" i="21"/>
  <c r="E42" i="20"/>
  <c r="I576" i="25" l="1"/>
  <c r="J435" i="25"/>
  <c r="J442" i="25" s="1"/>
  <c r="H678" i="25"/>
  <c r="I526" i="25"/>
  <c r="I678" i="25" s="1"/>
  <c r="G481" i="25"/>
  <c r="H467" i="25"/>
  <c r="H201" i="25"/>
  <c r="G210" i="25"/>
  <c r="F689" i="25"/>
  <c r="G208" i="25"/>
  <c r="H199" i="25"/>
  <c r="I440" i="25"/>
  <c r="J433" i="25"/>
  <c r="J440" i="25" s="1"/>
  <c r="D346" i="25"/>
  <c r="C663" i="25" s="1"/>
  <c r="E76" i="25"/>
  <c r="E77" i="25" s="1"/>
  <c r="F209" i="25"/>
  <c r="G200" i="25"/>
  <c r="E316" i="25"/>
  <c r="R317" i="25"/>
  <c r="F531" i="25"/>
  <c r="G499" i="25"/>
  <c r="F502" i="25"/>
  <c r="I413" i="25"/>
  <c r="I439" i="25" s="1"/>
  <c r="I452" i="25" s="1"/>
  <c r="H393" i="25"/>
  <c r="J413" i="25" s="1"/>
  <c r="J439" i="25" s="1"/>
  <c r="J452" i="25" s="1"/>
  <c r="I441" i="25"/>
  <c r="J434" i="25"/>
  <c r="J441" i="25" s="1"/>
  <c r="F507" i="25"/>
  <c r="F483" i="25"/>
  <c r="F498" i="25" s="1"/>
  <c r="D378" i="25"/>
  <c r="E368" i="25"/>
  <c r="H443" i="25"/>
  <c r="G528" i="25" s="1"/>
  <c r="Q291" i="25"/>
  <c r="E67" i="25"/>
  <c r="H282" i="25"/>
  <c r="G295" i="25"/>
  <c r="G300" i="25" s="1"/>
  <c r="F320" i="25"/>
  <c r="G320" i="25" s="1"/>
  <c r="H320" i="25" s="1"/>
  <c r="I320" i="25" s="1"/>
  <c r="J320" i="25" s="1"/>
  <c r="K320" i="25" s="1"/>
  <c r="L320" i="25" s="1"/>
  <c r="M320" i="25" s="1"/>
  <c r="N320" i="25" s="1"/>
  <c r="O320" i="25" s="1"/>
  <c r="P320" i="25" s="1"/>
  <c r="D338" i="25"/>
  <c r="D370" i="25" s="1"/>
  <c r="E256" i="25"/>
  <c r="F256" i="25" s="1"/>
  <c r="G256" i="25" s="1"/>
  <c r="H256" i="25" s="1"/>
  <c r="I256" i="25" s="1"/>
  <c r="J256" i="25" s="1"/>
  <c r="K256" i="25" s="1"/>
  <c r="L256" i="25" s="1"/>
  <c r="M256" i="25" s="1"/>
  <c r="N256" i="25" s="1"/>
  <c r="O256" i="25" s="1"/>
  <c r="P256" i="25" s="1"/>
  <c r="D261" i="25"/>
  <c r="E683" i="25"/>
  <c r="E691" i="25" s="1"/>
  <c r="E539" i="25"/>
  <c r="E684" i="25"/>
  <c r="E692" i="25" s="1"/>
  <c r="E540" i="25"/>
  <c r="H359" i="25"/>
  <c r="C665" i="25"/>
  <c r="H253" i="25"/>
  <c r="G262" i="25"/>
  <c r="F532" i="25"/>
  <c r="G500" i="25"/>
  <c r="E270" i="25"/>
  <c r="E260" i="25"/>
  <c r="F260" i="25" s="1"/>
  <c r="G260" i="25" s="1"/>
  <c r="H260" i="25" s="1"/>
  <c r="I260" i="25" s="1"/>
  <c r="J260" i="25" s="1"/>
  <c r="K260" i="25" s="1"/>
  <c r="L260" i="25" s="1"/>
  <c r="M260" i="25" s="1"/>
  <c r="N260" i="25" s="1"/>
  <c r="O260" i="25" s="1"/>
  <c r="P260" i="25"/>
  <c r="F270" i="25" s="1"/>
  <c r="Q314" i="25"/>
  <c r="G464" i="25"/>
  <c r="F469" i="25"/>
  <c r="F471" i="25" s="1"/>
  <c r="E529" i="25" s="1"/>
  <c r="E681" i="25" s="1"/>
  <c r="E82" i="24"/>
  <c r="E83" i="24"/>
  <c r="C89" i="24" s="1"/>
  <c r="E683" i="24"/>
  <c r="E691" i="24" s="1"/>
  <c r="E539" i="24"/>
  <c r="I441" i="24"/>
  <c r="J434" i="24"/>
  <c r="J441" i="24" s="1"/>
  <c r="D380" i="24"/>
  <c r="E370" i="24"/>
  <c r="I433" i="24"/>
  <c r="H440" i="24"/>
  <c r="H443" i="24" s="1"/>
  <c r="G528" i="24" s="1"/>
  <c r="F208" i="24"/>
  <c r="G199" i="24"/>
  <c r="Q320" i="24"/>
  <c r="F320" i="24"/>
  <c r="G320" i="24" s="1"/>
  <c r="H320" i="24" s="1"/>
  <c r="I320" i="24" s="1"/>
  <c r="J320" i="24" s="1"/>
  <c r="K320" i="24" s="1"/>
  <c r="L320" i="24" s="1"/>
  <c r="M320" i="24" s="1"/>
  <c r="N320" i="24" s="1"/>
  <c r="O320" i="24" s="1"/>
  <c r="P320" i="24" s="1"/>
  <c r="E684" i="24"/>
  <c r="E692" i="24" s="1"/>
  <c r="E540" i="24"/>
  <c r="Q290" i="24"/>
  <c r="H678" i="24"/>
  <c r="I526" i="24"/>
  <c r="I678" i="24" s="1"/>
  <c r="Q311" i="24"/>
  <c r="G295" i="24"/>
  <c r="G300" i="24" s="1"/>
  <c r="H282" i="24"/>
  <c r="F507" i="24"/>
  <c r="F483" i="24"/>
  <c r="F498" i="24" s="1"/>
  <c r="F531" i="24"/>
  <c r="F502" i="24"/>
  <c r="G499" i="24"/>
  <c r="I210" i="24"/>
  <c r="J201" i="24"/>
  <c r="I442" i="24"/>
  <c r="J435" i="24"/>
  <c r="J442" i="24" s="1"/>
  <c r="R317" i="24"/>
  <c r="E316" i="24"/>
  <c r="C665" i="24"/>
  <c r="H359" i="24"/>
  <c r="I262" i="24"/>
  <c r="J253" i="24"/>
  <c r="H354" i="24"/>
  <c r="I413" i="24"/>
  <c r="I439" i="24" s="1"/>
  <c r="I452" i="24" s="1"/>
  <c r="H393" i="24"/>
  <c r="J413" i="24" s="1"/>
  <c r="J439" i="24" s="1"/>
  <c r="J452" i="24" s="1"/>
  <c r="G463" i="24"/>
  <c r="F468" i="24"/>
  <c r="F471" i="24" s="1"/>
  <c r="E529" i="24" s="1"/>
  <c r="E681" i="24" s="1"/>
  <c r="F537" i="24"/>
  <c r="F680" i="24"/>
  <c r="D346" i="24"/>
  <c r="C663" i="24" s="1"/>
  <c r="C668" i="24" s="1"/>
  <c r="E76" i="24"/>
  <c r="E261" i="24"/>
  <c r="F261" i="24" s="1"/>
  <c r="G261" i="24" s="1"/>
  <c r="H261" i="24" s="1"/>
  <c r="I261" i="24" s="1"/>
  <c r="J261" i="24" s="1"/>
  <c r="K261" i="24" s="1"/>
  <c r="L261" i="24" s="1"/>
  <c r="M261" i="24" s="1"/>
  <c r="N261" i="24" s="1"/>
  <c r="O261" i="24" s="1"/>
  <c r="P261" i="24"/>
  <c r="F271" i="24" s="1"/>
  <c r="E271" i="24"/>
  <c r="E77" i="24"/>
  <c r="F532" i="24"/>
  <c r="G500" i="24"/>
  <c r="E519" i="24"/>
  <c r="E530" i="24" s="1"/>
  <c r="E682" i="24" s="1"/>
  <c r="G209" i="24"/>
  <c r="H200" i="24"/>
  <c r="E255" i="24"/>
  <c r="F255" i="24" s="1"/>
  <c r="G255" i="24" s="1"/>
  <c r="H255" i="24" s="1"/>
  <c r="I255" i="24" s="1"/>
  <c r="J255" i="24" s="1"/>
  <c r="K255" i="24" s="1"/>
  <c r="L255" i="24" s="1"/>
  <c r="M255" i="24" s="1"/>
  <c r="N255" i="24" s="1"/>
  <c r="O255" i="24" s="1"/>
  <c r="P255" i="24" s="1"/>
  <c r="D335" i="24"/>
  <c r="D368" i="24" s="1"/>
  <c r="D260" i="24"/>
  <c r="G481" i="24"/>
  <c r="H467" i="24"/>
  <c r="I205" i="23"/>
  <c r="H210" i="23"/>
  <c r="H200" i="23"/>
  <c r="G209" i="23"/>
  <c r="G199" i="23"/>
  <c r="F208" i="23"/>
  <c r="F551" i="23"/>
  <c r="G551" i="23" s="1"/>
  <c r="H551" i="23" s="1"/>
  <c r="I551" i="23" s="1"/>
  <c r="C547" i="23"/>
  <c r="D545" i="23"/>
  <c r="E545" i="23" s="1"/>
  <c r="F545" i="23" s="1"/>
  <c r="G545" i="23" s="1"/>
  <c r="H545" i="23" s="1"/>
  <c r="I545" i="23" s="1"/>
  <c r="I542" i="23"/>
  <c r="H542" i="23"/>
  <c r="G542" i="23"/>
  <c r="F542" i="23"/>
  <c r="E542" i="23"/>
  <c r="I541" i="23"/>
  <c r="H541" i="23"/>
  <c r="G541" i="23"/>
  <c r="F541" i="23"/>
  <c r="E541" i="23"/>
  <c r="I528" i="23"/>
  <c r="H528" i="23"/>
  <c r="G528" i="23"/>
  <c r="F528" i="23"/>
  <c r="E528" i="23"/>
  <c r="E526" i="23"/>
  <c r="F526" i="23" s="1"/>
  <c r="G526" i="23" s="1"/>
  <c r="H526" i="23" s="1"/>
  <c r="I526" i="23" s="1"/>
  <c r="B518" i="23"/>
  <c r="B517" i="23"/>
  <c r="B516" i="23"/>
  <c r="B515" i="23"/>
  <c r="B514" i="23"/>
  <c r="I513" i="23"/>
  <c r="I518" i="23" s="1"/>
  <c r="H513" i="23"/>
  <c r="H518" i="23" s="1"/>
  <c r="G513" i="23"/>
  <c r="G518" i="23" s="1"/>
  <c r="F513" i="23"/>
  <c r="F518" i="23" s="1"/>
  <c r="E513" i="23"/>
  <c r="E518" i="23" s="1"/>
  <c r="B513" i="23"/>
  <c r="J461" i="23"/>
  <c r="I461" i="23"/>
  <c r="H461" i="23"/>
  <c r="G461" i="23"/>
  <c r="J460" i="23"/>
  <c r="I460" i="23"/>
  <c r="H460" i="23"/>
  <c r="G460" i="23"/>
  <c r="J459" i="23"/>
  <c r="I459" i="23"/>
  <c r="H459" i="23"/>
  <c r="G459" i="23"/>
  <c r="J455" i="23"/>
  <c r="J470" i="23" s="1"/>
  <c r="I455" i="23"/>
  <c r="I470" i="23" s="1"/>
  <c r="H455" i="23"/>
  <c r="H470" i="23" s="1"/>
  <c r="G455" i="23"/>
  <c r="G470" i="23" s="1"/>
  <c r="F455" i="23"/>
  <c r="F470" i="23" s="1"/>
  <c r="J454" i="23"/>
  <c r="I454" i="23"/>
  <c r="H454" i="23"/>
  <c r="G454" i="23"/>
  <c r="F454" i="23"/>
  <c r="J453" i="23"/>
  <c r="I453" i="23"/>
  <c r="H453" i="23"/>
  <c r="G453" i="23"/>
  <c r="F453" i="23"/>
  <c r="J431" i="23"/>
  <c r="I431" i="23"/>
  <c r="H431" i="23"/>
  <c r="G431" i="23"/>
  <c r="J430" i="23"/>
  <c r="I430" i="23"/>
  <c r="H430" i="23"/>
  <c r="G430" i="23"/>
  <c r="J429" i="23"/>
  <c r="I429" i="23"/>
  <c r="H429" i="23"/>
  <c r="G429" i="23"/>
  <c r="J420" i="23"/>
  <c r="I420" i="23"/>
  <c r="H420" i="23"/>
  <c r="G420" i="23"/>
  <c r="J419" i="23"/>
  <c r="I419" i="23"/>
  <c r="H419" i="23"/>
  <c r="G419" i="23"/>
  <c r="J418" i="23"/>
  <c r="I418" i="23"/>
  <c r="H418" i="23"/>
  <c r="G418" i="23"/>
  <c r="J417" i="23"/>
  <c r="I417" i="23"/>
  <c r="H417" i="23"/>
  <c r="G417" i="23"/>
  <c r="J416" i="23"/>
  <c r="I416" i="23"/>
  <c r="H416" i="23"/>
  <c r="G416" i="23"/>
  <c r="J415" i="23"/>
  <c r="I415" i="23"/>
  <c r="H415" i="23"/>
  <c r="G415" i="23"/>
  <c r="H399" i="23"/>
  <c r="H402" i="23" s="1"/>
  <c r="G399" i="23"/>
  <c r="G402" i="23" s="1"/>
  <c r="F399" i="23"/>
  <c r="F402" i="23" s="1"/>
  <c r="E399" i="23"/>
  <c r="E402" i="23" s="1"/>
  <c r="E393" i="23"/>
  <c r="G413" i="23" s="1"/>
  <c r="G439" i="23" s="1"/>
  <c r="G452" i="23" s="1"/>
  <c r="G382" i="23"/>
  <c r="G380" i="23"/>
  <c r="G378" i="23"/>
  <c r="F384" i="23"/>
  <c r="A382" i="23"/>
  <c r="A380" i="23"/>
  <c r="A378" i="23"/>
  <c r="D372" i="23"/>
  <c r="D382" i="23" s="1"/>
  <c r="C372" i="23"/>
  <c r="C382" i="23" s="1"/>
  <c r="D371" i="23"/>
  <c r="D383" i="23" s="1"/>
  <c r="C371" i="23"/>
  <c r="C383" i="23" s="1"/>
  <c r="D370" i="23"/>
  <c r="D380" i="23" s="1"/>
  <c r="C370" i="23"/>
  <c r="D369" i="23"/>
  <c r="D379" i="23" s="1"/>
  <c r="C369" i="23"/>
  <c r="C379" i="23" s="1"/>
  <c r="D368" i="23"/>
  <c r="D378" i="23" s="1"/>
  <c r="C368" i="23"/>
  <c r="C378" i="23" s="1"/>
  <c r="H357" i="23"/>
  <c r="H356" i="23"/>
  <c r="F321" i="23"/>
  <c r="F315" i="23"/>
  <c r="G315" i="23" s="1"/>
  <c r="E313" i="23"/>
  <c r="F313" i="23" s="1"/>
  <c r="G313" i="23" s="1"/>
  <c r="H313" i="23" s="1"/>
  <c r="I313" i="23" s="1"/>
  <c r="J313" i="23" s="1"/>
  <c r="K313" i="23" s="1"/>
  <c r="L313" i="23" s="1"/>
  <c r="M313" i="23" s="1"/>
  <c r="N313" i="23" s="1"/>
  <c r="O313" i="23" s="1"/>
  <c r="P313" i="23" s="1"/>
  <c r="E312" i="23"/>
  <c r="F312" i="23" s="1"/>
  <c r="G312" i="23" s="1"/>
  <c r="H312" i="23" s="1"/>
  <c r="I312" i="23" s="1"/>
  <c r="J312" i="23" s="1"/>
  <c r="K312" i="23" s="1"/>
  <c r="L312" i="23" s="1"/>
  <c r="M312" i="23" s="1"/>
  <c r="N312" i="23" s="1"/>
  <c r="O312" i="23" s="1"/>
  <c r="P312" i="23" s="1"/>
  <c r="E311" i="23"/>
  <c r="F311" i="23" s="1"/>
  <c r="G311" i="23" s="1"/>
  <c r="H311" i="23" s="1"/>
  <c r="I311" i="23" s="1"/>
  <c r="J311" i="23" s="1"/>
  <c r="K311" i="23" s="1"/>
  <c r="L311" i="23" s="1"/>
  <c r="M311" i="23" s="1"/>
  <c r="N311" i="23" s="1"/>
  <c r="O311" i="23" s="1"/>
  <c r="P311" i="23" s="1"/>
  <c r="E310" i="23"/>
  <c r="R310" i="23" s="1"/>
  <c r="E309" i="23"/>
  <c r="R309" i="23" s="1"/>
  <c r="E308" i="23"/>
  <c r="F308" i="23" s="1"/>
  <c r="G308" i="23" s="1"/>
  <c r="H308" i="23" s="1"/>
  <c r="I308" i="23" s="1"/>
  <c r="J308" i="23" s="1"/>
  <c r="K308" i="23" s="1"/>
  <c r="L308" i="23" s="1"/>
  <c r="M308" i="23" s="1"/>
  <c r="N308" i="23" s="1"/>
  <c r="O308" i="23" s="1"/>
  <c r="P308" i="23" s="1"/>
  <c r="F299" i="23"/>
  <c r="P298" i="23"/>
  <c r="O298" i="23"/>
  <c r="N298" i="23"/>
  <c r="M298" i="23"/>
  <c r="L298" i="23"/>
  <c r="K298" i="23"/>
  <c r="J298" i="23"/>
  <c r="I298" i="23"/>
  <c r="H298" i="23"/>
  <c r="G298" i="23"/>
  <c r="F298" i="23"/>
  <c r="E298" i="23"/>
  <c r="D360" i="23" s="1"/>
  <c r="P297" i="23"/>
  <c r="O297" i="23"/>
  <c r="N297" i="23"/>
  <c r="M297" i="23"/>
  <c r="L297" i="23"/>
  <c r="K297" i="23"/>
  <c r="J297" i="23"/>
  <c r="I297" i="23"/>
  <c r="H297" i="23"/>
  <c r="G297" i="23"/>
  <c r="F297" i="23"/>
  <c r="E297" i="23"/>
  <c r="D359" i="23" s="1"/>
  <c r="F296" i="23"/>
  <c r="E294" i="23"/>
  <c r="R294" i="23" s="1"/>
  <c r="E293" i="23"/>
  <c r="R293" i="23" s="1"/>
  <c r="E292" i="23"/>
  <c r="R292" i="23" s="1"/>
  <c r="E291" i="23"/>
  <c r="C290" i="23"/>
  <c r="E290" i="23" s="1"/>
  <c r="R290" i="23" s="1"/>
  <c r="E289" i="23"/>
  <c r="R289" i="23" s="1"/>
  <c r="E288" i="23"/>
  <c r="R288" i="23" s="1"/>
  <c r="E287" i="23"/>
  <c r="F287" i="23" s="1"/>
  <c r="G287" i="23" s="1"/>
  <c r="H287" i="23" s="1"/>
  <c r="I287" i="23" s="1"/>
  <c r="J287" i="23" s="1"/>
  <c r="K287" i="23" s="1"/>
  <c r="L287" i="23" s="1"/>
  <c r="M287" i="23" s="1"/>
  <c r="N287" i="23" s="1"/>
  <c r="O287" i="23" s="1"/>
  <c r="P287" i="23" s="1"/>
  <c r="E286" i="23"/>
  <c r="R286" i="23" s="1"/>
  <c r="E285" i="23"/>
  <c r="E284" i="23"/>
  <c r="R284" i="23" s="1"/>
  <c r="E283" i="23"/>
  <c r="E282" i="23"/>
  <c r="R282" i="23" s="1"/>
  <c r="E272" i="23"/>
  <c r="E271" i="23"/>
  <c r="E270" i="23"/>
  <c r="E267" i="23"/>
  <c r="C267" i="23"/>
  <c r="C272" i="23" s="1"/>
  <c r="C266" i="23"/>
  <c r="C271" i="23" s="1"/>
  <c r="C265" i="23"/>
  <c r="C270" i="23" s="1"/>
  <c r="E253" i="23"/>
  <c r="F253" i="23" s="1"/>
  <c r="G253" i="23" s="1"/>
  <c r="H253" i="23" s="1"/>
  <c r="I253" i="23" s="1"/>
  <c r="J253" i="23" s="1"/>
  <c r="K253" i="23" s="1"/>
  <c r="L253" i="23" s="1"/>
  <c r="M253" i="23" s="1"/>
  <c r="N253" i="23" s="1"/>
  <c r="O253" i="23" s="1"/>
  <c r="E257" i="23"/>
  <c r="E260" i="23"/>
  <c r="F260" i="23" s="1"/>
  <c r="G260" i="23" s="1"/>
  <c r="H260" i="23" s="1"/>
  <c r="I260" i="23" s="1"/>
  <c r="J260" i="23" s="1"/>
  <c r="K260" i="23" s="1"/>
  <c r="L260" i="23" s="1"/>
  <c r="M260" i="23" s="1"/>
  <c r="N260" i="23" s="1"/>
  <c r="O260" i="23" s="1"/>
  <c r="E261" i="23"/>
  <c r="F261" i="23" s="1"/>
  <c r="G261" i="23" s="1"/>
  <c r="H261" i="23" s="1"/>
  <c r="I261" i="23" s="1"/>
  <c r="J261" i="23" s="1"/>
  <c r="K261" i="23" s="1"/>
  <c r="L261" i="23" s="1"/>
  <c r="M261" i="23" s="1"/>
  <c r="N261" i="23" s="1"/>
  <c r="O261" i="23" s="1"/>
  <c r="F237" i="23"/>
  <c r="F236" i="23"/>
  <c r="F235" i="23"/>
  <c r="F234" i="23"/>
  <c r="F187" i="23"/>
  <c r="F186" i="23"/>
  <c r="C26" i="21"/>
  <c r="C25" i="21"/>
  <c r="C24" i="21"/>
  <c r="G86" i="23"/>
  <c r="C93" i="23" s="1"/>
  <c r="E38" i="23"/>
  <c r="G38" i="23" s="1"/>
  <c r="H38" i="23" s="1"/>
  <c r="E40" i="23"/>
  <c r="G40" i="23" s="1"/>
  <c r="H40" i="23" s="1"/>
  <c r="E44" i="23"/>
  <c r="G44" i="23" s="1"/>
  <c r="H44" i="23" s="1"/>
  <c r="E45" i="23"/>
  <c r="G45" i="23" s="1"/>
  <c r="H45" i="23" s="1"/>
  <c r="E48" i="23"/>
  <c r="G48" i="23" s="1"/>
  <c r="H48" i="23" s="1"/>
  <c r="E49" i="23"/>
  <c r="G49" i="23" s="1"/>
  <c r="H49" i="23" s="1"/>
  <c r="E25" i="20"/>
  <c r="E26" i="20"/>
  <c r="E27" i="20"/>
  <c r="E28" i="20"/>
  <c r="E24" i="20"/>
  <c r="H60" i="23"/>
  <c r="G61" i="23"/>
  <c r="H61" i="23" s="1"/>
  <c r="G62" i="23"/>
  <c r="H62" i="23" s="1"/>
  <c r="E59" i="23"/>
  <c r="G59" i="23" s="1"/>
  <c r="H59" i="23" s="1"/>
  <c r="B59" i="23"/>
  <c r="B51" i="23"/>
  <c r="E51" i="23" s="1"/>
  <c r="G51" i="23" s="1"/>
  <c r="H51" i="23" s="1"/>
  <c r="B50" i="23"/>
  <c r="E50" i="23" s="1"/>
  <c r="G50" i="23" s="1"/>
  <c r="H50" i="23" s="1"/>
  <c r="B47" i="23"/>
  <c r="E47" i="23" s="1"/>
  <c r="G47" i="23" s="1"/>
  <c r="H47" i="23" s="1"/>
  <c r="B46" i="23"/>
  <c r="E46" i="23" s="1"/>
  <c r="G46" i="23" s="1"/>
  <c r="H46" i="23" s="1"/>
  <c r="B43" i="23"/>
  <c r="E43" i="23" s="1"/>
  <c r="G43" i="23" s="1"/>
  <c r="H43" i="23" s="1"/>
  <c r="B42" i="23"/>
  <c r="E42" i="23" s="1"/>
  <c r="G42" i="23" s="1"/>
  <c r="H42" i="23" s="1"/>
  <c r="B41" i="23"/>
  <c r="E41" i="23" s="1"/>
  <c r="G41" i="23" s="1"/>
  <c r="H41" i="23" s="1"/>
  <c r="B39" i="23"/>
  <c r="E39" i="23" s="1"/>
  <c r="G39" i="23" s="1"/>
  <c r="H39" i="23" s="1"/>
  <c r="B37" i="23"/>
  <c r="E37" i="23" s="1"/>
  <c r="G37" i="23" s="1"/>
  <c r="H37" i="23" s="1"/>
  <c r="B36" i="23"/>
  <c r="E36" i="23" s="1"/>
  <c r="G36" i="23" s="1"/>
  <c r="H36" i="23" s="1"/>
  <c r="B35" i="23"/>
  <c r="E35" i="23" s="1"/>
  <c r="G35" i="23" s="1"/>
  <c r="H35" i="23" s="1"/>
  <c r="B34" i="23"/>
  <c r="E34" i="23" s="1"/>
  <c r="G34" i="23" s="1"/>
  <c r="H34" i="23" s="1"/>
  <c r="B33" i="23"/>
  <c r="E33" i="23" s="1"/>
  <c r="G33" i="23" s="1"/>
  <c r="H33" i="23" s="1"/>
  <c r="B57" i="23"/>
  <c r="C57" i="23"/>
  <c r="D57" i="23"/>
  <c r="E57" i="23"/>
  <c r="G58" i="23"/>
  <c r="H58" i="23" s="1"/>
  <c r="C77" i="3"/>
  <c r="I694" i="23"/>
  <c r="H694" i="23"/>
  <c r="G694" i="23"/>
  <c r="F694" i="23"/>
  <c r="E694" i="23"/>
  <c r="D678" i="23"/>
  <c r="F655" i="23"/>
  <c r="I655" i="23" s="1"/>
  <c r="C589" i="23"/>
  <c r="C590" i="23" s="1"/>
  <c r="C591" i="23" s="1"/>
  <c r="C592" i="23" s="1"/>
  <c r="C593" i="23" s="1"/>
  <c r="C594" i="23" s="1"/>
  <c r="C595" i="23" s="1"/>
  <c r="C596" i="23" s="1"/>
  <c r="C597" i="23" s="1"/>
  <c r="C598" i="23" s="1"/>
  <c r="C599" i="23" s="1"/>
  <c r="C600" i="23" s="1"/>
  <c r="C601" i="23" s="1"/>
  <c r="C602" i="23" s="1"/>
  <c r="C603" i="23" s="1"/>
  <c r="C604" i="23" s="1"/>
  <c r="C605" i="23" s="1"/>
  <c r="C606" i="23" s="1"/>
  <c r="C607" i="23" s="1"/>
  <c r="C608" i="23" s="1"/>
  <c r="C609" i="23" s="1"/>
  <c r="C610" i="23" s="1"/>
  <c r="C611" i="23" s="1"/>
  <c r="C612" i="23" s="1"/>
  <c r="C613" i="23" s="1"/>
  <c r="C614" i="23" s="1"/>
  <c r="C615" i="23" s="1"/>
  <c r="C616" i="23" s="1"/>
  <c r="C617" i="23" s="1"/>
  <c r="C618" i="23" s="1"/>
  <c r="C619" i="23" s="1"/>
  <c r="C620" i="23" s="1"/>
  <c r="C621" i="23" s="1"/>
  <c r="C622" i="23" s="1"/>
  <c r="C623" i="23" s="1"/>
  <c r="C624" i="23" s="1"/>
  <c r="C625" i="23" s="1"/>
  <c r="C626" i="23" s="1"/>
  <c r="C627" i="23" s="1"/>
  <c r="C628" i="23" s="1"/>
  <c r="C629" i="23" s="1"/>
  <c r="C630" i="23" s="1"/>
  <c r="C631" i="23" s="1"/>
  <c r="C632" i="23" s="1"/>
  <c r="C633" i="23" s="1"/>
  <c r="C634" i="23" s="1"/>
  <c r="C635" i="23" s="1"/>
  <c r="C636" i="23" s="1"/>
  <c r="C637" i="23" s="1"/>
  <c r="C638" i="23" s="1"/>
  <c r="C639" i="23" s="1"/>
  <c r="C640" i="23" s="1"/>
  <c r="C641" i="23" s="1"/>
  <c r="C642" i="23" s="1"/>
  <c r="C643" i="23" s="1"/>
  <c r="C644" i="23" s="1"/>
  <c r="C645" i="23" s="1"/>
  <c r="C646" i="23" s="1"/>
  <c r="C647" i="23" s="1"/>
  <c r="B500" i="23"/>
  <c r="B499" i="23"/>
  <c r="I480" i="23"/>
  <c r="H480" i="23"/>
  <c r="G480" i="23"/>
  <c r="F480" i="23"/>
  <c r="E480" i="23"/>
  <c r="I479" i="23"/>
  <c r="H479" i="23"/>
  <c r="G479" i="23"/>
  <c r="F479" i="23"/>
  <c r="E479" i="23"/>
  <c r="F413" i="23"/>
  <c r="F439" i="23" s="1"/>
  <c r="F452" i="23" s="1"/>
  <c r="C653" i="23"/>
  <c r="C314" i="23"/>
  <c r="E319" i="23" s="1"/>
  <c r="F319" i="23" s="1"/>
  <c r="G319" i="23" s="1"/>
  <c r="H319" i="23" s="1"/>
  <c r="I319" i="23" s="1"/>
  <c r="J319" i="23" s="1"/>
  <c r="K319" i="23" s="1"/>
  <c r="L319" i="23" s="1"/>
  <c r="M319" i="23" s="1"/>
  <c r="N319" i="23" s="1"/>
  <c r="O319" i="23" s="1"/>
  <c r="P319" i="23" s="1"/>
  <c r="L177" i="23"/>
  <c r="L178" i="23" s="1"/>
  <c r="C90" i="23"/>
  <c r="D84" i="23"/>
  <c r="G532" i="25" l="1"/>
  <c r="H500" i="25"/>
  <c r="G680" i="25"/>
  <c r="G537" i="25"/>
  <c r="I467" i="25"/>
  <c r="H481" i="25"/>
  <c r="I443" i="25"/>
  <c r="H528" i="25" s="1"/>
  <c r="I282" i="25"/>
  <c r="H295" i="25"/>
  <c r="H300" i="25" s="1"/>
  <c r="H464" i="25"/>
  <c r="G469" i="25"/>
  <c r="G471" i="25" s="1"/>
  <c r="F529" i="25" s="1"/>
  <c r="E83" i="25"/>
  <c r="C89" i="25" s="1"/>
  <c r="E82" i="25"/>
  <c r="E84" i="25" s="1"/>
  <c r="C668" i="25"/>
  <c r="G483" i="25"/>
  <c r="G498" i="25" s="1"/>
  <c r="G507" i="25"/>
  <c r="F684" i="25"/>
  <c r="F692" i="25" s="1"/>
  <c r="F540" i="25"/>
  <c r="J443" i="25"/>
  <c r="I528" i="25" s="1"/>
  <c r="I253" i="25"/>
  <c r="H262" i="25"/>
  <c r="Q320" i="25"/>
  <c r="E378" i="25"/>
  <c r="H378" i="25" s="1"/>
  <c r="H200" i="25"/>
  <c r="G209" i="25"/>
  <c r="H210" i="25"/>
  <c r="I201" i="25"/>
  <c r="E271" i="25"/>
  <c r="E273" i="25" s="1"/>
  <c r="E261" i="25"/>
  <c r="F261" i="25" s="1"/>
  <c r="G261" i="25" s="1"/>
  <c r="H261" i="25" s="1"/>
  <c r="I261" i="25" s="1"/>
  <c r="J261" i="25" s="1"/>
  <c r="K261" i="25" s="1"/>
  <c r="L261" i="25" s="1"/>
  <c r="M261" i="25" s="1"/>
  <c r="N261" i="25" s="1"/>
  <c r="O261" i="25" s="1"/>
  <c r="P261" i="25"/>
  <c r="F271" i="25" s="1"/>
  <c r="F683" i="25"/>
  <c r="F691" i="25" s="1"/>
  <c r="F539" i="25"/>
  <c r="R318" i="25"/>
  <c r="E318" i="25" s="1"/>
  <c r="E317" i="25"/>
  <c r="D380" i="25"/>
  <c r="E370" i="25"/>
  <c r="J467" i="25"/>
  <c r="I481" i="25"/>
  <c r="F316" i="25"/>
  <c r="G316" i="25" s="1"/>
  <c r="H316" i="25" s="1"/>
  <c r="I316" i="25" s="1"/>
  <c r="J316" i="25" s="1"/>
  <c r="K316" i="25" s="1"/>
  <c r="L316" i="25" s="1"/>
  <c r="M316" i="25" s="1"/>
  <c r="N316" i="25" s="1"/>
  <c r="O316" i="25" s="1"/>
  <c r="P316" i="25" s="1"/>
  <c r="E322" i="25"/>
  <c r="D347" i="25"/>
  <c r="H499" i="25"/>
  <c r="G531" i="25"/>
  <c r="G502" i="25"/>
  <c r="H208" i="25"/>
  <c r="I199" i="25"/>
  <c r="F689" i="24"/>
  <c r="D347" i="24"/>
  <c r="J210" i="24"/>
  <c r="K201" i="24"/>
  <c r="E380" i="24"/>
  <c r="H380" i="24" s="1"/>
  <c r="I481" i="24"/>
  <c r="J467" i="24"/>
  <c r="F683" i="24"/>
  <c r="F691" i="24" s="1"/>
  <c r="F539" i="24"/>
  <c r="H295" i="24"/>
  <c r="H300" i="24" s="1"/>
  <c r="I282" i="24"/>
  <c r="G680" i="24"/>
  <c r="G537" i="24"/>
  <c r="G483" i="24"/>
  <c r="G498" i="24" s="1"/>
  <c r="G507" i="24"/>
  <c r="F316" i="24"/>
  <c r="G316" i="24" s="1"/>
  <c r="H316" i="24" s="1"/>
  <c r="I316" i="24" s="1"/>
  <c r="J316" i="24" s="1"/>
  <c r="K316" i="24" s="1"/>
  <c r="L316" i="24" s="1"/>
  <c r="M316" i="24" s="1"/>
  <c r="N316" i="24" s="1"/>
  <c r="O316" i="24" s="1"/>
  <c r="P316" i="24" s="1"/>
  <c r="Q316" i="24"/>
  <c r="I200" i="24"/>
  <c r="H209" i="24"/>
  <c r="I467" i="24"/>
  <c r="H481" i="24"/>
  <c r="J433" i="24"/>
  <c r="J440" i="24" s="1"/>
  <c r="J443" i="24" s="1"/>
  <c r="I528" i="24" s="1"/>
  <c r="I440" i="24"/>
  <c r="I443" i="24" s="1"/>
  <c r="H528" i="24" s="1"/>
  <c r="E270" i="24"/>
  <c r="E273" i="24" s="1"/>
  <c r="E260" i="24"/>
  <c r="F260" i="24" s="1"/>
  <c r="G260" i="24" s="1"/>
  <c r="H260" i="24" s="1"/>
  <c r="I260" i="24" s="1"/>
  <c r="J260" i="24" s="1"/>
  <c r="K260" i="24" s="1"/>
  <c r="L260" i="24" s="1"/>
  <c r="M260" i="24" s="1"/>
  <c r="N260" i="24" s="1"/>
  <c r="O260" i="24" s="1"/>
  <c r="J262" i="24"/>
  <c r="K253" i="24"/>
  <c r="R318" i="24"/>
  <c r="E318" i="24" s="1"/>
  <c r="E317" i="24"/>
  <c r="E322" i="24" s="1"/>
  <c r="G531" i="24"/>
  <c r="H499" i="24"/>
  <c r="G502" i="24"/>
  <c r="G208" i="24"/>
  <c r="H199" i="24"/>
  <c r="C105" i="24"/>
  <c r="D100" i="24"/>
  <c r="E100" i="24" s="1"/>
  <c r="F100" i="24" s="1"/>
  <c r="F105" i="24" s="1"/>
  <c r="F684" i="24"/>
  <c r="F692" i="24" s="1"/>
  <c r="F540" i="24"/>
  <c r="D378" i="24"/>
  <c r="E368" i="24"/>
  <c r="G532" i="24"/>
  <c r="H500" i="24"/>
  <c r="G468" i="24"/>
  <c r="G471" i="24" s="1"/>
  <c r="F529" i="24" s="1"/>
  <c r="H463" i="24"/>
  <c r="E84" i="24"/>
  <c r="J205" i="23"/>
  <c r="I210" i="23"/>
  <c r="H209" i="23"/>
  <c r="I200" i="23"/>
  <c r="G208" i="23"/>
  <c r="H199" i="23"/>
  <c r="E537" i="23"/>
  <c r="E514" i="23"/>
  <c r="E515" i="23" s="1"/>
  <c r="E516" i="23" s="1"/>
  <c r="F514" i="23"/>
  <c r="F515" i="23" s="1"/>
  <c r="F516" i="23" s="1"/>
  <c r="G514" i="23"/>
  <c r="G515" i="23" s="1"/>
  <c r="G516" i="23" s="1"/>
  <c r="H514" i="23"/>
  <c r="H515" i="23" s="1"/>
  <c r="H516" i="23" s="1"/>
  <c r="I514" i="23"/>
  <c r="I515" i="23" s="1"/>
  <c r="I516" i="23" s="1"/>
  <c r="E382" i="23"/>
  <c r="H382" i="23" s="1"/>
  <c r="E370" i="23"/>
  <c r="E380" i="23" s="1"/>
  <c r="H380" i="23" s="1"/>
  <c r="F393" i="23"/>
  <c r="G393" i="23" s="1"/>
  <c r="H393" i="23" s="1"/>
  <c r="C380" i="23"/>
  <c r="G384" i="23"/>
  <c r="E369" i="23"/>
  <c r="E372" i="23"/>
  <c r="E368" i="23"/>
  <c r="E378" i="23" s="1"/>
  <c r="E371" i="23"/>
  <c r="R312" i="23"/>
  <c r="C654" i="23"/>
  <c r="C656" i="23" s="1"/>
  <c r="H315" i="23"/>
  <c r="I315" i="23" s="1"/>
  <c r="J315" i="23" s="1"/>
  <c r="K315" i="23" s="1"/>
  <c r="L315" i="23" s="1"/>
  <c r="M315" i="23" s="1"/>
  <c r="N315" i="23" s="1"/>
  <c r="O315" i="23" s="1"/>
  <c r="P315" i="23" s="1"/>
  <c r="G321" i="23"/>
  <c r="H321" i="23" s="1"/>
  <c r="I321" i="23" s="1"/>
  <c r="J321" i="23" s="1"/>
  <c r="K321" i="23" s="1"/>
  <c r="L321" i="23" s="1"/>
  <c r="M321" i="23" s="1"/>
  <c r="N321" i="23" s="1"/>
  <c r="O321" i="23" s="1"/>
  <c r="P321" i="23" s="1"/>
  <c r="Q319" i="23"/>
  <c r="E517" i="23" s="1"/>
  <c r="F517" i="23" s="1"/>
  <c r="G517" i="23" s="1"/>
  <c r="H517" i="23" s="1"/>
  <c r="I517" i="23" s="1"/>
  <c r="Q287" i="23"/>
  <c r="R287" i="23"/>
  <c r="Q297" i="23"/>
  <c r="R297" i="23" s="1"/>
  <c r="Q298" i="23"/>
  <c r="R298" i="23" s="1"/>
  <c r="F288" i="23"/>
  <c r="G288" i="23" s="1"/>
  <c r="H288" i="23" s="1"/>
  <c r="I288" i="23" s="1"/>
  <c r="J288" i="23" s="1"/>
  <c r="K288" i="23" s="1"/>
  <c r="L288" i="23" s="1"/>
  <c r="M288" i="23" s="1"/>
  <c r="N288" i="23" s="1"/>
  <c r="O288" i="23" s="1"/>
  <c r="P288" i="23" s="1"/>
  <c r="F309" i="23"/>
  <c r="G309" i="23" s="1"/>
  <c r="H309" i="23" s="1"/>
  <c r="I309" i="23" s="1"/>
  <c r="J309" i="23" s="1"/>
  <c r="K309" i="23" s="1"/>
  <c r="L309" i="23" s="1"/>
  <c r="M309" i="23" s="1"/>
  <c r="N309" i="23" s="1"/>
  <c r="O309" i="23" s="1"/>
  <c r="P309" i="23" s="1"/>
  <c r="F310" i="23"/>
  <c r="G310" i="23" s="1"/>
  <c r="H310" i="23" s="1"/>
  <c r="I310" i="23" s="1"/>
  <c r="J310" i="23" s="1"/>
  <c r="K310" i="23" s="1"/>
  <c r="L310" i="23" s="1"/>
  <c r="M310" i="23" s="1"/>
  <c r="N310" i="23" s="1"/>
  <c r="O310" i="23" s="1"/>
  <c r="P310" i="23" s="1"/>
  <c r="R285" i="23"/>
  <c r="F285" i="23"/>
  <c r="G285" i="23" s="1"/>
  <c r="H285" i="23" s="1"/>
  <c r="I285" i="23" s="1"/>
  <c r="J285" i="23" s="1"/>
  <c r="K285" i="23" s="1"/>
  <c r="L285" i="23" s="1"/>
  <c r="M285" i="23" s="1"/>
  <c r="N285" i="23" s="1"/>
  <c r="O285" i="23" s="1"/>
  <c r="P285" i="23" s="1"/>
  <c r="F283" i="23"/>
  <c r="G283" i="23" s="1"/>
  <c r="H283" i="23" s="1"/>
  <c r="I283" i="23" s="1"/>
  <c r="J283" i="23" s="1"/>
  <c r="K283" i="23" s="1"/>
  <c r="L283" i="23" s="1"/>
  <c r="M283" i="23" s="1"/>
  <c r="N283" i="23" s="1"/>
  <c r="O283" i="23" s="1"/>
  <c r="P283" i="23" s="1"/>
  <c r="R283" i="23"/>
  <c r="F291" i="23"/>
  <c r="G291" i="23" s="1"/>
  <c r="H291" i="23" s="1"/>
  <c r="I291" i="23" s="1"/>
  <c r="J291" i="23" s="1"/>
  <c r="K291" i="23" s="1"/>
  <c r="L291" i="23" s="1"/>
  <c r="M291" i="23" s="1"/>
  <c r="N291" i="23" s="1"/>
  <c r="O291" i="23" s="1"/>
  <c r="P291" i="23" s="1"/>
  <c r="R291" i="23"/>
  <c r="F294" i="23"/>
  <c r="G294" i="23" s="1"/>
  <c r="H294" i="23" s="1"/>
  <c r="I294" i="23" s="1"/>
  <c r="J294" i="23" s="1"/>
  <c r="K294" i="23" s="1"/>
  <c r="L294" i="23" s="1"/>
  <c r="M294" i="23" s="1"/>
  <c r="N294" i="23" s="1"/>
  <c r="O294" i="23" s="1"/>
  <c r="P294" i="23" s="1"/>
  <c r="F286" i="23"/>
  <c r="G286" i="23" s="1"/>
  <c r="H286" i="23" s="1"/>
  <c r="I286" i="23" s="1"/>
  <c r="J286" i="23" s="1"/>
  <c r="K286" i="23" s="1"/>
  <c r="L286" i="23" s="1"/>
  <c r="M286" i="23" s="1"/>
  <c r="N286" i="23" s="1"/>
  <c r="O286" i="23" s="1"/>
  <c r="P286" i="23" s="1"/>
  <c r="F289" i="23"/>
  <c r="G289" i="23" s="1"/>
  <c r="H289" i="23" s="1"/>
  <c r="I289" i="23" s="1"/>
  <c r="J289" i="23" s="1"/>
  <c r="K289" i="23" s="1"/>
  <c r="L289" i="23" s="1"/>
  <c r="M289" i="23" s="1"/>
  <c r="N289" i="23" s="1"/>
  <c r="O289" i="23" s="1"/>
  <c r="P289" i="23" s="1"/>
  <c r="E295" i="23"/>
  <c r="F284" i="23"/>
  <c r="G284" i="23" s="1"/>
  <c r="H284" i="23" s="1"/>
  <c r="I284" i="23" s="1"/>
  <c r="J284" i="23" s="1"/>
  <c r="K284" i="23" s="1"/>
  <c r="L284" i="23" s="1"/>
  <c r="M284" i="23" s="1"/>
  <c r="N284" i="23" s="1"/>
  <c r="O284" i="23" s="1"/>
  <c r="P284" i="23" s="1"/>
  <c r="F292" i="23"/>
  <c r="G292" i="23" s="1"/>
  <c r="H292" i="23" s="1"/>
  <c r="I292" i="23" s="1"/>
  <c r="J292" i="23" s="1"/>
  <c r="K292" i="23" s="1"/>
  <c r="L292" i="23" s="1"/>
  <c r="M292" i="23" s="1"/>
  <c r="N292" i="23" s="1"/>
  <c r="O292" i="23" s="1"/>
  <c r="P292" i="23" s="1"/>
  <c r="F282" i="23"/>
  <c r="F290" i="23"/>
  <c r="G290" i="23" s="1"/>
  <c r="H290" i="23" s="1"/>
  <c r="I290" i="23" s="1"/>
  <c r="J290" i="23" s="1"/>
  <c r="K290" i="23" s="1"/>
  <c r="L290" i="23" s="1"/>
  <c r="M290" i="23" s="1"/>
  <c r="N290" i="23" s="1"/>
  <c r="O290" i="23" s="1"/>
  <c r="P290" i="23" s="1"/>
  <c r="F293" i="23"/>
  <c r="G293" i="23" s="1"/>
  <c r="H293" i="23" s="1"/>
  <c r="I293" i="23" s="1"/>
  <c r="J293" i="23" s="1"/>
  <c r="K293" i="23" s="1"/>
  <c r="L293" i="23" s="1"/>
  <c r="M293" i="23" s="1"/>
  <c r="N293" i="23" s="1"/>
  <c r="O293" i="23" s="1"/>
  <c r="P293" i="23" s="1"/>
  <c r="E273" i="23"/>
  <c r="P261" i="23"/>
  <c r="F271" i="23" s="1"/>
  <c r="P253" i="23"/>
  <c r="F240" i="23"/>
  <c r="H240" i="23" s="1"/>
  <c r="B242" i="23" s="1"/>
  <c r="D242" i="23" s="1"/>
  <c r="G463" i="23" s="1"/>
  <c r="H463" i="23" s="1"/>
  <c r="I463" i="23" s="1"/>
  <c r="F257" i="23"/>
  <c r="G257" i="23" s="1"/>
  <c r="H257" i="23" s="1"/>
  <c r="I257" i="23" s="1"/>
  <c r="J257" i="23" s="1"/>
  <c r="K257" i="23" s="1"/>
  <c r="L257" i="23" s="1"/>
  <c r="M257" i="23" s="1"/>
  <c r="N257" i="23" s="1"/>
  <c r="O257" i="23" s="1"/>
  <c r="P260" i="23"/>
  <c r="F270" i="23" s="1"/>
  <c r="A245" i="23"/>
  <c r="D245" i="23" s="1"/>
  <c r="C193" i="23"/>
  <c r="E53" i="23"/>
  <c r="H53" i="23"/>
  <c r="G53" i="23"/>
  <c r="D578" i="23"/>
  <c r="E63" i="23"/>
  <c r="D345" i="23" s="1"/>
  <c r="H63" i="23"/>
  <c r="E654" i="23"/>
  <c r="C91" i="23"/>
  <c r="E678" i="23"/>
  <c r="E314" i="23"/>
  <c r="R308" i="23"/>
  <c r="R311" i="23"/>
  <c r="G467" i="23"/>
  <c r="F481" i="23"/>
  <c r="F467" i="23"/>
  <c r="E481" i="23"/>
  <c r="R313" i="23"/>
  <c r="E653" i="23"/>
  <c r="F653" i="23" s="1"/>
  <c r="D544" i="25" l="1"/>
  <c r="D350" i="25"/>
  <c r="D653" i="25" s="1"/>
  <c r="D351" i="25"/>
  <c r="F322" i="25"/>
  <c r="G322" i="25" s="1"/>
  <c r="H322" i="25" s="1"/>
  <c r="I322" i="25" s="1"/>
  <c r="J322" i="25" s="1"/>
  <c r="K322" i="25" s="1"/>
  <c r="L322" i="25" s="1"/>
  <c r="M322" i="25" s="1"/>
  <c r="N322" i="25" s="1"/>
  <c r="O322" i="25" s="1"/>
  <c r="P322" i="25" s="1"/>
  <c r="D355" i="25"/>
  <c r="I262" i="25"/>
  <c r="J253" i="25"/>
  <c r="F317" i="25"/>
  <c r="G317" i="25" s="1"/>
  <c r="H317" i="25" s="1"/>
  <c r="I317" i="25" s="1"/>
  <c r="J317" i="25" s="1"/>
  <c r="K317" i="25" s="1"/>
  <c r="L317" i="25" s="1"/>
  <c r="M317" i="25" s="1"/>
  <c r="N317" i="25" s="1"/>
  <c r="O317" i="25" s="1"/>
  <c r="P317" i="25" s="1"/>
  <c r="Q317" i="25"/>
  <c r="H209" i="25"/>
  <c r="I200" i="25"/>
  <c r="F318" i="25"/>
  <c r="G318" i="25" s="1"/>
  <c r="H318" i="25" s="1"/>
  <c r="I318" i="25" s="1"/>
  <c r="J318" i="25" s="1"/>
  <c r="K318" i="25" s="1"/>
  <c r="L318" i="25" s="1"/>
  <c r="M318" i="25" s="1"/>
  <c r="N318" i="25" s="1"/>
  <c r="O318" i="25" s="1"/>
  <c r="P318" i="25" s="1"/>
  <c r="Q318" i="25"/>
  <c r="I680" i="25"/>
  <c r="I537" i="25"/>
  <c r="I507" i="25"/>
  <c r="I483" i="25"/>
  <c r="I498" i="25" s="1"/>
  <c r="H384" i="25"/>
  <c r="C105" i="25"/>
  <c r="D100" i="25"/>
  <c r="E100" i="25" s="1"/>
  <c r="F100" i="25" s="1"/>
  <c r="F105" i="25" s="1"/>
  <c r="H680" i="25"/>
  <c r="H537" i="25"/>
  <c r="I500" i="25"/>
  <c r="I532" i="25" s="1"/>
  <c r="H532" i="25"/>
  <c r="J199" i="25"/>
  <c r="I208" i="25"/>
  <c r="E380" i="25"/>
  <c r="H380" i="25" s="1"/>
  <c r="Q316" i="25"/>
  <c r="J282" i="25"/>
  <c r="I295" i="25"/>
  <c r="I300" i="25" s="1"/>
  <c r="G689" i="25"/>
  <c r="G683" i="25"/>
  <c r="G691" i="25" s="1"/>
  <c r="G539" i="25"/>
  <c r="I499" i="25"/>
  <c r="H531" i="25"/>
  <c r="H502" i="25"/>
  <c r="I210" i="25"/>
  <c r="J201" i="25"/>
  <c r="F681" i="25"/>
  <c r="F685" i="25" s="1"/>
  <c r="F533" i="25"/>
  <c r="F536" i="25" s="1"/>
  <c r="F538" i="25" s="1"/>
  <c r="F543" i="25" s="1"/>
  <c r="F546" i="25" s="1"/>
  <c r="F553" i="25" s="1"/>
  <c r="C555" i="25" s="1"/>
  <c r="H483" i="25"/>
  <c r="H498" i="25" s="1"/>
  <c r="H507" i="25"/>
  <c r="G684" i="25"/>
  <c r="G692" i="25" s="1"/>
  <c r="G540" i="25"/>
  <c r="I464" i="25"/>
  <c r="H469" i="25"/>
  <c r="H471" i="25" s="1"/>
  <c r="G529" i="25" s="1"/>
  <c r="D355" i="24"/>
  <c r="F322" i="24"/>
  <c r="G322" i="24" s="1"/>
  <c r="H322" i="24" s="1"/>
  <c r="I322" i="24" s="1"/>
  <c r="J322" i="24" s="1"/>
  <c r="K322" i="24" s="1"/>
  <c r="L322" i="24" s="1"/>
  <c r="M322" i="24" s="1"/>
  <c r="N322" i="24" s="1"/>
  <c r="O322" i="24" s="1"/>
  <c r="P322" i="24" s="1"/>
  <c r="Q322" i="24"/>
  <c r="I680" i="24"/>
  <c r="I537" i="24"/>
  <c r="F681" i="24"/>
  <c r="F685" i="24" s="1"/>
  <c r="F533" i="24"/>
  <c r="F536" i="24" s="1"/>
  <c r="F538" i="24" s="1"/>
  <c r="F543" i="24" s="1"/>
  <c r="F546" i="24" s="1"/>
  <c r="F553" i="24" s="1"/>
  <c r="C555" i="24" s="1"/>
  <c r="H531" i="24"/>
  <c r="I499" i="24"/>
  <c r="H502" i="24"/>
  <c r="H507" i="24"/>
  <c r="H483" i="24"/>
  <c r="H498" i="24" s="1"/>
  <c r="D544" i="24"/>
  <c r="D351" i="24"/>
  <c r="D350" i="24"/>
  <c r="D653" i="24" s="1"/>
  <c r="H468" i="24"/>
  <c r="H471" i="24" s="1"/>
  <c r="G529" i="24" s="1"/>
  <c r="I463" i="24"/>
  <c r="L253" i="24"/>
  <c r="K262" i="24"/>
  <c r="D105" i="24"/>
  <c r="F106" i="24"/>
  <c r="G683" i="24"/>
  <c r="G691" i="24" s="1"/>
  <c r="G539" i="24"/>
  <c r="G689" i="24"/>
  <c r="I483" i="24"/>
  <c r="I498" i="24" s="1"/>
  <c r="I507" i="24"/>
  <c r="H532" i="24"/>
  <c r="I500" i="24"/>
  <c r="I532" i="24" s="1"/>
  <c r="G684" i="24"/>
  <c r="G692" i="24" s="1"/>
  <c r="G540" i="24"/>
  <c r="C106" i="24"/>
  <c r="E105" i="24"/>
  <c r="F317" i="24"/>
  <c r="G317" i="24" s="1"/>
  <c r="H317" i="24" s="1"/>
  <c r="I317" i="24" s="1"/>
  <c r="J317" i="24" s="1"/>
  <c r="K317" i="24" s="1"/>
  <c r="L317" i="24" s="1"/>
  <c r="M317" i="24" s="1"/>
  <c r="N317" i="24" s="1"/>
  <c r="O317" i="24" s="1"/>
  <c r="P317" i="24" s="1"/>
  <c r="Q317" i="24"/>
  <c r="P260" i="24"/>
  <c r="F270" i="24" s="1"/>
  <c r="I295" i="24"/>
  <c r="I300" i="24" s="1"/>
  <c r="J282" i="24"/>
  <c r="E378" i="24"/>
  <c r="H378" i="24" s="1"/>
  <c r="H384" i="24" s="1"/>
  <c r="I199" i="24"/>
  <c r="H208" i="24"/>
  <c r="F318" i="24"/>
  <c r="G318" i="24" s="1"/>
  <c r="H318" i="24" s="1"/>
  <c r="I318" i="24" s="1"/>
  <c r="J318" i="24" s="1"/>
  <c r="K318" i="24" s="1"/>
  <c r="L318" i="24" s="1"/>
  <c r="M318" i="24" s="1"/>
  <c r="N318" i="24" s="1"/>
  <c r="O318" i="24" s="1"/>
  <c r="P318" i="24" s="1"/>
  <c r="H680" i="24"/>
  <c r="H537" i="24"/>
  <c r="J200" i="24"/>
  <c r="I209" i="24"/>
  <c r="L201" i="24"/>
  <c r="K210" i="24"/>
  <c r="K205" i="23"/>
  <c r="J210" i="23"/>
  <c r="I199" i="23"/>
  <c r="H208" i="23"/>
  <c r="I209" i="23"/>
  <c r="J200" i="23"/>
  <c r="D344" i="23"/>
  <c r="H359" i="23" s="1"/>
  <c r="E65" i="23"/>
  <c r="G464" i="23"/>
  <c r="F469" i="23"/>
  <c r="H468" i="23"/>
  <c r="G468" i="23"/>
  <c r="J463" i="23"/>
  <c r="J468" i="23" s="1"/>
  <c r="I468" i="23"/>
  <c r="F468" i="23"/>
  <c r="I371" i="23"/>
  <c r="E383" i="23"/>
  <c r="H383" i="23" s="1"/>
  <c r="H378" i="23"/>
  <c r="I369" i="23"/>
  <c r="E379" i="23"/>
  <c r="H379" i="23" s="1"/>
  <c r="Q315" i="23"/>
  <c r="F654" i="23"/>
  <c r="I654" i="23" s="1"/>
  <c r="E300" i="23"/>
  <c r="D354" i="23"/>
  <c r="H360" i="23"/>
  <c r="Q293" i="23"/>
  <c r="Q292" i="23"/>
  <c r="R295" i="23"/>
  <c r="R300" i="23" s="1"/>
  <c r="Q290" i="23"/>
  <c r="R320" i="23"/>
  <c r="E320" i="23" s="1"/>
  <c r="R316" i="23"/>
  <c r="E499" i="23"/>
  <c r="Q321" i="23"/>
  <c r="Q288" i="23"/>
  <c r="Q284" i="23"/>
  <c r="Q286" i="23"/>
  <c r="Q289" i="23"/>
  <c r="Q285" i="23"/>
  <c r="Q291" i="23"/>
  <c r="F295" i="23"/>
  <c r="F300" i="23" s="1"/>
  <c r="G282" i="23"/>
  <c r="Q294" i="23"/>
  <c r="Q283" i="23"/>
  <c r="P257" i="23"/>
  <c r="P262" i="23"/>
  <c r="F272" i="23" s="1"/>
  <c r="F273" i="23" s="1"/>
  <c r="D346" i="23"/>
  <c r="G63" i="23"/>
  <c r="E500" i="23" s="1"/>
  <c r="E532" i="23" s="1"/>
  <c r="E540" i="23" s="1"/>
  <c r="E74" i="23"/>
  <c r="Q311" i="23"/>
  <c r="Q310" i="23"/>
  <c r="H413" i="23"/>
  <c r="H439" i="23" s="1"/>
  <c r="H452" i="23" s="1"/>
  <c r="F656" i="23"/>
  <c r="I653" i="23"/>
  <c r="I656" i="23" s="1"/>
  <c r="C701" i="23" s="1"/>
  <c r="E255" i="23"/>
  <c r="F255" i="23" s="1"/>
  <c r="G255" i="23" s="1"/>
  <c r="H255" i="23" s="1"/>
  <c r="I255" i="23" s="1"/>
  <c r="J255" i="23" s="1"/>
  <c r="K255" i="23" s="1"/>
  <c r="L255" i="23" s="1"/>
  <c r="M255" i="23" s="1"/>
  <c r="N255" i="23" s="1"/>
  <c r="O255" i="23" s="1"/>
  <c r="P255" i="23" s="1"/>
  <c r="Q313" i="23"/>
  <c r="E75" i="23"/>
  <c r="Q309" i="23"/>
  <c r="F314" i="23"/>
  <c r="G314" i="23" s="1"/>
  <c r="H314" i="23" s="1"/>
  <c r="I314" i="23" s="1"/>
  <c r="J314" i="23" s="1"/>
  <c r="K314" i="23" s="1"/>
  <c r="L314" i="23" s="1"/>
  <c r="M314" i="23" s="1"/>
  <c r="N314" i="23" s="1"/>
  <c r="O314" i="23" s="1"/>
  <c r="P314" i="23" s="1"/>
  <c r="F507" i="23"/>
  <c r="F483" i="23"/>
  <c r="F498" i="23" s="1"/>
  <c r="F678" i="23"/>
  <c r="Q312" i="23"/>
  <c r="E507" i="23"/>
  <c r="E483" i="23"/>
  <c r="E498" i="23" s="1"/>
  <c r="R314" i="23"/>
  <c r="R319" i="23" s="1"/>
  <c r="D252" i="23"/>
  <c r="E266" i="23" s="1"/>
  <c r="D102" i="23"/>
  <c r="D101" i="23"/>
  <c r="H684" i="25" l="1"/>
  <c r="H692" i="25" s="1"/>
  <c r="H540" i="25"/>
  <c r="E105" i="25"/>
  <c r="D105" i="25" s="1"/>
  <c r="C106" i="25" s="1"/>
  <c r="I689" i="25"/>
  <c r="I540" i="25"/>
  <c r="I684" i="25"/>
  <c r="I692" i="25" s="1"/>
  <c r="C567" i="25"/>
  <c r="D579" i="25" s="1"/>
  <c r="D654" i="25"/>
  <c r="D656" i="25" s="1"/>
  <c r="H683" i="25"/>
  <c r="H691" i="25" s="1"/>
  <c r="H539" i="25"/>
  <c r="J262" i="25"/>
  <c r="K253" i="25"/>
  <c r="E667" i="25"/>
  <c r="G681" i="25"/>
  <c r="G685" i="25" s="1"/>
  <c r="G533" i="25"/>
  <c r="G536" i="25" s="1"/>
  <c r="G538" i="25" s="1"/>
  <c r="G543" i="25" s="1"/>
  <c r="G546" i="25" s="1"/>
  <c r="G553" i="25" s="1"/>
  <c r="C556" i="25" s="1"/>
  <c r="J295" i="25"/>
  <c r="J300" i="25" s="1"/>
  <c r="K282" i="25"/>
  <c r="H689" i="25"/>
  <c r="I209" i="25"/>
  <c r="J200" i="25"/>
  <c r="H355" i="25"/>
  <c r="H358" i="25" s="1"/>
  <c r="H361" i="25" s="1"/>
  <c r="D358" i="25"/>
  <c r="D361" i="25" s="1"/>
  <c r="I502" i="25"/>
  <c r="I531" i="25"/>
  <c r="D696" i="25"/>
  <c r="D546" i="25"/>
  <c r="J464" i="25"/>
  <c r="J469" i="25" s="1"/>
  <c r="J471" i="25" s="1"/>
  <c r="I529" i="25" s="1"/>
  <c r="I469" i="25"/>
  <c r="I471" i="25" s="1"/>
  <c r="H529" i="25" s="1"/>
  <c r="J210" i="25"/>
  <c r="K201" i="25"/>
  <c r="J208" i="25"/>
  <c r="K199" i="25"/>
  <c r="F106" i="25"/>
  <c r="Q322" i="25"/>
  <c r="I208" i="24"/>
  <c r="J199" i="24"/>
  <c r="I468" i="24"/>
  <c r="I471" i="24" s="1"/>
  <c r="H529" i="24" s="1"/>
  <c r="J463" i="24"/>
  <c r="J468" i="24" s="1"/>
  <c r="J471" i="24" s="1"/>
  <c r="I529" i="24" s="1"/>
  <c r="H684" i="24"/>
  <c r="H692" i="24" s="1"/>
  <c r="H540" i="24"/>
  <c r="M201" i="24"/>
  <c r="L210" i="24"/>
  <c r="F107" i="24"/>
  <c r="D656" i="24"/>
  <c r="E667" i="24"/>
  <c r="H689" i="24"/>
  <c r="I540" i="24"/>
  <c r="I684" i="24"/>
  <c r="I692" i="24" s="1"/>
  <c r="G681" i="24"/>
  <c r="G685" i="24" s="1"/>
  <c r="G533" i="24"/>
  <c r="G536" i="24" s="1"/>
  <c r="G538" i="24" s="1"/>
  <c r="G543" i="24" s="1"/>
  <c r="G546" i="24" s="1"/>
  <c r="G553" i="24" s="1"/>
  <c r="C556" i="24" s="1"/>
  <c r="Q318" i="24"/>
  <c r="J295" i="24"/>
  <c r="J300" i="24" s="1"/>
  <c r="K282" i="24"/>
  <c r="E106" i="24"/>
  <c r="D106" i="24" s="1"/>
  <c r="C107" i="24" s="1"/>
  <c r="C567" i="24"/>
  <c r="D579" i="24" s="1"/>
  <c r="D654" i="24"/>
  <c r="I531" i="24"/>
  <c r="I502" i="24"/>
  <c r="I689" i="24"/>
  <c r="J209" i="24"/>
  <c r="K200" i="24"/>
  <c r="D696" i="24"/>
  <c r="D546" i="24"/>
  <c r="H539" i="24"/>
  <c r="H683" i="24"/>
  <c r="H691" i="24" s="1"/>
  <c r="M253" i="24"/>
  <c r="L262" i="24"/>
  <c r="H355" i="24"/>
  <c r="H358" i="24" s="1"/>
  <c r="H361" i="24" s="1"/>
  <c r="D358" i="24"/>
  <c r="D361" i="24" s="1"/>
  <c r="K210" i="23"/>
  <c r="L205" i="23"/>
  <c r="M205" i="23" s="1"/>
  <c r="N205" i="23" s="1"/>
  <c r="K200" i="23"/>
  <c r="J209" i="23"/>
  <c r="J199" i="23"/>
  <c r="I208" i="23"/>
  <c r="D347" i="23"/>
  <c r="D544" i="23" s="1"/>
  <c r="D546" i="23" s="1"/>
  <c r="D553" i="23" s="1"/>
  <c r="F499" i="23"/>
  <c r="E531" i="23"/>
  <c r="E539" i="23" s="1"/>
  <c r="H464" i="23"/>
  <c r="G469" i="23"/>
  <c r="E683" i="23"/>
  <c r="E691" i="23" s="1"/>
  <c r="H384" i="23"/>
  <c r="H354" i="23"/>
  <c r="R317" i="23"/>
  <c r="E316" i="23"/>
  <c r="F320" i="23"/>
  <c r="G320" i="23" s="1"/>
  <c r="H320" i="23" s="1"/>
  <c r="I320" i="23" s="1"/>
  <c r="J320" i="23" s="1"/>
  <c r="K320" i="23" s="1"/>
  <c r="L320" i="23" s="1"/>
  <c r="M320" i="23" s="1"/>
  <c r="N320" i="23" s="1"/>
  <c r="O320" i="23" s="1"/>
  <c r="P320" i="23" s="1"/>
  <c r="G295" i="23"/>
  <c r="G300" i="23" s="1"/>
  <c r="H282" i="23"/>
  <c r="F500" i="23"/>
  <c r="F532" i="23" s="1"/>
  <c r="F540" i="23" s="1"/>
  <c r="D251" i="23"/>
  <c r="E265" i="23" s="1"/>
  <c r="E101" i="23"/>
  <c r="Q314" i="23"/>
  <c r="C665" i="23"/>
  <c r="Q308" i="23"/>
  <c r="I413" i="23"/>
  <c r="I439" i="23" s="1"/>
  <c r="I452" i="23" s="1"/>
  <c r="J413" i="23"/>
  <c r="J439" i="23" s="1"/>
  <c r="J452" i="23" s="1"/>
  <c r="G481" i="23"/>
  <c r="H467" i="23"/>
  <c r="E256" i="23"/>
  <c r="F256" i="23" s="1"/>
  <c r="G256" i="23" s="1"/>
  <c r="H256" i="23" s="1"/>
  <c r="I256" i="23" s="1"/>
  <c r="J256" i="23" s="1"/>
  <c r="K256" i="23" s="1"/>
  <c r="L256" i="23" s="1"/>
  <c r="M256" i="23" s="1"/>
  <c r="N256" i="23" s="1"/>
  <c r="O256" i="23" s="1"/>
  <c r="P256" i="23" s="1"/>
  <c r="E252" i="23"/>
  <c r="E76" i="23"/>
  <c r="E77" i="23" s="1"/>
  <c r="E684" i="23"/>
  <c r="E692" i="23" s="1"/>
  <c r="G678" i="23"/>
  <c r="F577" i="23"/>
  <c r="D577" i="23"/>
  <c r="E67" i="23"/>
  <c r="E106" i="25" l="1"/>
  <c r="F107" i="25"/>
  <c r="D106" i="25"/>
  <c r="C107" i="25" s="1"/>
  <c r="I681" i="25"/>
  <c r="I533" i="25"/>
  <c r="I536" i="25" s="1"/>
  <c r="I538" i="25" s="1"/>
  <c r="G372" i="25"/>
  <c r="I372" i="25" s="1"/>
  <c r="G368" i="25"/>
  <c r="I368" i="25" s="1"/>
  <c r="G370" i="25"/>
  <c r="I370" i="25" s="1"/>
  <c r="H385" i="25" s="1"/>
  <c r="J554" i="25"/>
  <c r="D553" i="25"/>
  <c r="J209" i="25"/>
  <c r="K200" i="25"/>
  <c r="K262" i="25"/>
  <c r="L253" i="25"/>
  <c r="H386" i="25"/>
  <c r="H681" i="25"/>
  <c r="H685" i="25" s="1"/>
  <c r="H533" i="25"/>
  <c r="H536" i="25" s="1"/>
  <c r="H538" i="25" s="1"/>
  <c r="H543" i="25" s="1"/>
  <c r="H546" i="25" s="1"/>
  <c r="H553" i="25" s="1"/>
  <c r="C557" i="25" s="1"/>
  <c r="L199" i="25"/>
  <c r="K208" i="25"/>
  <c r="F370" i="25"/>
  <c r="F372" i="25"/>
  <c r="F368" i="25"/>
  <c r="E663" i="25"/>
  <c r="E665" i="25" s="1"/>
  <c r="E668" i="25" s="1"/>
  <c r="D697" i="25"/>
  <c r="E664" i="25"/>
  <c r="K295" i="25"/>
  <c r="K300" i="25" s="1"/>
  <c r="L282" i="25"/>
  <c r="L201" i="25"/>
  <c r="K210" i="25"/>
  <c r="D700" i="25"/>
  <c r="J576" i="25"/>
  <c r="G588" i="25" s="1"/>
  <c r="D588" i="25"/>
  <c r="I683" i="25"/>
  <c r="I691" i="25" s="1"/>
  <c r="I539" i="25"/>
  <c r="E107" i="24"/>
  <c r="I683" i="24"/>
  <c r="I691" i="24" s="1"/>
  <c r="I539" i="24"/>
  <c r="K295" i="24"/>
  <c r="K300" i="24" s="1"/>
  <c r="L282" i="24"/>
  <c r="D107" i="24"/>
  <c r="C108" i="24" s="1"/>
  <c r="F108" i="24"/>
  <c r="I681" i="24"/>
  <c r="I533" i="24"/>
  <c r="I536" i="24" s="1"/>
  <c r="I538" i="24" s="1"/>
  <c r="I543" i="24" s="1"/>
  <c r="I546" i="24" s="1"/>
  <c r="I553" i="24" s="1"/>
  <c r="C558" i="24" s="1"/>
  <c r="M262" i="24"/>
  <c r="N253" i="24"/>
  <c r="G372" i="24"/>
  <c r="I372" i="24" s="1"/>
  <c r="G368" i="24"/>
  <c r="I368" i="24" s="1"/>
  <c r="G370" i="24"/>
  <c r="I370" i="24" s="1"/>
  <c r="H385" i="24" s="1"/>
  <c r="K209" i="24"/>
  <c r="L200" i="24"/>
  <c r="E663" i="24"/>
  <c r="D697" i="24"/>
  <c r="D700" i="24" s="1"/>
  <c r="E664" i="24"/>
  <c r="H386" i="24"/>
  <c r="H681" i="24"/>
  <c r="H685" i="24" s="1"/>
  <c r="H533" i="24"/>
  <c r="H536" i="24" s="1"/>
  <c r="H538" i="24" s="1"/>
  <c r="H543" i="24" s="1"/>
  <c r="H546" i="24" s="1"/>
  <c r="H553" i="24" s="1"/>
  <c r="C557" i="24" s="1"/>
  <c r="J554" i="24"/>
  <c r="D553" i="24"/>
  <c r="F372" i="24"/>
  <c r="F370" i="24"/>
  <c r="F368" i="24"/>
  <c r="J576" i="24"/>
  <c r="G588" i="24" s="1"/>
  <c r="D588" i="24"/>
  <c r="J208" i="24"/>
  <c r="K199" i="24"/>
  <c r="N201" i="24"/>
  <c r="M210" i="24"/>
  <c r="K199" i="23"/>
  <c r="J208" i="23"/>
  <c r="L200" i="23"/>
  <c r="K209" i="23"/>
  <c r="D350" i="23"/>
  <c r="D351" i="23"/>
  <c r="C567" i="23" s="1"/>
  <c r="J554" i="23"/>
  <c r="G499" i="23"/>
  <c r="F531" i="23"/>
  <c r="I464" i="23"/>
  <c r="H469" i="23"/>
  <c r="Q320" i="23"/>
  <c r="F316" i="23"/>
  <c r="G316" i="23" s="1"/>
  <c r="H316" i="23" s="1"/>
  <c r="I316" i="23" s="1"/>
  <c r="J316" i="23" s="1"/>
  <c r="K316" i="23" s="1"/>
  <c r="L316" i="23" s="1"/>
  <c r="M316" i="23" s="1"/>
  <c r="N316" i="23" s="1"/>
  <c r="O316" i="23" s="1"/>
  <c r="P316" i="23" s="1"/>
  <c r="R318" i="23"/>
  <c r="E318" i="23" s="1"/>
  <c r="E317" i="23"/>
  <c r="G500" i="23"/>
  <c r="H295" i="23"/>
  <c r="H300" i="23" s="1"/>
  <c r="I282" i="23"/>
  <c r="E251" i="23"/>
  <c r="F251" i="23" s="1"/>
  <c r="G507" i="23"/>
  <c r="G483" i="23"/>
  <c r="G498" i="23" s="1"/>
  <c r="I481" i="23"/>
  <c r="J467" i="23"/>
  <c r="I467" i="23"/>
  <c r="H481" i="23"/>
  <c r="I678" i="23"/>
  <c r="H678" i="23"/>
  <c r="F684" i="23"/>
  <c r="F692" i="23" s="1"/>
  <c r="F252" i="23"/>
  <c r="E83" i="23"/>
  <c r="C89" i="23" s="1"/>
  <c r="E82" i="23"/>
  <c r="H576" i="23"/>
  <c r="H577" i="23"/>
  <c r="C663" i="23"/>
  <c r="C668" i="23" s="1"/>
  <c r="I685" i="24" l="1"/>
  <c r="I685" i="25"/>
  <c r="E107" i="25"/>
  <c r="D107" i="25" s="1"/>
  <c r="C108" i="25" s="1"/>
  <c r="K209" i="25"/>
  <c r="L200" i="25"/>
  <c r="F108" i="25"/>
  <c r="F588" i="25"/>
  <c r="E588" i="25" s="1"/>
  <c r="L295" i="25"/>
  <c r="L300" i="25" s="1"/>
  <c r="M282" i="25"/>
  <c r="M199" i="25"/>
  <c r="L208" i="25"/>
  <c r="M201" i="25"/>
  <c r="L210" i="25"/>
  <c r="G589" i="25"/>
  <c r="D708" i="25"/>
  <c r="J709" i="25"/>
  <c r="L262" i="25"/>
  <c r="M253" i="25"/>
  <c r="I543" i="25"/>
  <c r="I546" i="25" s="1"/>
  <c r="I553" i="25" s="1"/>
  <c r="C558" i="25" s="1"/>
  <c r="D708" i="24"/>
  <c r="J709" i="24"/>
  <c r="C109" i="24"/>
  <c r="E108" i="24"/>
  <c r="G589" i="24"/>
  <c r="F109" i="24"/>
  <c r="D108" i="24"/>
  <c r="F588" i="24"/>
  <c r="N210" i="24"/>
  <c r="O201" i="24"/>
  <c r="E665" i="24"/>
  <c r="E668" i="24" s="1"/>
  <c r="L199" i="24"/>
  <c r="K208" i="24"/>
  <c r="M200" i="24"/>
  <c r="L209" i="24"/>
  <c r="N262" i="24"/>
  <c r="O253" i="24"/>
  <c r="M282" i="24"/>
  <c r="L295" i="24"/>
  <c r="L300" i="24" s="1"/>
  <c r="M200" i="23"/>
  <c r="K208" i="23"/>
  <c r="L199" i="23"/>
  <c r="H500" i="23"/>
  <c r="H532" i="23" s="1"/>
  <c r="H540" i="23" s="1"/>
  <c r="G532" i="23"/>
  <c r="G540" i="23" s="1"/>
  <c r="F539" i="23"/>
  <c r="F683" i="23"/>
  <c r="F691" i="23" s="1"/>
  <c r="G531" i="23"/>
  <c r="H499" i="23"/>
  <c r="J464" i="23"/>
  <c r="J469" i="23" s="1"/>
  <c r="I469" i="23"/>
  <c r="Q316" i="23"/>
  <c r="F317" i="23"/>
  <c r="G317" i="23" s="1"/>
  <c r="H317" i="23" s="1"/>
  <c r="I317" i="23" s="1"/>
  <c r="J317" i="23" s="1"/>
  <c r="K317" i="23" s="1"/>
  <c r="L317" i="23" s="1"/>
  <c r="M317" i="23" s="1"/>
  <c r="N317" i="23" s="1"/>
  <c r="O317" i="23" s="1"/>
  <c r="P317" i="23" s="1"/>
  <c r="F318" i="23"/>
  <c r="G318" i="23" s="1"/>
  <c r="H318" i="23" s="1"/>
  <c r="I318" i="23" s="1"/>
  <c r="J318" i="23" s="1"/>
  <c r="K318" i="23" s="1"/>
  <c r="L318" i="23" s="1"/>
  <c r="M318" i="23" s="1"/>
  <c r="N318" i="23" s="1"/>
  <c r="O318" i="23" s="1"/>
  <c r="P318" i="23" s="1"/>
  <c r="J282" i="23"/>
  <c r="I295" i="23"/>
  <c r="I300" i="23" s="1"/>
  <c r="E322" i="23"/>
  <c r="D355" i="23" s="1"/>
  <c r="H483" i="23"/>
  <c r="H498" i="23" s="1"/>
  <c r="H507" i="23"/>
  <c r="I483" i="23"/>
  <c r="I498" i="23" s="1"/>
  <c r="I507" i="23"/>
  <c r="E84" i="23"/>
  <c r="I500" i="23"/>
  <c r="I532" i="23" s="1"/>
  <c r="I540" i="23" s="1"/>
  <c r="G251" i="23"/>
  <c r="D100" i="23"/>
  <c r="E100" i="23" s="1"/>
  <c r="F100" i="23" s="1"/>
  <c r="F105" i="23" s="1"/>
  <c r="C105" i="23"/>
  <c r="E519" i="23"/>
  <c r="D653" i="23"/>
  <c r="G252" i="23"/>
  <c r="I576" i="23"/>
  <c r="J576" i="23" s="1"/>
  <c r="G684" i="23" l="1"/>
  <c r="G692" i="23" s="1"/>
  <c r="E108" i="25"/>
  <c r="L209" i="25"/>
  <c r="M200" i="25"/>
  <c r="M210" i="25"/>
  <c r="N201" i="25"/>
  <c r="M262" i="25"/>
  <c r="N253" i="25"/>
  <c r="F109" i="25"/>
  <c r="D108" i="25"/>
  <c r="C109" i="25" s="1"/>
  <c r="M208" i="25"/>
  <c r="N199" i="25"/>
  <c r="D589" i="25"/>
  <c r="G590" i="25"/>
  <c r="M295" i="25"/>
  <c r="M300" i="25" s="1"/>
  <c r="N282" i="25"/>
  <c r="M295" i="24"/>
  <c r="M300" i="24" s="1"/>
  <c r="N282" i="24"/>
  <c r="L208" i="24"/>
  <c r="M199" i="24"/>
  <c r="G590" i="24"/>
  <c r="N200" i="24"/>
  <c r="M209" i="24"/>
  <c r="E109" i="24"/>
  <c r="D109" i="24" s="1"/>
  <c r="C110" i="24" s="1"/>
  <c r="E588" i="24"/>
  <c r="F110" i="24"/>
  <c r="O262" i="24"/>
  <c r="P262" i="24" s="1"/>
  <c r="F272" i="24" s="1"/>
  <c r="F273" i="24" s="1"/>
  <c r="P253" i="24"/>
  <c r="O210" i="24"/>
  <c r="P210" i="24" s="1"/>
  <c r="P201" i="24"/>
  <c r="F215" i="24" s="1"/>
  <c r="M199" i="23"/>
  <c r="N200" i="23"/>
  <c r="H531" i="23"/>
  <c r="I499" i="23"/>
  <c r="I531" i="23" s="1"/>
  <c r="G539" i="23"/>
  <c r="G683" i="23"/>
  <c r="G691" i="23" s="1"/>
  <c r="H355" i="23"/>
  <c r="H358" i="23" s="1"/>
  <c r="H361" i="23" s="1"/>
  <c r="H386" i="23" s="1"/>
  <c r="D358" i="23"/>
  <c r="D361" i="23" s="1"/>
  <c r="Q317" i="23"/>
  <c r="Q318" i="23"/>
  <c r="F322" i="23"/>
  <c r="G322" i="23" s="1"/>
  <c r="H322" i="23" s="1"/>
  <c r="I322" i="23" s="1"/>
  <c r="J322" i="23" s="1"/>
  <c r="K322" i="23" s="1"/>
  <c r="L322" i="23" s="1"/>
  <c r="M322" i="23" s="1"/>
  <c r="N322" i="23" s="1"/>
  <c r="O322" i="23" s="1"/>
  <c r="P322" i="23" s="1"/>
  <c r="K282" i="23"/>
  <c r="J295" i="23"/>
  <c r="J300" i="23" s="1"/>
  <c r="F519" i="23"/>
  <c r="E105" i="23"/>
  <c r="D105" i="23" s="1"/>
  <c r="C106" i="23" s="1"/>
  <c r="I684" i="23"/>
  <c r="I692" i="23" s="1"/>
  <c r="F106" i="23"/>
  <c r="H684" i="23"/>
  <c r="H692" i="23" s="1"/>
  <c r="D579" i="23"/>
  <c r="D654" i="23"/>
  <c r="D656" i="23" s="1"/>
  <c r="D696" i="23"/>
  <c r="H252" i="23"/>
  <c r="E667" i="23"/>
  <c r="H251" i="23"/>
  <c r="E109" i="25" l="1"/>
  <c r="M209" i="25"/>
  <c r="N200" i="25"/>
  <c r="N262" i="25"/>
  <c r="O253" i="25"/>
  <c r="N208" i="25"/>
  <c r="O199" i="25"/>
  <c r="O282" i="25"/>
  <c r="N295" i="25"/>
  <c r="N300" i="25" s="1"/>
  <c r="G591" i="25"/>
  <c r="F589" i="25"/>
  <c r="F110" i="25"/>
  <c r="D109" i="25"/>
  <c r="C110" i="25" s="1"/>
  <c r="O201" i="25"/>
  <c r="N210" i="25"/>
  <c r="E110" i="24"/>
  <c r="F111" i="24"/>
  <c r="D110" i="24"/>
  <c r="C111" i="24" s="1"/>
  <c r="N295" i="24"/>
  <c r="N300" i="24" s="1"/>
  <c r="O282" i="24"/>
  <c r="F442" i="24"/>
  <c r="F220" i="24"/>
  <c r="M208" i="24"/>
  <c r="N199" i="24"/>
  <c r="O200" i="24"/>
  <c r="N209" i="24"/>
  <c r="D589" i="24"/>
  <c r="G591" i="24"/>
  <c r="O200" i="23"/>
  <c r="N199" i="23"/>
  <c r="I539" i="23"/>
  <c r="I683" i="23"/>
  <c r="I691" i="23" s="1"/>
  <c r="H539" i="23"/>
  <c r="H683" i="23"/>
  <c r="H691" i="23" s="1"/>
  <c r="F368" i="23"/>
  <c r="F372" i="23"/>
  <c r="F370" i="23"/>
  <c r="G370" i="23"/>
  <c r="I370" i="23" s="1"/>
  <c r="H385" i="23" s="1"/>
  <c r="G372" i="23"/>
  <c r="I372" i="23" s="1"/>
  <c r="G368" i="23"/>
  <c r="I368" i="23" s="1"/>
  <c r="Q322" i="23"/>
  <c r="L282" i="23"/>
  <c r="K295" i="23"/>
  <c r="K300" i="23" s="1"/>
  <c r="G519" i="23"/>
  <c r="E106" i="23"/>
  <c r="D106" i="23" s="1"/>
  <c r="C107" i="23" s="1"/>
  <c r="I252" i="23"/>
  <c r="G588" i="23"/>
  <c r="D588" i="23"/>
  <c r="F107" i="23"/>
  <c r="I251" i="23"/>
  <c r="E663" i="23"/>
  <c r="D697" i="23"/>
  <c r="D700" i="23" s="1"/>
  <c r="E664" i="23"/>
  <c r="C111" i="25" l="1"/>
  <c r="E110" i="25"/>
  <c r="O210" i="25"/>
  <c r="P210" i="25" s="1"/>
  <c r="P201" i="25"/>
  <c r="F215" i="25" s="1"/>
  <c r="O262" i="25"/>
  <c r="P262" i="25" s="1"/>
  <c r="F272" i="25" s="1"/>
  <c r="F273" i="25" s="1"/>
  <c r="P253" i="25"/>
  <c r="E589" i="25"/>
  <c r="P282" i="25"/>
  <c r="O295" i="25"/>
  <c r="O300" i="25" s="1"/>
  <c r="O208" i="25"/>
  <c r="P208" i="25" s="1"/>
  <c r="P199" i="25"/>
  <c r="F213" i="25" s="1"/>
  <c r="F111" i="25"/>
  <c r="D110" i="25"/>
  <c r="N209" i="25"/>
  <c r="O200" i="25"/>
  <c r="G592" i="25"/>
  <c r="H592" i="25"/>
  <c r="E111" i="24"/>
  <c r="D111" i="24"/>
  <c r="C112" i="24" s="1"/>
  <c r="F112" i="24"/>
  <c r="O295" i="24"/>
  <c r="O300" i="24" s="1"/>
  <c r="P282" i="24"/>
  <c r="G592" i="24"/>
  <c r="H592" i="24"/>
  <c r="O199" i="24"/>
  <c r="N208" i="24"/>
  <c r="F589" i="24"/>
  <c r="O209" i="24"/>
  <c r="P209" i="24" s="1"/>
  <c r="P200" i="24"/>
  <c r="O199" i="23"/>
  <c r="F219" i="23"/>
  <c r="P200" i="23"/>
  <c r="F214" i="23" s="1"/>
  <c r="L295" i="23"/>
  <c r="L300" i="23" s="1"/>
  <c r="M282" i="23"/>
  <c r="E665" i="23"/>
  <c r="E668" i="23" s="1"/>
  <c r="H519" i="23"/>
  <c r="I519" i="23"/>
  <c r="J252" i="23"/>
  <c r="J251" i="23"/>
  <c r="F588" i="23"/>
  <c r="G589" i="23"/>
  <c r="J709" i="23"/>
  <c r="D708" i="23"/>
  <c r="F108" i="23"/>
  <c r="E107" i="23"/>
  <c r="D107" i="23" s="1"/>
  <c r="C108" i="23" s="1"/>
  <c r="G593" i="25" l="1"/>
  <c r="F440" i="25"/>
  <c r="P211" i="25"/>
  <c r="F218" i="25"/>
  <c r="P295" i="25"/>
  <c r="P300" i="25" s="1"/>
  <c r="Q282" i="25"/>
  <c r="Q295" i="25" s="1"/>
  <c r="Q300" i="25" s="1"/>
  <c r="F442" i="25"/>
  <c r="F220" i="25"/>
  <c r="F112" i="25"/>
  <c r="D590" i="25"/>
  <c r="O209" i="25"/>
  <c r="P209" i="25" s="1"/>
  <c r="P200" i="25"/>
  <c r="E111" i="25"/>
  <c r="D111" i="25" s="1"/>
  <c r="C112" i="25" s="1"/>
  <c r="E112" i="24"/>
  <c r="O208" i="24"/>
  <c r="P208" i="24" s="1"/>
  <c r="P199" i="24"/>
  <c r="F213" i="24" s="1"/>
  <c r="F113" i="24"/>
  <c r="D112" i="24"/>
  <c r="C113" i="24" s="1"/>
  <c r="F267" i="24"/>
  <c r="F214" i="24"/>
  <c r="P295" i="24"/>
  <c r="P300" i="24" s="1"/>
  <c r="Q282" i="24"/>
  <c r="Q295" i="24" s="1"/>
  <c r="Q300" i="24" s="1"/>
  <c r="F441" i="24"/>
  <c r="F219" i="24"/>
  <c r="E589" i="24"/>
  <c r="G593" i="24"/>
  <c r="P199" i="23"/>
  <c r="F213" i="23" s="1"/>
  <c r="M295" i="23"/>
  <c r="M300" i="23" s="1"/>
  <c r="N282" i="23"/>
  <c r="E108" i="23"/>
  <c r="D108" i="23" s="1"/>
  <c r="C109" i="23" s="1"/>
  <c r="F109" i="23"/>
  <c r="E588" i="23"/>
  <c r="K251" i="23"/>
  <c r="K252" i="23"/>
  <c r="G590" i="23"/>
  <c r="E112" i="25" l="1"/>
  <c r="F443" i="25"/>
  <c r="E528" i="25" s="1"/>
  <c r="F113" i="25"/>
  <c r="D112" i="25"/>
  <c r="C113" i="25" s="1"/>
  <c r="F267" i="25"/>
  <c r="F214" i="25"/>
  <c r="F441" i="25"/>
  <c r="F219" i="25"/>
  <c r="F221" i="25"/>
  <c r="F590" i="25"/>
  <c r="G594" i="25"/>
  <c r="E113" i="24"/>
  <c r="F114" i="24"/>
  <c r="D113" i="24"/>
  <c r="C114" i="24" s="1"/>
  <c r="G594" i="24"/>
  <c r="F440" i="24"/>
  <c r="F443" i="24" s="1"/>
  <c r="E528" i="24" s="1"/>
  <c r="F218" i="24"/>
  <c r="F221" i="24" s="1"/>
  <c r="P211" i="24"/>
  <c r="D590" i="24"/>
  <c r="F218" i="23"/>
  <c r="F221" i="23" s="1"/>
  <c r="N295" i="23"/>
  <c r="N300" i="23" s="1"/>
  <c r="O282" i="23"/>
  <c r="E109" i="23"/>
  <c r="D109" i="23" s="1"/>
  <c r="C110" i="23" s="1"/>
  <c r="L252" i="23"/>
  <c r="F110" i="23"/>
  <c r="G591" i="23"/>
  <c r="L251" i="23"/>
  <c r="D589" i="23"/>
  <c r="E113" i="25" l="1"/>
  <c r="E680" i="25"/>
  <c r="E533" i="25"/>
  <c r="E536" i="25" s="1"/>
  <c r="E538" i="25" s="1"/>
  <c r="E543" i="25" s="1"/>
  <c r="E546" i="25" s="1"/>
  <c r="E537" i="25"/>
  <c r="E590" i="25"/>
  <c r="F114" i="25"/>
  <c r="D113" i="25"/>
  <c r="C114" i="25" s="1"/>
  <c r="G595" i="25"/>
  <c r="E114" i="24"/>
  <c r="G595" i="24"/>
  <c r="F115" i="24"/>
  <c r="D114" i="24"/>
  <c r="C115" i="24" s="1"/>
  <c r="F590" i="24"/>
  <c r="E680" i="24"/>
  <c r="E533" i="24"/>
  <c r="E536" i="24" s="1"/>
  <c r="E538" i="24" s="1"/>
  <c r="E543" i="24" s="1"/>
  <c r="E546" i="24" s="1"/>
  <c r="P282" i="23"/>
  <c r="O295" i="23"/>
  <c r="O300" i="23" s="1"/>
  <c r="E110" i="23"/>
  <c r="D110" i="23" s="1"/>
  <c r="C111" i="23" s="1"/>
  <c r="F589" i="23"/>
  <c r="F111" i="23"/>
  <c r="G592" i="23"/>
  <c r="M252" i="23"/>
  <c r="M251" i="23"/>
  <c r="E114" i="25" l="1"/>
  <c r="D591" i="25"/>
  <c r="E689" i="25"/>
  <c r="E685" i="25"/>
  <c r="G596" i="25"/>
  <c r="F115" i="25"/>
  <c r="D114" i="25"/>
  <c r="C115" i="25" s="1"/>
  <c r="J546" i="25"/>
  <c r="E553" i="25"/>
  <c r="D550" i="25"/>
  <c r="I550" i="25" s="1"/>
  <c r="D548" i="25"/>
  <c r="D549" i="25"/>
  <c r="E115" i="24"/>
  <c r="D115" i="24"/>
  <c r="C116" i="24" s="1"/>
  <c r="F116" i="24"/>
  <c r="G596" i="24"/>
  <c r="J546" i="24"/>
  <c r="E553" i="24"/>
  <c r="D550" i="24"/>
  <c r="I550" i="24" s="1"/>
  <c r="D549" i="24"/>
  <c r="D548" i="24"/>
  <c r="E689" i="24"/>
  <c r="E685" i="24"/>
  <c r="E590" i="24"/>
  <c r="P295" i="23"/>
  <c r="P300" i="23" s="1"/>
  <c r="Q282" i="23"/>
  <c r="Q295" i="23" s="1"/>
  <c r="Q300" i="23" s="1"/>
  <c r="E111" i="23"/>
  <c r="D111" i="23" s="1"/>
  <c r="C112" i="23" s="1"/>
  <c r="N252" i="23"/>
  <c r="E589" i="23"/>
  <c r="G593" i="23"/>
  <c r="H592" i="23"/>
  <c r="N251" i="23"/>
  <c r="F112" i="23"/>
  <c r="E115" i="25" l="1"/>
  <c r="C554" i="25"/>
  <c r="J553" i="25"/>
  <c r="J555" i="25" s="1"/>
  <c r="F591" i="25"/>
  <c r="F116" i="25"/>
  <c r="D115" i="25"/>
  <c r="C116" i="25" s="1"/>
  <c r="G597" i="25"/>
  <c r="E116" i="24"/>
  <c r="F117" i="24"/>
  <c r="D116" i="24"/>
  <c r="C117" i="24" s="1"/>
  <c r="G597" i="24"/>
  <c r="D591" i="24"/>
  <c r="C554" i="24"/>
  <c r="F558" i="24" s="1"/>
  <c r="J553" i="24"/>
  <c r="J555" i="24" s="1"/>
  <c r="E112" i="23"/>
  <c r="D112" i="23" s="1"/>
  <c r="C113" i="23" s="1"/>
  <c r="F113" i="23"/>
  <c r="G594" i="23"/>
  <c r="D590" i="23"/>
  <c r="O252" i="23"/>
  <c r="O251" i="23"/>
  <c r="E116" i="25" l="1"/>
  <c r="G598" i="25"/>
  <c r="D554" i="25"/>
  <c r="D555" i="25" s="1"/>
  <c r="D556" i="25" s="1"/>
  <c r="D557" i="25" s="1"/>
  <c r="D558" i="25" s="1"/>
  <c r="F558" i="25"/>
  <c r="G558" i="25" s="1"/>
  <c r="E591" i="25"/>
  <c r="F117" i="25"/>
  <c r="D116" i="25"/>
  <c r="C117" i="25" s="1"/>
  <c r="E117" i="24"/>
  <c r="G598" i="24"/>
  <c r="D554" i="24"/>
  <c r="D555" i="24" s="1"/>
  <c r="D556" i="24" s="1"/>
  <c r="D557" i="24" s="1"/>
  <c r="D558" i="24" s="1"/>
  <c r="G558" i="24"/>
  <c r="F591" i="24"/>
  <c r="D117" i="24"/>
  <c r="C118" i="24" s="1"/>
  <c r="F118" i="24"/>
  <c r="P252" i="23"/>
  <c r="F266" i="23" s="1"/>
  <c r="E113" i="23"/>
  <c r="D113" i="23" s="1"/>
  <c r="C114" i="23" s="1"/>
  <c r="G595" i="23"/>
  <c r="F590" i="23"/>
  <c r="F114" i="23"/>
  <c r="P251" i="23"/>
  <c r="F265" i="23" s="1"/>
  <c r="E117" i="25" l="1"/>
  <c r="G599" i="25"/>
  <c r="F118" i="25"/>
  <c r="D117" i="25"/>
  <c r="C118" i="25" s="1"/>
  <c r="D592" i="25"/>
  <c r="E118" i="24"/>
  <c r="F119" i="24"/>
  <c r="D118" i="24"/>
  <c r="C119" i="24" s="1"/>
  <c r="G599" i="24"/>
  <c r="E591" i="24"/>
  <c r="F267" i="23"/>
  <c r="E114" i="23"/>
  <c r="D114" i="23" s="1"/>
  <c r="C115" i="23" s="1"/>
  <c r="F115" i="23"/>
  <c r="G596" i="23"/>
  <c r="E590" i="23"/>
  <c r="E118" i="25" l="1"/>
  <c r="G600" i="25"/>
  <c r="F592" i="25"/>
  <c r="E592" i="25" s="1"/>
  <c r="D593" i="25" s="1"/>
  <c r="F119" i="25"/>
  <c r="D118" i="25"/>
  <c r="C119" i="25" s="1"/>
  <c r="E119" i="24"/>
  <c r="G600" i="24"/>
  <c r="D119" i="24"/>
  <c r="C120" i="24" s="1"/>
  <c r="F120" i="24"/>
  <c r="D592" i="24"/>
  <c r="E115" i="23"/>
  <c r="D115" i="23" s="1"/>
  <c r="C116" i="23" s="1"/>
  <c r="F116" i="23"/>
  <c r="D591" i="23"/>
  <c r="G597" i="23"/>
  <c r="F593" i="25" l="1"/>
  <c r="E593" i="25" s="1"/>
  <c r="D594" i="25" s="1"/>
  <c r="E119" i="25"/>
  <c r="D119" i="25" s="1"/>
  <c r="C120" i="25" s="1"/>
  <c r="G601" i="25"/>
  <c r="F120" i="25"/>
  <c r="E120" i="24"/>
  <c r="D120" i="24" s="1"/>
  <c r="C121" i="24" s="1"/>
  <c r="G601" i="24"/>
  <c r="F592" i="24"/>
  <c r="E592" i="24" s="1"/>
  <c r="F121" i="24"/>
  <c r="F471" i="23"/>
  <c r="E529" i="23" s="1"/>
  <c r="E116" i="23"/>
  <c r="D116" i="23" s="1"/>
  <c r="C117" i="23" s="1"/>
  <c r="F117" i="23"/>
  <c r="E680" i="23"/>
  <c r="G598" i="23"/>
  <c r="F591" i="23"/>
  <c r="E120" i="25" l="1"/>
  <c r="D120" i="25" s="1"/>
  <c r="C121" i="25" s="1"/>
  <c r="G602" i="25"/>
  <c r="F594" i="25"/>
  <c r="E594" i="25" s="1"/>
  <c r="D595" i="25" s="1"/>
  <c r="F121" i="25"/>
  <c r="E121" i="24"/>
  <c r="D593" i="24"/>
  <c r="G602" i="24"/>
  <c r="F122" i="24"/>
  <c r="D121" i="24"/>
  <c r="C122" i="24" s="1"/>
  <c r="F680" i="23"/>
  <c r="E681" i="23"/>
  <c r="E117" i="23"/>
  <c r="D117" i="23" s="1"/>
  <c r="C118" i="23" s="1"/>
  <c r="G471" i="23"/>
  <c r="F529" i="23" s="1"/>
  <c r="F118" i="23"/>
  <c r="E689" i="23"/>
  <c r="E591" i="23"/>
  <c r="G599" i="23"/>
  <c r="F595" i="25" l="1"/>
  <c r="E595" i="25" s="1"/>
  <c r="D596" i="25" s="1"/>
  <c r="E121" i="25"/>
  <c r="C122" i="25"/>
  <c r="G603" i="25"/>
  <c r="F122" i="25"/>
  <c r="D121" i="25"/>
  <c r="E122" i="24"/>
  <c r="D122" i="24" s="1"/>
  <c r="C123" i="24" s="1"/>
  <c r="G603" i="24"/>
  <c r="F593" i="24"/>
  <c r="E593" i="24" s="1"/>
  <c r="D594" i="24" s="1"/>
  <c r="F123" i="24"/>
  <c r="E118" i="23"/>
  <c r="D118" i="23" s="1"/>
  <c r="C119" i="23" s="1"/>
  <c r="D592" i="23"/>
  <c r="E497" i="23"/>
  <c r="E530" i="23" s="1"/>
  <c r="E533" i="23" s="1"/>
  <c r="E536" i="23" s="1"/>
  <c r="E538" i="23" s="1"/>
  <c r="E543" i="23" s="1"/>
  <c r="E546" i="23" s="1"/>
  <c r="E553" i="23" s="1"/>
  <c r="F497" i="23"/>
  <c r="F530" i="23" s="1"/>
  <c r="F533" i="23" s="1"/>
  <c r="F536" i="23" s="1"/>
  <c r="F538" i="23" s="1"/>
  <c r="F543" i="23" s="1"/>
  <c r="F546" i="23" s="1"/>
  <c r="G600" i="23"/>
  <c r="H471" i="23"/>
  <c r="G529" i="23" s="1"/>
  <c r="F689" i="23"/>
  <c r="F119" i="23"/>
  <c r="F553" i="23" l="1"/>
  <c r="C555" i="23" s="1"/>
  <c r="F596" i="25"/>
  <c r="E596" i="25" s="1"/>
  <c r="D597" i="25" s="1"/>
  <c r="G604" i="25"/>
  <c r="E122" i="25"/>
  <c r="D122" i="25" s="1"/>
  <c r="C123" i="25" s="1"/>
  <c r="F123" i="25"/>
  <c r="F594" i="24"/>
  <c r="E594" i="24" s="1"/>
  <c r="D595" i="24" s="1"/>
  <c r="E123" i="24"/>
  <c r="D123" i="24" s="1"/>
  <c r="C124" i="24" s="1"/>
  <c r="G604" i="24"/>
  <c r="F124" i="24"/>
  <c r="H680" i="23"/>
  <c r="E119" i="23"/>
  <c r="D119" i="23" s="1"/>
  <c r="C120" i="23" s="1"/>
  <c r="F592" i="23"/>
  <c r="E592" i="23" s="1"/>
  <c r="D593" i="23" s="1"/>
  <c r="F681" i="23"/>
  <c r="G601" i="23"/>
  <c r="F682" i="23"/>
  <c r="F502" i="23"/>
  <c r="E502" i="23"/>
  <c r="F120" i="23"/>
  <c r="G680" i="23"/>
  <c r="G681" i="23"/>
  <c r="G497" i="23"/>
  <c r="G530" i="23" s="1"/>
  <c r="G533" i="23" s="1"/>
  <c r="G536" i="23" s="1"/>
  <c r="G538" i="23" s="1"/>
  <c r="G543" i="23" s="1"/>
  <c r="G546" i="23" s="1"/>
  <c r="I471" i="23"/>
  <c r="H529" i="23" s="1"/>
  <c r="G553" i="23" l="1"/>
  <c r="C556" i="23" s="1"/>
  <c r="E123" i="25"/>
  <c r="F597" i="25"/>
  <c r="E597" i="25" s="1"/>
  <c r="D598" i="25" s="1"/>
  <c r="G605" i="25"/>
  <c r="F124" i="25"/>
  <c r="D123" i="25"/>
  <c r="C124" i="25" s="1"/>
  <c r="E124" i="24"/>
  <c r="F595" i="24"/>
  <c r="E595" i="24" s="1"/>
  <c r="D596" i="24" s="1"/>
  <c r="G605" i="24"/>
  <c r="F125" i="24"/>
  <c r="D124" i="24"/>
  <c r="C125" i="24" s="1"/>
  <c r="C554" i="23"/>
  <c r="F685" i="23"/>
  <c r="J471" i="23"/>
  <c r="E120" i="23"/>
  <c r="D120" i="23" s="1"/>
  <c r="C121" i="23" s="1"/>
  <c r="G689" i="23"/>
  <c r="H497" i="23"/>
  <c r="H530" i="23" s="1"/>
  <c r="H533" i="23" s="1"/>
  <c r="H536" i="23" s="1"/>
  <c r="H538" i="23" s="1"/>
  <c r="H543" i="23" s="1"/>
  <c r="H546" i="23" s="1"/>
  <c r="H553" i="23" s="1"/>
  <c r="E682" i="23"/>
  <c r="E685" i="23" s="1"/>
  <c r="G682" i="23"/>
  <c r="G685" i="23" s="1"/>
  <c r="G502" i="23"/>
  <c r="H689" i="23"/>
  <c r="G602" i="23"/>
  <c r="F593" i="23"/>
  <c r="E593" i="23" s="1"/>
  <c r="D594" i="23" s="1"/>
  <c r="F121" i="23"/>
  <c r="E124" i="25" l="1"/>
  <c r="F598" i="25"/>
  <c r="E598" i="25" s="1"/>
  <c r="D599" i="25" s="1"/>
  <c r="G606" i="25"/>
  <c r="F125" i="25"/>
  <c r="D124" i="25"/>
  <c r="C125" i="25" s="1"/>
  <c r="E125" i="24"/>
  <c r="F596" i="24"/>
  <c r="E596" i="24" s="1"/>
  <c r="D597" i="24" s="1"/>
  <c r="G606" i="24"/>
  <c r="F126" i="24"/>
  <c r="D125" i="24"/>
  <c r="C126" i="24" s="1"/>
  <c r="D554" i="23"/>
  <c r="D555" i="23" s="1"/>
  <c r="D556" i="23" s="1"/>
  <c r="F558" i="23"/>
  <c r="G558" i="23" s="1"/>
  <c r="I497" i="23"/>
  <c r="I530" i="23" s="1"/>
  <c r="I682" i="23" s="1"/>
  <c r="I529" i="23"/>
  <c r="I681" i="23" s="1"/>
  <c r="E121" i="23"/>
  <c r="D121" i="23" s="1"/>
  <c r="C122" i="23" s="1"/>
  <c r="F594" i="23"/>
  <c r="E594" i="23" s="1"/>
  <c r="D595" i="23" s="1"/>
  <c r="H682" i="23"/>
  <c r="H502" i="23"/>
  <c r="I680" i="23"/>
  <c r="F122" i="23"/>
  <c r="H681" i="23"/>
  <c r="G603" i="23"/>
  <c r="E125" i="25" l="1"/>
  <c r="D125" i="25" s="1"/>
  <c r="C126" i="25" s="1"/>
  <c r="F599" i="25"/>
  <c r="G607" i="25"/>
  <c r="F126" i="25"/>
  <c r="E126" i="24"/>
  <c r="D126" i="24" s="1"/>
  <c r="C127" i="24" s="1"/>
  <c r="F597" i="24"/>
  <c r="E597" i="24" s="1"/>
  <c r="D598" i="24" s="1"/>
  <c r="G607" i="24"/>
  <c r="F127" i="24"/>
  <c r="I502" i="23"/>
  <c r="I533" i="23"/>
  <c r="I536" i="23" s="1"/>
  <c r="I538" i="23" s="1"/>
  <c r="I543" i="23" s="1"/>
  <c r="I546" i="23" s="1"/>
  <c r="C557" i="23"/>
  <c r="D557" i="23" s="1"/>
  <c r="E122" i="23"/>
  <c r="D122" i="23" s="1"/>
  <c r="C123" i="23" s="1"/>
  <c r="G604" i="23"/>
  <c r="H685" i="23"/>
  <c r="F123" i="23"/>
  <c r="F595" i="23"/>
  <c r="E595" i="23" s="1"/>
  <c r="D596" i="23" s="1"/>
  <c r="I685" i="23"/>
  <c r="I689" i="23"/>
  <c r="D548" i="23" l="1"/>
  <c r="I553" i="23"/>
  <c r="E126" i="25"/>
  <c r="D126" i="25" s="1"/>
  <c r="C127" i="25" s="1"/>
  <c r="G608" i="25"/>
  <c r="E686" i="25"/>
  <c r="E599" i="25"/>
  <c r="F127" i="25"/>
  <c r="F598" i="24"/>
  <c r="E598" i="24" s="1"/>
  <c r="D599" i="24" s="1"/>
  <c r="E127" i="24"/>
  <c r="D127" i="24" s="1"/>
  <c r="C128" i="24" s="1"/>
  <c r="G608" i="24"/>
  <c r="F128" i="24"/>
  <c r="D550" i="23"/>
  <c r="I550" i="23" s="1"/>
  <c r="J546" i="23"/>
  <c r="D549" i="23"/>
  <c r="E123" i="23"/>
  <c r="D123" i="23" s="1"/>
  <c r="C124" i="23" s="1"/>
  <c r="F596" i="23"/>
  <c r="E596" i="23" s="1"/>
  <c r="D597" i="23" s="1"/>
  <c r="G605" i="23"/>
  <c r="F124" i="23"/>
  <c r="E127" i="25" l="1"/>
  <c r="E698" i="25"/>
  <c r="D600" i="25"/>
  <c r="E693" i="25"/>
  <c r="E699" i="25" s="1"/>
  <c r="E688" i="25"/>
  <c r="E690" i="25" s="1"/>
  <c r="E695" i="25" s="1"/>
  <c r="E700" i="25" s="1"/>
  <c r="G609" i="25"/>
  <c r="F128" i="25"/>
  <c r="D127" i="25"/>
  <c r="C128" i="25" s="1"/>
  <c r="E128" i="24"/>
  <c r="D128" i="24" s="1"/>
  <c r="C129" i="24" s="1"/>
  <c r="F599" i="24"/>
  <c r="G609" i="24"/>
  <c r="F129" i="24"/>
  <c r="C558" i="23"/>
  <c r="D558" i="23" s="1"/>
  <c r="J553" i="23"/>
  <c r="J555" i="23" s="1"/>
  <c r="E124" i="23"/>
  <c r="D124" i="23" s="1"/>
  <c r="C125" i="23" s="1"/>
  <c r="F597" i="23"/>
  <c r="E597" i="23" s="1"/>
  <c r="D598" i="23" s="1"/>
  <c r="G606" i="23"/>
  <c r="F125" i="23"/>
  <c r="E128" i="25" l="1"/>
  <c r="E708" i="25"/>
  <c r="F600" i="25"/>
  <c r="F129" i="25"/>
  <c r="D128" i="25"/>
  <c r="C129" i="25" s="1"/>
  <c r="G610" i="25"/>
  <c r="E129" i="24"/>
  <c r="E686" i="24"/>
  <c r="E599" i="24"/>
  <c r="G610" i="24"/>
  <c r="D129" i="24"/>
  <c r="C130" i="24" s="1"/>
  <c r="F130" i="24"/>
  <c r="F598" i="23"/>
  <c r="E598" i="23" s="1"/>
  <c r="D599" i="23" s="1"/>
  <c r="E125" i="23"/>
  <c r="D125" i="23" s="1"/>
  <c r="C126" i="23" s="1"/>
  <c r="F126" i="23"/>
  <c r="G607" i="23"/>
  <c r="E129" i="25" l="1"/>
  <c r="C709" i="25"/>
  <c r="F130" i="25"/>
  <c r="D129" i="25"/>
  <c r="C130" i="25" s="1"/>
  <c r="E600" i="25"/>
  <c r="G611" i="25"/>
  <c r="E130" i="24"/>
  <c r="C131" i="24"/>
  <c r="E698" i="24"/>
  <c r="D600" i="24"/>
  <c r="D130" i="24"/>
  <c r="F131" i="24"/>
  <c r="G611" i="24"/>
  <c r="E693" i="24"/>
  <c r="E699" i="24" s="1"/>
  <c r="E688" i="24"/>
  <c r="E690" i="24" s="1"/>
  <c r="E695" i="24" s="1"/>
  <c r="E700" i="24" s="1"/>
  <c r="E126" i="23"/>
  <c r="D126" i="23" s="1"/>
  <c r="C127" i="23" s="1"/>
  <c r="F599" i="23"/>
  <c r="G608" i="23"/>
  <c r="F127" i="23"/>
  <c r="E130" i="25" l="1"/>
  <c r="G612" i="25"/>
  <c r="D601" i="25"/>
  <c r="F131" i="25"/>
  <c r="D130" i="25"/>
  <c r="C131" i="25" s="1"/>
  <c r="D709" i="25"/>
  <c r="F713" i="25"/>
  <c r="G713" i="25" s="1"/>
  <c r="E708" i="24"/>
  <c r="E131" i="24"/>
  <c r="D131" i="24" s="1"/>
  <c r="C132" i="24" s="1"/>
  <c r="F132" i="24"/>
  <c r="F600" i="24"/>
  <c r="G612" i="24"/>
  <c r="E127" i="23"/>
  <c r="D127" i="23" s="1"/>
  <c r="C128" i="23" s="1"/>
  <c r="F128" i="23"/>
  <c r="E686" i="23"/>
  <c r="E599" i="23"/>
  <c r="G609" i="23"/>
  <c r="E131" i="25" l="1"/>
  <c r="D131" i="25" s="1"/>
  <c r="C132" i="25" s="1"/>
  <c r="F601" i="25"/>
  <c r="G613" i="25"/>
  <c r="F132" i="25"/>
  <c r="E132" i="24"/>
  <c r="D132" i="24" s="1"/>
  <c r="C133" i="24" s="1"/>
  <c r="G613" i="24"/>
  <c r="E600" i="24"/>
  <c r="F133" i="24"/>
  <c r="C709" i="24"/>
  <c r="E128" i="23"/>
  <c r="D128" i="23" s="1"/>
  <c r="C129" i="23" s="1"/>
  <c r="F129" i="23"/>
  <c r="G610" i="23"/>
  <c r="E698" i="23"/>
  <c r="D600" i="23"/>
  <c r="E693" i="23"/>
  <c r="E699" i="23" s="1"/>
  <c r="E688" i="23"/>
  <c r="E690" i="23" s="1"/>
  <c r="E132" i="25" l="1"/>
  <c r="G614" i="25"/>
  <c r="E601" i="25"/>
  <c r="F133" i="25"/>
  <c r="D132" i="25"/>
  <c r="C133" i="25" s="1"/>
  <c r="E133" i="24"/>
  <c r="D601" i="24"/>
  <c r="G614" i="24"/>
  <c r="F713" i="24"/>
  <c r="G713" i="24" s="1"/>
  <c r="D709" i="24"/>
  <c r="D133" i="24"/>
  <c r="C134" i="24" s="1"/>
  <c r="F134" i="24"/>
  <c r="E695" i="23"/>
  <c r="E700" i="23" s="1"/>
  <c r="E708" i="23" s="1"/>
  <c r="E129" i="23"/>
  <c r="D129" i="23" s="1"/>
  <c r="C130" i="23" s="1"/>
  <c r="F130" i="23"/>
  <c r="G611" i="23"/>
  <c r="F600" i="23"/>
  <c r="E133" i="25" l="1"/>
  <c r="D602" i="25"/>
  <c r="G615" i="25"/>
  <c r="F134" i="25"/>
  <c r="D133" i="25"/>
  <c r="C134" i="25" s="1"/>
  <c r="E134" i="24"/>
  <c r="D134" i="24" s="1"/>
  <c r="C135" i="24" s="1"/>
  <c r="G615" i="24"/>
  <c r="F135" i="24"/>
  <c r="F601" i="24"/>
  <c r="E130" i="23"/>
  <c r="D130" i="23" s="1"/>
  <c r="C131" i="23" s="1"/>
  <c r="E600" i="23"/>
  <c r="G612" i="23"/>
  <c r="C709" i="23"/>
  <c r="F131" i="23"/>
  <c r="D709" i="23" l="1"/>
  <c r="F713" i="23"/>
  <c r="E134" i="25"/>
  <c r="D134" i="25" s="1"/>
  <c r="C135" i="25" s="1"/>
  <c r="G616" i="25"/>
  <c r="F602" i="25"/>
  <c r="F135" i="25"/>
  <c r="E135" i="24"/>
  <c r="F136" i="24"/>
  <c r="D135" i="24"/>
  <c r="C136" i="24" s="1"/>
  <c r="G616" i="24"/>
  <c r="E601" i="24"/>
  <c r="E131" i="23"/>
  <c r="D131" i="23" s="1"/>
  <c r="C132" i="23" s="1"/>
  <c r="G613" i="23"/>
  <c r="F132" i="23"/>
  <c r="D601" i="23"/>
  <c r="E135" i="25" l="1"/>
  <c r="E602" i="25"/>
  <c r="G617" i="25"/>
  <c r="F136" i="25"/>
  <c r="D135" i="25"/>
  <c r="C136" i="25" s="1"/>
  <c r="E136" i="24"/>
  <c r="F137" i="24"/>
  <c r="D136" i="24"/>
  <c r="C137" i="24" s="1"/>
  <c r="G617" i="24"/>
  <c r="D602" i="24"/>
  <c r="E132" i="23"/>
  <c r="D132" i="23" s="1"/>
  <c r="C133" i="23" s="1"/>
  <c r="F601" i="23"/>
  <c r="G614" i="23"/>
  <c r="F133" i="23"/>
  <c r="E136" i="25" l="1"/>
  <c r="D136" i="25" s="1"/>
  <c r="C137" i="25" s="1"/>
  <c r="G618" i="25"/>
  <c r="D603" i="25"/>
  <c r="F137" i="25"/>
  <c r="E137" i="24"/>
  <c r="F138" i="24"/>
  <c r="D137" i="24"/>
  <c r="C138" i="24" s="1"/>
  <c r="G618" i="24"/>
  <c r="F602" i="24"/>
  <c r="E133" i="23"/>
  <c r="D133" i="23" s="1"/>
  <c r="C134" i="23" s="1"/>
  <c r="G615" i="23"/>
  <c r="E601" i="23"/>
  <c r="F134" i="23"/>
  <c r="E137" i="25" l="1"/>
  <c r="F603" i="25"/>
  <c r="G619" i="25"/>
  <c r="D137" i="25"/>
  <c r="C138" i="25" s="1"/>
  <c r="F138" i="25"/>
  <c r="E138" i="24"/>
  <c r="G619" i="24"/>
  <c r="D138" i="24"/>
  <c r="C139" i="24" s="1"/>
  <c r="F139" i="24"/>
  <c r="E602" i="24"/>
  <c r="D602" i="23"/>
  <c r="G616" i="23"/>
  <c r="F135" i="23"/>
  <c r="E134" i="23"/>
  <c r="D134" i="23" s="1"/>
  <c r="C135" i="23" s="1"/>
  <c r="E138" i="25" l="1"/>
  <c r="E603" i="25"/>
  <c r="F139" i="25"/>
  <c r="D138" i="25"/>
  <c r="C139" i="25" s="1"/>
  <c r="G620" i="25"/>
  <c r="E139" i="24"/>
  <c r="D139" i="24"/>
  <c r="C140" i="24" s="1"/>
  <c r="F140" i="24"/>
  <c r="G620" i="24"/>
  <c r="D603" i="24"/>
  <c r="F136" i="23"/>
  <c r="G617" i="23"/>
  <c r="E135" i="23"/>
  <c r="D135" i="23" s="1"/>
  <c r="C136" i="23" s="1"/>
  <c r="F602" i="23"/>
  <c r="E139" i="25" l="1"/>
  <c r="D139" i="25" s="1"/>
  <c r="C140" i="25" s="1"/>
  <c r="D604" i="25"/>
  <c r="F140" i="25"/>
  <c r="G621" i="25"/>
  <c r="E140" i="24"/>
  <c r="G621" i="24"/>
  <c r="F141" i="24"/>
  <c r="D140" i="24"/>
  <c r="C141" i="24" s="1"/>
  <c r="F603" i="24"/>
  <c r="E136" i="23"/>
  <c r="D136" i="23" s="1"/>
  <c r="C137" i="23" s="1"/>
  <c r="G618" i="23"/>
  <c r="E602" i="23"/>
  <c r="F137" i="23"/>
  <c r="C141" i="25" l="1"/>
  <c r="E140" i="25"/>
  <c r="G622" i="25"/>
  <c r="D140" i="25"/>
  <c r="F141" i="25"/>
  <c r="F604" i="25"/>
  <c r="E141" i="24"/>
  <c r="D141" i="24"/>
  <c r="C142" i="24" s="1"/>
  <c r="F142" i="24"/>
  <c r="G622" i="24"/>
  <c r="E603" i="24"/>
  <c r="E137" i="23"/>
  <c r="D137" i="23" s="1"/>
  <c r="C138" i="23" s="1"/>
  <c r="D603" i="23"/>
  <c r="G619" i="23"/>
  <c r="F138" i="23"/>
  <c r="E604" i="25" l="1"/>
  <c r="G623" i="25"/>
  <c r="E141" i="25"/>
  <c r="D141" i="25" s="1"/>
  <c r="C142" i="25" s="1"/>
  <c r="F142" i="25"/>
  <c r="E142" i="24"/>
  <c r="F143" i="24"/>
  <c r="D142" i="24"/>
  <c r="C143" i="24" s="1"/>
  <c r="G623" i="24"/>
  <c r="D604" i="24"/>
  <c r="E138" i="23"/>
  <c r="D138" i="23" s="1"/>
  <c r="C139" i="23" s="1"/>
  <c r="G620" i="23"/>
  <c r="F603" i="23"/>
  <c r="F139" i="23"/>
  <c r="E142" i="25" l="1"/>
  <c r="G624" i="25"/>
  <c r="F143" i="25"/>
  <c r="D142" i="25"/>
  <c r="C143" i="25" s="1"/>
  <c r="D605" i="25"/>
  <c r="E143" i="24"/>
  <c r="F144" i="24"/>
  <c r="D143" i="24"/>
  <c r="C144" i="24" s="1"/>
  <c r="G624" i="24"/>
  <c r="F604" i="24"/>
  <c r="E139" i="23"/>
  <c r="D139" i="23" s="1"/>
  <c r="C140" i="23" s="1"/>
  <c r="G621" i="23"/>
  <c r="E603" i="23"/>
  <c r="F140" i="23"/>
  <c r="E143" i="25" l="1"/>
  <c r="D143" i="25"/>
  <c r="C144" i="25" s="1"/>
  <c r="F144" i="25"/>
  <c r="G625" i="25"/>
  <c r="F605" i="25"/>
  <c r="E605" i="25" s="1"/>
  <c r="D606" i="25"/>
  <c r="E144" i="24"/>
  <c r="G625" i="24"/>
  <c r="F145" i="24"/>
  <c r="D144" i="24"/>
  <c r="C145" i="24" s="1"/>
  <c r="E604" i="24"/>
  <c r="E140" i="23"/>
  <c r="D140" i="23" s="1"/>
  <c r="C141" i="23" s="1"/>
  <c r="G622" i="23"/>
  <c r="F141" i="23"/>
  <c r="D604" i="23"/>
  <c r="E144" i="25" l="1"/>
  <c r="G626" i="25"/>
  <c r="F606" i="25"/>
  <c r="E606" i="25" s="1"/>
  <c r="D607" i="25" s="1"/>
  <c r="F145" i="25"/>
  <c r="D144" i="25"/>
  <c r="C145" i="25" s="1"/>
  <c r="E145" i="24"/>
  <c r="F146" i="24"/>
  <c r="D145" i="24"/>
  <c r="C146" i="24" s="1"/>
  <c r="G626" i="24"/>
  <c r="D605" i="24"/>
  <c r="E141" i="23"/>
  <c r="D141" i="23" s="1"/>
  <c r="C142" i="23" s="1"/>
  <c r="F142" i="23"/>
  <c r="G623" i="23"/>
  <c r="F604" i="23"/>
  <c r="E145" i="25" l="1"/>
  <c r="F607" i="25"/>
  <c r="E607" i="25" s="1"/>
  <c r="D608" i="25" s="1"/>
  <c r="G627" i="25"/>
  <c r="F146" i="25"/>
  <c r="D145" i="25"/>
  <c r="C146" i="25" s="1"/>
  <c r="E146" i="24"/>
  <c r="F147" i="24"/>
  <c r="D146" i="24"/>
  <c r="C147" i="24" s="1"/>
  <c r="F605" i="24"/>
  <c r="E605" i="24" s="1"/>
  <c r="D606" i="24" s="1"/>
  <c r="G627" i="24"/>
  <c r="E142" i="23"/>
  <c r="D142" i="23" s="1"/>
  <c r="C143" i="23" s="1"/>
  <c r="G624" i="23"/>
  <c r="F143" i="23"/>
  <c r="E604" i="23"/>
  <c r="E146" i="25" l="1"/>
  <c r="D146" i="25" s="1"/>
  <c r="C147" i="25" s="1"/>
  <c r="F608" i="25"/>
  <c r="E608" i="25" s="1"/>
  <c r="D609" i="25" s="1"/>
  <c r="G628" i="25"/>
  <c r="F147" i="25"/>
  <c r="E147" i="24"/>
  <c r="D147" i="24"/>
  <c r="C148" i="24" s="1"/>
  <c r="F148" i="24"/>
  <c r="F606" i="24"/>
  <c r="E606" i="24" s="1"/>
  <c r="D607" i="24" s="1"/>
  <c r="G628" i="24"/>
  <c r="E143" i="23"/>
  <c r="D143" i="23" s="1"/>
  <c r="C144" i="23" s="1"/>
  <c r="F144" i="23"/>
  <c r="G625" i="23"/>
  <c r="D605" i="23"/>
  <c r="F609" i="25" l="1"/>
  <c r="E609" i="25" s="1"/>
  <c r="D610" i="25" s="1"/>
  <c r="C148" i="25"/>
  <c r="E147" i="25"/>
  <c r="G629" i="25"/>
  <c r="F148" i="25"/>
  <c r="D147" i="25"/>
  <c r="F607" i="24"/>
  <c r="E607" i="24" s="1"/>
  <c r="D608" i="24" s="1"/>
  <c r="E148" i="24"/>
  <c r="D148" i="24" s="1"/>
  <c r="C149" i="24" s="1"/>
  <c r="F149" i="24"/>
  <c r="G629" i="24"/>
  <c r="E144" i="23"/>
  <c r="D144" i="23" s="1"/>
  <c r="C145" i="23" s="1"/>
  <c r="G626" i="23"/>
  <c r="F605" i="23"/>
  <c r="E605" i="23" s="1"/>
  <c r="D606" i="23" s="1"/>
  <c r="F145" i="23"/>
  <c r="F610" i="25" l="1"/>
  <c r="E610" i="25" s="1"/>
  <c r="D611" i="25"/>
  <c r="G630" i="25"/>
  <c r="E148" i="25"/>
  <c r="D148" i="25" s="1"/>
  <c r="C149" i="25" s="1"/>
  <c r="F149" i="25"/>
  <c r="E149" i="24"/>
  <c r="F608" i="24"/>
  <c r="E608" i="24" s="1"/>
  <c r="D609" i="24" s="1"/>
  <c r="F150" i="24"/>
  <c r="D149" i="24"/>
  <c r="C150" i="24" s="1"/>
  <c r="G630" i="24"/>
  <c r="E145" i="23"/>
  <c r="D145" i="23" s="1"/>
  <c r="C146" i="23" s="1"/>
  <c r="F606" i="23"/>
  <c r="E606" i="23" s="1"/>
  <c r="D607" i="23" s="1"/>
  <c r="G627" i="23"/>
  <c r="F146" i="23"/>
  <c r="E149" i="25" l="1"/>
  <c r="D149" i="25" s="1"/>
  <c r="C150" i="25" s="1"/>
  <c r="G631" i="25"/>
  <c r="F611" i="25"/>
  <c r="F150" i="25"/>
  <c r="E150" i="24"/>
  <c r="F609" i="24"/>
  <c r="E609" i="24" s="1"/>
  <c r="D610" i="24" s="1"/>
  <c r="D150" i="24"/>
  <c r="C151" i="24" s="1"/>
  <c r="F151" i="24"/>
  <c r="G631" i="24"/>
  <c r="E146" i="23"/>
  <c r="D146" i="23" s="1"/>
  <c r="C147" i="23" s="1"/>
  <c r="G628" i="23"/>
  <c r="F607" i="23"/>
  <c r="E607" i="23" s="1"/>
  <c r="D608" i="23" s="1"/>
  <c r="F147" i="23"/>
  <c r="E150" i="25" l="1"/>
  <c r="D150" i="25" s="1"/>
  <c r="C151" i="25" s="1"/>
  <c r="G632" i="25"/>
  <c r="E611" i="25"/>
  <c r="F686" i="25"/>
  <c r="F151" i="25"/>
  <c r="E151" i="24"/>
  <c r="F610" i="24"/>
  <c r="E610" i="24" s="1"/>
  <c r="D611" i="24" s="1"/>
  <c r="D151" i="24"/>
  <c r="C152" i="24" s="1"/>
  <c r="F152" i="24"/>
  <c r="G632" i="24"/>
  <c r="F608" i="23"/>
  <c r="E608" i="23" s="1"/>
  <c r="D609" i="23" s="1"/>
  <c r="E147" i="23"/>
  <c r="D147" i="23" s="1"/>
  <c r="C148" i="23" s="1"/>
  <c r="G629" i="23"/>
  <c r="F148" i="23"/>
  <c r="E151" i="25" l="1"/>
  <c r="F698" i="25"/>
  <c r="D612" i="25"/>
  <c r="G633" i="25"/>
  <c r="F693" i="25"/>
  <c r="F699" i="25" s="1"/>
  <c r="F688" i="25"/>
  <c r="F690" i="25" s="1"/>
  <c r="F695" i="25" s="1"/>
  <c r="F700" i="25" s="1"/>
  <c r="F152" i="25"/>
  <c r="D151" i="25"/>
  <c r="C152" i="25" s="1"/>
  <c r="E152" i="24"/>
  <c r="F611" i="24"/>
  <c r="F153" i="24"/>
  <c r="D152" i="24"/>
  <c r="C153" i="24" s="1"/>
  <c r="G633" i="24"/>
  <c r="E148" i="23"/>
  <c r="D148" i="23" s="1"/>
  <c r="C149" i="23" s="1"/>
  <c r="F609" i="23"/>
  <c r="E609" i="23" s="1"/>
  <c r="D610" i="23" s="1"/>
  <c r="G630" i="23"/>
  <c r="F149" i="23"/>
  <c r="E152" i="25" l="1"/>
  <c r="F708" i="25"/>
  <c r="G634" i="25"/>
  <c r="F612" i="25"/>
  <c r="D152" i="25"/>
  <c r="C153" i="25" s="1"/>
  <c r="F153" i="25"/>
  <c r="E153" i="24"/>
  <c r="F154" i="24"/>
  <c r="D153" i="24"/>
  <c r="C154" i="24" s="1"/>
  <c r="G634" i="24"/>
  <c r="E611" i="24"/>
  <c r="F686" i="24"/>
  <c r="E149" i="23"/>
  <c r="D149" i="23" s="1"/>
  <c r="C150" i="23" s="1"/>
  <c r="G631" i="23"/>
  <c r="F150" i="23"/>
  <c r="F610" i="23"/>
  <c r="E610" i="23" s="1"/>
  <c r="D611" i="23" s="1"/>
  <c r="E153" i="25" l="1"/>
  <c r="C710" i="25"/>
  <c r="D710" i="25" s="1"/>
  <c r="E612" i="25"/>
  <c r="G635" i="25"/>
  <c r="F154" i="25"/>
  <c r="D153" i="25"/>
  <c r="C154" i="25" s="1"/>
  <c r="E154" i="24"/>
  <c r="G635" i="24"/>
  <c r="F155" i="24"/>
  <c r="D154" i="24"/>
  <c r="C155" i="24" s="1"/>
  <c r="F693" i="24"/>
  <c r="F699" i="24" s="1"/>
  <c r="F688" i="24"/>
  <c r="F690" i="24" s="1"/>
  <c r="F695" i="24" s="1"/>
  <c r="F698" i="24"/>
  <c r="D612" i="24"/>
  <c r="F611" i="23"/>
  <c r="E150" i="23"/>
  <c r="D150" i="23" s="1"/>
  <c r="C151" i="23" s="1"/>
  <c r="F151" i="23"/>
  <c r="G632" i="23"/>
  <c r="E154" i="25" l="1"/>
  <c r="F155" i="25"/>
  <c r="D154" i="25"/>
  <c r="C155" i="25" s="1"/>
  <c r="D613" i="25"/>
  <c r="G636" i="25"/>
  <c r="E155" i="24"/>
  <c r="F156" i="24"/>
  <c r="D155" i="24"/>
  <c r="C156" i="24" s="1"/>
  <c r="F612" i="24"/>
  <c r="G636" i="24"/>
  <c r="F700" i="24"/>
  <c r="E151" i="23"/>
  <c r="D151" i="23" s="1"/>
  <c r="C152" i="23" s="1"/>
  <c r="F152" i="23"/>
  <c r="G633" i="23"/>
  <c r="E611" i="23"/>
  <c r="F686" i="23"/>
  <c r="E155" i="25" l="1"/>
  <c r="D155" i="25"/>
  <c r="C156" i="25" s="1"/>
  <c r="F156" i="25"/>
  <c r="G637" i="25"/>
  <c r="F613" i="25"/>
  <c r="E156" i="24"/>
  <c r="E612" i="24"/>
  <c r="F708" i="24"/>
  <c r="D156" i="24"/>
  <c r="C157" i="24" s="1"/>
  <c r="F157" i="24"/>
  <c r="G637" i="24"/>
  <c r="E152" i="23"/>
  <c r="D152" i="23" s="1"/>
  <c r="C153" i="23" s="1"/>
  <c r="G634" i="23"/>
  <c r="F693" i="23"/>
  <c r="F699" i="23" s="1"/>
  <c r="F688" i="23"/>
  <c r="F690" i="23" s="1"/>
  <c r="F153" i="23"/>
  <c r="F698" i="23"/>
  <c r="D612" i="23"/>
  <c r="E156" i="25" l="1"/>
  <c r="G638" i="25"/>
  <c r="F157" i="25"/>
  <c r="D156" i="25"/>
  <c r="C157" i="25" s="1"/>
  <c r="E613" i="25"/>
  <c r="E157" i="24"/>
  <c r="D157" i="24"/>
  <c r="C158" i="24" s="1"/>
  <c r="F158" i="24"/>
  <c r="C710" i="24"/>
  <c r="D710" i="24" s="1"/>
  <c r="D613" i="24"/>
  <c r="G638" i="24"/>
  <c r="F695" i="23"/>
  <c r="F700" i="23" s="1"/>
  <c r="F708" i="23" s="1"/>
  <c r="E153" i="23"/>
  <c r="D153" i="23" s="1"/>
  <c r="C154" i="23" s="1"/>
  <c r="F612" i="23"/>
  <c r="G635" i="23"/>
  <c r="F154" i="23"/>
  <c r="E157" i="25" l="1"/>
  <c r="F158" i="25"/>
  <c r="D157" i="25"/>
  <c r="C158" i="25" s="1"/>
  <c r="G639" i="25"/>
  <c r="D614" i="25"/>
  <c r="E158" i="24"/>
  <c r="D158" i="24" s="1"/>
  <c r="C159" i="24" s="1"/>
  <c r="G639" i="24"/>
  <c r="F159" i="24"/>
  <c r="F613" i="24"/>
  <c r="E154" i="23"/>
  <c r="D154" i="23" s="1"/>
  <c r="C155" i="23" s="1"/>
  <c r="G636" i="23"/>
  <c r="C710" i="23"/>
  <c r="D710" i="23" s="1"/>
  <c r="E612" i="23"/>
  <c r="F155" i="23"/>
  <c r="E158" i="25" l="1"/>
  <c r="D158" i="25"/>
  <c r="C159" i="25" s="1"/>
  <c r="F159" i="25"/>
  <c r="F614" i="25"/>
  <c r="G640" i="25"/>
  <c r="E159" i="24"/>
  <c r="E613" i="24"/>
  <c r="D159" i="24"/>
  <c r="C160" i="24" s="1"/>
  <c r="F160" i="24"/>
  <c r="G640" i="24"/>
  <c r="E155" i="23"/>
  <c r="D155" i="23" s="1"/>
  <c r="C156" i="23" s="1"/>
  <c r="F156" i="23"/>
  <c r="G637" i="23"/>
  <c r="D613" i="23"/>
  <c r="E159" i="25" l="1"/>
  <c r="E614" i="25"/>
  <c r="F160" i="25"/>
  <c r="D159" i="25"/>
  <c r="C160" i="25" s="1"/>
  <c r="G641" i="25"/>
  <c r="E160" i="24"/>
  <c r="D160" i="24"/>
  <c r="C161" i="24" s="1"/>
  <c r="F161" i="24"/>
  <c r="D614" i="24"/>
  <c r="G641" i="24"/>
  <c r="E156" i="23"/>
  <c r="D156" i="23" s="1"/>
  <c r="C157" i="23" s="1"/>
  <c r="F157" i="23"/>
  <c r="F613" i="23"/>
  <c r="G638" i="23"/>
  <c r="E160" i="25" l="1"/>
  <c r="D615" i="25"/>
  <c r="F161" i="25"/>
  <c r="D160" i="25"/>
  <c r="C161" i="25" s="1"/>
  <c r="G642" i="25"/>
  <c r="E161" i="24"/>
  <c r="F614" i="24"/>
  <c r="F162" i="24"/>
  <c r="D161" i="24"/>
  <c r="C162" i="24" s="1"/>
  <c r="G642" i="24"/>
  <c r="E157" i="23"/>
  <c r="D157" i="23" s="1"/>
  <c r="C158" i="23" s="1"/>
  <c r="F158" i="23"/>
  <c r="E613" i="23"/>
  <c r="G639" i="23"/>
  <c r="E161" i="25" l="1"/>
  <c r="D161" i="25"/>
  <c r="C162" i="25" s="1"/>
  <c r="F162" i="25"/>
  <c r="F615" i="25"/>
  <c r="G643" i="25"/>
  <c r="E162" i="24"/>
  <c r="F163" i="24"/>
  <c r="D162" i="24"/>
  <c r="C163" i="24" s="1"/>
  <c r="E614" i="24"/>
  <c r="G643" i="24"/>
  <c r="F159" i="23"/>
  <c r="E158" i="23"/>
  <c r="D158" i="23" s="1"/>
  <c r="C159" i="23" s="1"/>
  <c r="D614" i="23"/>
  <c r="G640" i="23"/>
  <c r="E162" i="25" l="1"/>
  <c r="E615" i="25"/>
  <c r="F163" i="25"/>
  <c r="D162" i="25"/>
  <c r="C163" i="25" s="1"/>
  <c r="G644" i="25"/>
  <c r="E163" i="24"/>
  <c r="D615" i="24"/>
  <c r="F164" i="24"/>
  <c r="D163" i="24"/>
  <c r="C164" i="24" s="1"/>
  <c r="E164" i="24" s="1"/>
  <c r="G644" i="24"/>
  <c r="E159" i="23"/>
  <c r="D159" i="23" s="1"/>
  <c r="C160" i="23" s="1"/>
  <c r="G641" i="23"/>
  <c r="F160" i="23"/>
  <c r="F614" i="23"/>
  <c r="E163" i="25" l="1"/>
  <c r="F164" i="25"/>
  <c r="D163" i="25"/>
  <c r="C164" i="25" s="1"/>
  <c r="E164" i="25" s="1"/>
  <c r="D616" i="25"/>
  <c r="G645" i="25"/>
  <c r="D164" i="24"/>
  <c r="F615" i="24"/>
  <c r="G645" i="24"/>
  <c r="E160" i="23"/>
  <c r="D160" i="23" s="1"/>
  <c r="C161" i="23" s="1"/>
  <c r="G642" i="23"/>
  <c r="F161" i="23"/>
  <c r="E614" i="23"/>
  <c r="F616" i="25" l="1"/>
  <c r="G646" i="25"/>
  <c r="D164" i="25"/>
  <c r="G646" i="24"/>
  <c r="E615" i="24"/>
  <c r="E161" i="23"/>
  <c r="D161" i="23" s="1"/>
  <c r="C162" i="23" s="1"/>
  <c r="G643" i="23"/>
  <c r="F162" i="23"/>
  <c r="D615" i="23"/>
  <c r="G647" i="25" l="1"/>
  <c r="E616" i="25"/>
  <c r="G647" i="24"/>
  <c r="D616" i="24"/>
  <c r="E162" i="23"/>
  <c r="D162" i="23" s="1"/>
  <c r="C163" i="23" s="1"/>
  <c r="G644" i="23"/>
  <c r="F615" i="23"/>
  <c r="F163" i="23"/>
  <c r="D617" i="25" l="1"/>
  <c r="F616" i="24"/>
  <c r="E163" i="23"/>
  <c r="D163" i="23" s="1"/>
  <c r="C164" i="23" s="1"/>
  <c r="E164" i="23" s="1"/>
  <c r="E615" i="23"/>
  <c r="G645" i="23"/>
  <c r="F164" i="23"/>
  <c r="F617" i="25" l="1"/>
  <c r="E617" i="25" s="1"/>
  <c r="D618" i="25" s="1"/>
  <c r="E616" i="24"/>
  <c r="G646" i="23"/>
  <c r="D616" i="23"/>
  <c r="D164" i="23"/>
  <c r="F618" i="25" l="1"/>
  <c r="E618" i="25" s="1"/>
  <c r="D619" i="25" s="1"/>
  <c r="D617" i="24"/>
  <c r="F616" i="23"/>
  <c r="G647" i="23"/>
  <c r="F619" i="25" l="1"/>
  <c r="E619" i="25" s="1"/>
  <c r="D620" i="25" s="1"/>
  <c r="F617" i="24"/>
  <c r="E617" i="24" s="1"/>
  <c r="D618" i="24" s="1"/>
  <c r="E616" i="23"/>
  <c r="F620" i="25" l="1"/>
  <c r="E620" i="25" s="1"/>
  <c r="D621" i="25" s="1"/>
  <c r="F618" i="24"/>
  <c r="E618" i="24" s="1"/>
  <c r="D619" i="24" s="1"/>
  <c r="D617" i="23"/>
  <c r="F621" i="25" l="1"/>
  <c r="E621" i="25" s="1"/>
  <c r="D622" i="25" s="1"/>
  <c r="F619" i="24"/>
  <c r="E619" i="24" s="1"/>
  <c r="D620" i="24" s="1"/>
  <c r="F617" i="23"/>
  <c r="E617" i="23" s="1"/>
  <c r="D618" i="23" s="1"/>
  <c r="F622" i="25" l="1"/>
  <c r="E622" i="25" s="1"/>
  <c r="D623" i="25" s="1"/>
  <c r="F620" i="24"/>
  <c r="E620" i="24" s="1"/>
  <c r="D621" i="24" s="1"/>
  <c r="F618" i="23"/>
  <c r="E618" i="23" s="1"/>
  <c r="D619" i="23" s="1"/>
  <c r="F623" i="25" l="1"/>
  <c r="F621" i="24"/>
  <c r="E621" i="24" s="1"/>
  <c r="D622" i="24" s="1"/>
  <c r="F619" i="23"/>
  <c r="E619" i="23" s="1"/>
  <c r="D620" i="23" s="1"/>
  <c r="E623" i="25" l="1"/>
  <c r="G686" i="25"/>
  <c r="F622" i="24"/>
  <c r="E622" i="24" s="1"/>
  <c r="D623" i="24"/>
  <c r="F620" i="23"/>
  <c r="E620" i="23" s="1"/>
  <c r="D621" i="23" s="1"/>
  <c r="G693" i="25" l="1"/>
  <c r="G699" i="25" s="1"/>
  <c r="G688" i="25"/>
  <c r="G690" i="25" s="1"/>
  <c r="G695" i="25" s="1"/>
  <c r="G700" i="25" s="1"/>
  <c r="G698" i="25"/>
  <c r="D624" i="25"/>
  <c r="F623" i="24"/>
  <c r="F621" i="23"/>
  <c r="E621" i="23" s="1"/>
  <c r="D622" i="23" s="1"/>
  <c r="F624" i="25" l="1"/>
  <c r="G708" i="25"/>
  <c r="E623" i="24"/>
  <c r="G686" i="24"/>
  <c r="F622" i="23"/>
  <c r="E622" i="23" s="1"/>
  <c r="D623" i="23" s="1"/>
  <c r="C711" i="25" l="1"/>
  <c r="D711" i="25" s="1"/>
  <c r="E624" i="25"/>
  <c r="G693" i="24"/>
  <c r="G699" i="24" s="1"/>
  <c r="G688" i="24"/>
  <c r="G690" i="24" s="1"/>
  <c r="G695" i="24" s="1"/>
  <c r="G700" i="24" s="1"/>
  <c r="G698" i="24"/>
  <c r="D624" i="24"/>
  <c r="F623" i="23"/>
  <c r="D625" i="25" l="1"/>
  <c r="F624" i="24"/>
  <c r="G708" i="24"/>
  <c r="E623" i="23"/>
  <c r="G686" i="23"/>
  <c r="F625" i="25" l="1"/>
  <c r="C711" i="24"/>
  <c r="D711" i="24" s="1"/>
  <c r="E624" i="24"/>
  <c r="G693" i="23"/>
  <c r="G699" i="23" s="1"/>
  <c r="G688" i="23"/>
  <c r="G690" i="23" s="1"/>
  <c r="G698" i="23"/>
  <c r="D624" i="23"/>
  <c r="E625" i="25" l="1"/>
  <c r="D625" i="24"/>
  <c r="G695" i="23"/>
  <c r="G700" i="23" s="1"/>
  <c r="G708" i="23" s="1"/>
  <c r="F624" i="23"/>
  <c r="D626" i="25" l="1"/>
  <c r="F625" i="24"/>
  <c r="C711" i="23"/>
  <c r="E624" i="23"/>
  <c r="F626" i="25" l="1"/>
  <c r="E625" i="24"/>
  <c r="D625" i="23"/>
  <c r="G713" i="23"/>
  <c r="D711" i="23"/>
  <c r="E626" i="25" l="1"/>
  <c r="D626" i="24"/>
  <c r="F625" i="23"/>
  <c r="D627" i="25" l="1"/>
  <c r="F626" i="24"/>
  <c r="E625" i="23"/>
  <c r="F627" i="25" l="1"/>
  <c r="E626" i="24"/>
  <c r="D626" i="23"/>
  <c r="E627" i="25" l="1"/>
  <c r="D627" i="24"/>
  <c r="F626" i="23"/>
  <c r="D628" i="25" l="1"/>
  <c r="F627" i="24"/>
  <c r="E626" i="23"/>
  <c r="F628" i="25" l="1"/>
  <c r="E627" i="24"/>
  <c r="D627" i="23"/>
  <c r="E628" i="25" l="1"/>
  <c r="D628" i="24"/>
  <c r="F627" i="23"/>
  <c r="D629" i="25" l="1"/>
  <c r="F628" i="24"/>
  <c r="E627" i="23"/>
  <c r="F629" i="25" l="1"/>
  <c r="E629" i="25" s="1"/>
  <c r="D630" i="25" s="1"/>
  <c r="E628" i="24"/>
  <c r="D628" i="23"/>
  <c r="F630" i="25" l="1"/>
  <c r="E630" i="25" s="1"/>
  <c r="D631" i="25" s="1"/>
  <c r="D629" i="24"/>
  <c r="F628" i="23"/>
  <c r="F631" i="25" l="1"/>
  <c r="E631" i="25" s="1"/>
  <c r="D632" i="25" s="1"/>
  <c r="F629" i="24"/>
  <c r="E629" i="24" s="1"/>
  <c r="D630" i="24"/>
  <c r="E628" i="23"/>
  <c r="F632" i="25" l="1"/>
  <c r="E632" i="25" s="1"/>
  <c r="D633" i="25" s="1"/>
  <c r="F630" i="24"/>
  <c r="E630" i="24" s="1"/>
  <c r="D631" i="24" s="1"/>
  <c r="D629" i="23"/>
  <c r="F633" i="25" l="1"/>
  <c r="E633" i="25" s="1"/>
  <c r="D634" i="25" s="1"/>
  <c r="F631" i="24"/>
  <c r="E631" i="24" s="1"/>
  <c r="D632" i="24" s="1"/>
  <c r="F629" i="23"/>
  <c r="E629" i="23" s="1"/>
  <c r="D630" i="23" s="1"/>
  <c r="F634" i="25" l="1"/>
  <c r="E634" i="25" s="1"/>
  <c r="D635" i="25" s="1"/>
  <c r="F632" i="24"/>
  <c r="E632" i="24" s="1"/>
  <c r="D633" i="24" s="1"/>
  <c r="F630" i="23"/>
  <c r="E630" i="23" s="1"/>
  <c r="D631" i="23" s="1"/>
  <c r="F635" i="25" l="1"/>
  <c r="F633" i="24"/>
  <c r="E633" i="24" s="1"/>
  <c r="D634" i="24" s="1"/>
  <c r="F631" i="23"/>
  <c r="E631" i="23" s="1"/>
  <c r="D632" i="23" s="1"/>
  <c r="E635" i="25" l="1"/>
  <c r="H686" i="25"/>
  <c r="F634" i="24"/>
  <c r="E634" i="24" s="1"/>
  <c r="D635" i="24"/>
  <c r="F632" i="23"/>
  <c r="E632" i="23" s="1"/>
  <c r="D633" i="23" s="1"/>
  <c r="H693" i="25" l="1"/>
  <c r="H699" i="25" s="1"/>
  <c r="H688" i="25"/>
  <c r="H690" i="25" s="1"/>
  <c r="H695" i="25" s="1"/>
  <c r="H700" i="25" s="1"/>
  <c r="H698" i="25"/>
  <c r="D636" i="25"/>
  <c r="F635" i="24"/>
  <c r="F633" i="23"/>
  <c r="E633" i="23" s="1"/>
  <c r="D634" i="23" s="1"/>
  <c r="H708" i="25" l="1"/>
  <c r="F636" i="25"/>
  <c r="E635" i="24"/>
  <c r="H686" i="24"/>
  <c r="F634" i="23"/>
  <c r="E634" i="23" s="1"/>
  <c r="D635" i="23" s="1"/>
  <c r="E636" i="25" l="1"/>
  <c r="C712" i="25"/>
  <c r="D712" i="25" s="1"/>
  <c r="H693" i="24"/>
  <c r="H699" i="24" s="1"/>
  <c r="H688" i="24"/>
  <c r="H690" i="24" s="1"/>
  <c r="H695" i="24" s="1"/>
  <c r="H700" i="24" s="1"/>
  <c r="H698" i="24"/>
  <c r="D636" i="24"/>
  <c r="F635" i="23"/>
  <c r="D637" i="25" l="1"/>
  <c r="F636" i="24"/>
  <c r="H708" i="24"/>
  <c r="E635" i="23"/>
  <c r="H686" i="23"/>
  <c r="F637" i="25" l="1"/>
  <c r="C712" i="24"/>
  <c r="D712" i="24" s="1"/>
  <c r="E636" i="24"/>
  <c r="H693" i="23"/>
  <c r="H699" i="23" s="1"/>
  <c r="H688" i="23"/>
  <c r="H690" i="23" s="1"/>
  <c r="H698" i="23"/>
  <c r="D636" i="23"/>
  <c r="E637" i="25" l="1"/>
  <c r="D637" i="24"/>
  <c r="H695" i="23"/>
  <c r="H700" i="23" s="1"/>
  <c r="H708" i="23" s="1"/>
  <c r="F636" i="23"/>
  <c r="D638" i="25" l="1"/>
  <c r="F637" i="24"/>
  <c r="E636" i="23"/>
  <c r="C712" i="23"/>
  <c r="D712" i="23" s="1"/>
  <c r="F638" i="25" l="1"/>
  <c r="E637" i="24"/>
  <c r="D637" i="23"/>
  <c r="E638" i="25" l="1"/>
  <c r="D638" i="24"/>
  <c r="F637" i="23"/>
  <c r="D639" i="25" l="1"/>
  <c r="F638" i="24"/>
  <c r="E637" i="23"/>
  <c r="F639" i="25" l="1"/>
  <c r="E638" i="24"/>
  <c r="D638" i="23"/>
  <c r="E639" i="25" l="1"/>
  <c r="D639" i="24"/>
  <c r="F638" i="23"/>
  <c r="D640" i="25" l="1"/>
  <c r="F639" i="24"/>
  <c r="E638" i="23"/>
  <c r="F640" i="25" l="1"/>
  <c r="E639" i="24"/>
  <c r="D639" i="23"/>
  <c r="E640" i="25" l="1"/>
  <c r="D640" i="24"/>
  <c r="F639" i="23"/>
  <c r="D641" i="25" l="1"/>
  <c r="F640" i="24"/>
  <c r="E639" i="23"/>
  <c r="F641" i="25" l="1"/>
  <c r="E641" i="25" s="1"/>
  <c r="D642" i="25" s="1"/>
  <c r="E640" i="24"/>
  <c r="D640" i="23"/>
  <c r="F642" i="25" l="1"/>
  <c r="E642" i="25" s="1"/>
  <c r="D643" i="25" s="1"/>
  <c r="D641" i="24"/>
  <c r="F640" i="23"/>
  <c r="F643" i="25" l="1"/>
  <c r="E643" i="25" s="1"/>
  <c r="D644" i="25" s="1"/>
  <c r="F641" i="24"/>
  <c r="E641" i="24" s="1"/>
  <c r="D642" i="24" s="1"/>
  <c r="E640" i="23"/>
  <c r="F644" i="25" l="1"/>
  <c r="E644" i="25" s="1"/>
  <c r="D645" i="25" s="1"/>
  <c r="F642" i="24"/>
  <c r="E642" i="24" s="1"/>
  <c r="D643" i="24" s="1"/>
  <c r="D641" i="23"/>
  <c r="F645" i="25" l="1"/>
  <c r="E645" i="25" s="1"/>
  <c r="D646" i="25" s="1"/>
  <c r="F643" i="24"/>
  <c r="E643" i="24" s="1"/>
  <c r="D644" i="24" s="1"/>
  <c r="F641" i="23"/>
  <c r="E641" i="23" s="1"/>
  <c r="D642" i="23" s="1"/>
  <c r="F646" i="25" l="1"/>
  <c r="E646" i="25" s="1"/>
  <c r="D647" i="25" s="1"/>
  <c r="F647" i="25" s="1"/>
  <c r="F644" i="24"/>
  <c r="E644" i="24" s="1"/>
  <c r="D645" i="24" s="1"/>
  <c r="F642" i="23"/>
  <c r="E642" i="23" s="1"/>
  <c r="D643" i="23" s="1"/>
  <c r="E647" i="25" l="1"/>
  <c r="I698" i="25" s="1"/>
  <c r="I686" i="25"/>
  <c r="F645" i="24"/>
  <c r="E645" i="24" s="1"/>
  <c r="D646" i="24" s="1"/>
  <c r="F643" i="23"/>
  <c r="E643" i="23" s="1"/>
  <c r="D644" i="23" s="1"/>
  <c r="I693" i="25" l="1"/>
  <c r="I699" i="25" s="1"/>
  <c r="I688" i="25"/>
  <c r="I690" i="25" s="1"/>
  <c r="I695" i="25" s="1"/>
  <c r="I700" i="25" s="1"/>
  <c r="F646" i="24"/>
  <c r="E646" i="24" s="1"/>
  <c r="D647" i="24" s="1"/>
  <c r="F647" i="24" s="1"/>
  <c r="F644" i="23"/>
  <c r="E644" i="23" s="1"/>
  <c r="D645" i="23" s="1"/>
  <c r="I708" i="25" l="1"/>
  <c r="D703" i="25"/>
  <c r="D705" i="25"/>
  <c r="I705" i="25" s="1"/>
  <c r="J700" i="25"/>
  <c r="D704" i="25"/>
  <c r="E647" i="24"/>
  <c r="I698" i="24" s="1"/>
  <c r="I686" i="24"/>
  <c r="F645" i="23"/>
  <c r="E645" i="23" s="1"/>
  <c r="D646" i="23" s="1"/>
  <c r="C713" i="25" l="1"/>
  <c r="D713" i="25" s="1"/>
  <c r="J708" i="25"/>
  <c r="J710" i="25" s="1"/>
  <c r="I693" i="24"/>
  <c r="I699" i="24" s="1"/>
  <c r="I688" i="24"/>
  <c r="I690" i="24" s="1"/>
  <c r="I695" i="24" s="1"/>
  <c r="I700" i="24" s="1"/>
  <c r="F646" i="23"/>
  <c r="E646" i="23" s="1"/>
  <c r="D647" i="23" s="1"/>
  <c r="F647" i="23" s="1"/>
  <c r="I708" i="24" l="1"/>
  <c r="D703" i="24"/>
  <c r="D705" i="24"/>
  <c r="I705" i="24" s="1"/>
  <c r="J700" i="24"/>
  <c r="D704" i="24"/>
  <c r="E647" i="23"/>
  <c r="I698" i="23" s="1"/>
  <c r="I686" i="23"/>
  <c r="C713" i="24" l="1"/>
  <c r="D713" i="24" s="1"/>
  <c r="J708" i="24"/>
  <c r="J710" i="24" s="1"/>
  <c r="I693" i="23"/>
  <c r="I699" i="23" s="1"/>
  <c r="I688" i="23"/>
  <c r="I690" i="23" s="1"/>
  <c r="I695" i="23" l="1"/>
  <c r="I700" i="23" s="1"/>
  <c r="I708" i="23" s="1"/>
  <c r="D704" i="23" l="1"/>
  <c r="J700" i="23"/>
  <c r="D705" i="23"/>
  <c r="I705" i="23" s="1"/>
  <c r="D703" i="23"/>
  <c r="C713" i="23"/>
  <c r="D713" i="23" s="1"/>
  <c r="J708" i="23"/>
  <c r="J710" i="23" s="1"/>
  <c r="C120" i="3" l="1"/>
  <c r="G97" i="3"/>
  <c r="F98" i="3"/>
  <c r="G98" i="3" s="1"/>
  <c r="F99" i="3"/>
  <c r="G99" i="3" s="1"/>
  <c r="F97" i="3"/>
  <c r="I27" i="3"/>
  <c r="C98" i="3"/>
  <c r="C99" i="3"/>
  <c r="C97" i="3"/>
  <c r="C113" i="3"/>
  <c r="J28" i="3"/>
  <c r="J27" i="3"/>
  <c r="I30" i="3"/>
  <c r="C28" i="3" s="1"/>
  <c r="I28" i="3"/>
  <c r="G100" i="3" l="1"/>
  <c r="F100" i="3"/>
  <c r="C100" i="3"/>
  <c r="C70" i="20" l="1"/>
  <c r="C187" i="21" l="1"/>
  <c r="C186" i="21"/>
  <c r="C407" i="21"/>
  <c r="C405" i="21"/>
  <c r="F187" i="21" l="1"/>
  <c r="I530" i="21"/>
  <c r="H530" i="21"/>
  <c r="G530" i="21"/>
  <c r="F530" i="21"/>
  <c r="E530" i="21"/>
  <c r="D514" i="21"/>
  <c r="F491" i="21"/>
  <c r="I491" i="21" s="1"/>
  <c r="C425" i="21"/>
  <c r="C426" i="21" s="1"/>
  <c r="C427" i="21" s="1"/>
  <c r="C428" i="21" s="1"/>
  <c r="C429" i="21" s="1"/>
  <c r="C430" i="21" s="1"/>
  <c r="C431" i="21" s="1"/>
  <c r="C432" i="21" s="1"/>
  <c r="C433" i="21" s="1"/>
  <c r="C434" i="21" s="1"/>
  <c r="C435" i="21" s="1"/>
  <c r="C436" i="21" s="1"/>
  <c r="C437" i="21" s="1"/>
  <c r="C438" i="21" s="1"/>
  <c r="C439" i="21" s="1"/>
  <c r="C440" i="21" s="1"/>
  <c r="C441" i="21" s="1"/>
  <c r="C442" i="21" s="1"/>
  <c r="C443" i="21" s="1"/>
  <c r="C444" i="21" s="1"/>
  <c r="C445" i="21" s="1"/>
  <c r="C446" i="21" s="1"/>
  <c r="C447" i="21" s="1"/>
  <c r="C448" i="21" s="1"/>
  <c r="C449" i="21" s="1"/>
  <c r="C450" i="21" s="1"/>
  <c r="C451" i="21" s="1"/>
  <c r="C452" i="21" s="1"/>
  <c r="C453" i="21" s="1"/>
  <c r="C454" i="21" s="1"/>
  <c r="C455" i="21" s="1"/>
  <c r="C456" i="21" s="1"/>
  <c r="C457" i="21" s="1"/>
  <c r="C458" i="21" s="1"/>
  <c r="C459" i="21" s="1"/>
  <c r="C460" i="21" s="1"/>
  <c r="C461" i="21" s="1"/>
  <c r="C462" i="21" s="1"/>
  <c r="C463" i="21" s="1"/>
  <c r="C464" i="21" s="1"/>
  <c r="C465" i="21" s="1"/>
  <c r="C466" i="21" s="1"/>
  <c r="C467" i="21" s="1"/>
  <c r="C468" i="21" s="1"/>
  <c r="C469" i="21" s="1"/>
  <c r="C470" i="21" s="1"/>
  <c r="C471" i="21" s="1"/>
  <c r="C472" i="21" s="1"/>
  <c r="C473" i="21" s="1"/>
  <c r="C474" i="21" s="1"/>
  <c r="C475" i="21" s="1"/>
  <c r="C476" i="21" s="1"/>
  <c r="C477" i="21" s="1"/>
  <c r="C478" i="21" s="1"/>
  <c r="C479" i="21" s="1"/>
  <c r="C480" i="21" s="1"/>
  <c r="C481" i="21" s="1"/>
  <c r="C482" i="21" s="1"/>
  <c r="C483" i="21" s="1"/>
  <c r="F387" i="21"/>
  <c r="G387" i="21" s="1"/>
  <c r="H387" i="21" s="1"/>
  <c r="I387" i="21" s="1"/>
  <c r="D381" i="21"/>
  <c r="E381" i="21" s="1"/>
  <c r="F381" i="21" s="1"/>
  <c r="G381" i="21" s="1"/>
  <c r="H381" i="21" s="1"/>
  <c r="I381" i="21" s="1"/>
  <c r="I378" i="21"/>
  <c r="H378" i="21"/>
  <c r="G378" i="21"/>
  <c r="F378" i="21"/>
  <c r="E378" i="21"/>
  <c r="I377" i="21"/>
  <c r="H377" i="21"/>
  <c r="G377" i="21"/>
  <c r="F377" i="21"/>
  <c r="E377" i="21"/>
  <c r="E362" i="21"/>
  <c r="E514" i="21" s="1"/>
  <c r="B354" i="21"/>
  <c r="B353" i="21"/>
  <c r="B352" i="21"/>
  <c r="B351" i="21"/>
  <c r="B350" i="21"/>
  <c r="B349" i="21"/>
  <c r="B348" i="21"/>
  <c r="B347" i="21"/>
  <c r="B346" i="21"/>
  <c r="B345" i="21"/>
  <c r="B344" i="21"/>
  <c r="B336" i="21"/>
  <c r="B335" i="21"/>
  <c r="B332" i="21"/>
  <c r="B331" i="21"/>
  <c r="B330" i="21"/>
  <c r="B329" i="21"/>
  <c r="B328" i="21"/>
  <c r="B327" i="21"/>
  <c r="B326" i="21"/>
  <c r="B325" i="21"/>
  <c r="B324" i="21"/>
  <c r="B323" i="21"/>
  <c r="B322" i="21"/>
  <c r="B321" i="21"/>
  <c r="B320" i="21"/>
  <c r="I316" i="21"/>
  <c r="H316" i="21"/>
  <c r="G316" i="21"/>
  <c r="F316" i="21"/>
  <c r="E316" i="21"/>
  <c r="I315" i="21"/>
  <c r="H315" i="21"/>
  <c r="G315" i="21"/>
  <c r="F315" i="21"/>
  <c r="E315" i="21"/>
  <c r="F301" i="21"/>
  <c r="J297" i="21"/>
  <c r="I297" i="21"/>
  <c r="H297" i="21"/>
  <c r="G297" i="21"/>
  <c r="J296" i="21"/>
  <c r="I296" i="21"/>
  <c r="H296" i="21"/>
  <c r="G296" i="21"/>
  <c r="J295" i="21"/>
  <c r="I295" i="21"/>
  <c r="H295" i="21"/>
  <c r="G295" i="21"/>
  <c r="J267" i="21"/>
  <c r="I267" i="21"/>
  <c r="H267" i="21"/>
  <c r="G267" i="21"/>
  <c r="J266" i="21"/>
  <c r="I266" i="21"/>
  <c r="H266" i="21"/>
  <c r="G266" i="21"/>
  <c r="J265" i="21"/>
  <c r="I265" i="21"/>
  <c r="H265" i="21"/>
  <c r="G265" i="21"/>
  <c r="J256" i="21"/>
  <c r="I256" i="21"/>
  <c r="H256" i="21"/>
  <c r="G256" i="21"/>
  <c r="J255" i="21"/>
  <c r="I255" i="21"/>
  <c r="H255" i="21"/>
  <c r="G255" i="21"/>
  <c r="J254" i="21"/>
  <c r="I254" i="21"/>
  <c r="H254" i="21"/>
  <c r="G254" i="21"/>
  <c r="J253" i="21"/>
  <c r="I253" i="21"/>
  <c r="H253" i="21"/>
  <c r="G253" i="21"/>
  <c r="J252" i="21"/>
  <c r="I252" i="21"/>
  <c r="H252" i="21"/>
  <c r="G252" i="21"/>
  <c r="J251" i="21"/>
  <c r="I251" i="21"/>
  <c r="H251" i="21"/>
  <c r="G251" i="21"/>
  <c r="F249" i="21"/>
  <c r="F275" i="21" s="1"/>
  <c r="F288" i="21" s="1"/>
  <c r="H235" i="21"/>
  <c r="H238" i="21" s="1"/>
  <c r="G235" i="21"/>
  <c r="G238" i="21" s="1"/>
  <c r="F235" i="21"/>
  <c r="F238" i="21" s="1"/>
  <c r="E235" i="21"/>
  <c r="E238" i="21" s="1"/>
  <c r="E229" i="21"/>
  <c r="G249" i="21" s="1"/>
  <c r="G275" i="21" s="1"/>
  <c r="G288" i="21" s="1"/>
  <c r="F317" i="21" s="1"/>
  <c r="F343" i="21" s="1"/>
  <c r="F220" i="21"/>
  <c r="G218" i="21"/>
  <c r="A218" i="21"/>
  <c r="G216" i="21"/>
  <c r="A216" i="21"/>
  <c r="G214" i="21"/>
  <c r="A214" i="21"/>
  <c r="D207" i="21"/>
  <c r="D219" i="21" s="1"/>
  <c r="C207" i="21"/>
  <c r="D205" i="21"/>
  <c r="D215" i="21" s="1"/>
  <c r="C205" i="21"/>
  <c r="C215" i="21" s="1"/>
  <c r="H193" i="21"/>
  <c r="H192" i="21"/>
  <c r="E490" i="21"/>
  <c r="C490" i="21"/>
  <c r="E489" i="21"/>
  <c r="C489" i="21"/>
  <c r="D177" i="21"/>
  <c r="D208" i="21" s="1"/>
  <c r="D218" i="21" s="1"/>
  <c r="F157" i="21"/>
  <c r="F151" i="21"/>
  <c r="G151" i="21" s="1"/>
  <c r="C150" i="21"/>
  <c r="E155" i="21" s="1"/>
  <c r="E149" i="21"/>
  <c r="F149" i="21" s="1"/>
  <c r="E148" i="21"/>
  <c r="R148" i="21" s="1"/>
  <c r="E348" i="21" s="1"/>
  <c r="F348" i="21" s="1"/>
  <c r="G348" i="21" s="1"/>
  <c r="H348" i="21" s="1"/>
  <c r="I348" i="21" s="1"/>
  <c r="E147" i="21"/>
  <c r="R147" i="21" s="1"/>
  <c r="E347" i="21" s="1"/>
  <c r="F347" i="21" s="1"/>
  <c r="G347" i="21" s="1"/>
  <c r="H347" i="21" s="1"/>
  <c r="I347" i="21" s="1"/>
  <c r="E146" i="21"/>
  <c r="E145" i="21"/>
  <c r="F145" i="21" s="1"/>
  <c r="E144" i="21"/>
  <c r="R144" i="21" s="1"/>
  <c r="E344" i="21" s="1"/>
  <c r="F135" i="21"/>
  <c r="F132" i="21"/>
  <c r="E130" i="21"/>
  <c r="R130" i="21" s="1"/>
  <c r="E332" i="21" s="1"/>
  <c r="F332" i="21" s="1"/>
  <c r="G332" i="21" s="1"/>
  <c r="H332" i="21" s="1"/>
  <c r="I332" i="21" s="1"/>
  <c r="E129" i="21"/>
  <c r="F129" i="21" s="1"/>
  <c r="G129" i="21" s="1"/>
  <c r="H129" i="21" s="1"/>
  <c r="I129" i="21" s="1"/>
  <c r="J129" i="21" s="1"/>
  <c r="K129" i="21" s="1"/>
  <c r="L129" i="21" s="1"/>
  <c r="M129" i="21" s="1"/>
  <c r="N129" i="21" s="1"/>
  <c r="O129" i="21" s="1"/>
  <c r="P129" i="21" s="1"/>
  <c r="E128" i="21"/>
  <c r="F128" i="21" s="1"/>
  <c r="E127" i="21"/>
  <c r="C126" i="21"/>
  <c r="E126" i="21" s="1"/>
  <c r="E125" i="21"/>
  <c r="R125" i="21" s="1"/>
  <c r="E327" i="21" s="1"/>
  <c r="F327" i="21" s="1"/>
  <c r="G327" i="21" s="1"/>
  <c r="H327" i="21" s="1"/>
  <c r="I327" i="21" s="1"/>
  <c r="E124" i="21"/>
  <c r="F124" i="21" s="1"/>
  <c r="E123" i="21"/>
  <c r="R123" i="21" s="1"/>
  <c r="E325" i="21" s="1"/>
  <c r="F325" i="21" s="1"/>
  <c r="G325" i="21" s="1"/>
  <c r="H325" i="21" s="1"/>
  <c r="I325" i="21" s="1"/>
  <c r="E122" i="21"/>
  <c r="R122" i="21" s="1"/>
  <c r="E324" i="21" s="1"/>
  <c r="F324" i="21" s="1"/>
  <c r="G324" i="21" s="1"/>
  <c r="H324" i="21" s="1"/>
  <c r="I324" i="21" s="1"/>
  <c r="E120" i="21"/>
  <c r="F120" i="21" s="1"/>
  <c r="E119" i="21"/>
  <c r="R119" i="21" s="1"/>
  <c r="E321" i="21" s="1"/>
  <c r="F321" i="21" s="1"/>
  <c r="G321" i="21" s="1"/>
  <c r="H321" i="21" s="1"/>
  <c r="I321" i="21" s="1"/>
  <c r="P95" i="21"/>
  <c r="E93" i="21"/>
  <c r="F93" i="21" s="1"/>
  <c r="F72" i="21"/>
  <c r="F71" i="21"/>
  <c r="F70" i="21"/>
  <c r="F69" i="21"/>
  <c r="B45" i="21"/>
  <c r="C50" i="21" s="1"/>
  <c r="C55" i="21" s="1"/>
  <c r="A36" i="21"/>
  <c r="B35" i="21"/>
  <c r="B44" i="21" s="1"/>
  <c r="C49" i="21" s="1"/>
  <c r="C54" i="21" s="1"/>
  <c r="A35" i="21"/>
  <c r="B34" i="21"/>
  <c r="B43" i="21" s="1"/>
  <c r="A34" i="21"/>
  <c r="C71" i="20"/>
  <c r="G66" i="20"/>
  <c r="C408" i="21" s="1"/>
  <c r="D64" i="20"/>
  <c r="E39" i="20"/>
  <c r="G39" i="20" s="1"/>
  <c r="H39" i="20" s="1"/>
  <c r="E38" i="20"/>
  <c r="G38" i="20" s="1"/>
  <c r="H38" i="20" s="1"/>
  <c r="E37" i="20"/>
  <c r="B36" i="20"/>
  <c r="E36" i="20" s="1"/>
  <c r="E35" i="20"/>
  <c r="G35" i="20" s="1"/>
  <c r="H35" i="20" s="1"/>
  <c r="E34" i="20"/>
  <c r="D34" i="20"/>
  <c r="C34" i="20"/>
  <c r="B34" i="20"/>
  <c r="B28" i="20"/>
  <c r="G28" i="20" s="1"/>
  <c r="H28" i="20" s="1"/>
  <c r="G27" i="20"/>
  <c r="H27" i="20" s="1"/>
  <c r="B27" i="20"/>
  <c r="G24" i="20" s="1"/>
  <c r="H24" i="20" s="1"/>
  <c r="G26" i="20"/>
  <c r="H26" i="20" s="1"/>
  <c r="G25" i="20"/>
  <c r="H25" i="20" s="1"/>
  <c r="B24" i="20"/>
  <c r="E23" i="20"/>
  <c r="G23" i="20" s="1"/>
  <c r="H23" i="20" s="1"/>
  <c r="B23" i="20"/>
  <c r="G22" i="20"/>
  <c r="H22" i="20" s="1"/>
  <c r="E22" i="20"/>
  <c r="E21" i="20"/>
  <c r="G21" i="20" s="1"/>
  <c r="H21" i="20" s="1"/>
  <c r="B20" i="20"/>
  <c r="E20" i="20" s="1"/>
  <c r="G20" i="20" s="1"/>
  <c r="H20" i="20" s="1"/>
  <c r="B19" i="20"/>
  <c r="E19" i="20" s="1"/>
  <c r="G19" i="20" s="1"/>
  <c r="H19" i="20" s="1"/>
  <c r="B18" i="20"/>
  <c r="E18" i="20" s="1"/>
  <c r="G18" i="20" s="1"/>
  <c r="H18" i="20" s="1"/>
  <c r="E17" i="20"/>
  <c r="G17" i="20" s="1"/>
  <c r="H17" i="20" s="1"/>
  <c r="B16" i="20"/>
  <c r="E16" i="20" s="1"/>
  <c r="G16" i="20" s="1"/>
  <c r="H16" i="20" s="1"/>
  <c r="E15" i="20"/>
  <c r="G15" i="20" s="1"/>
  <c r="H15" i="20" s="1"/>
  <c r="B14" i="20"/>
  <c r="E14" i="20" s="1"/>
  <c r="G14" i="20" s="1"/>
  <c r="H14" i="20" s="1"/>
  <c r="B13" i="20"/>
  <c r="E13" i="20" s="1"/>
  <c r="G13" i="20" s="1"/>
  <c r="H13" i="20" s="1"/>
  <c r="B12" i="20"/>
  <c r="E12" i="20" s="1"/>
  <c r="G12" i="20" s="1"/>
  <c r="H12" i="20" s="1"/>
  <c r="B11" i="20"/>
  <c r="E11" i="20" s="1"/>
  <c r="B10" i="20"/>
  <c r="E10" i="20" s="1"/>
  <c r="G10" i="20" s="1"/>
  <c r="H10" i="20" s="1"/>
  <c r="E121" i="21"/>
  <c r="R121" i="21" s="1"/>
  <c r="E323" i="21" s="1"/>
  <c r="F323" i="21" s="1"/>
  <c r="G323" i="21" s="1"/>
  <c r="H323" i="21" s="1"/>
  <c r="I323" i="21" s="1"/>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O126" i="3"/>
  <c r="N126" i="3"/>
  <c r="M126" i="3"/>
  <c r="L126" i="3"/>
  <c r="K126" i="3"/>
  <c r="J126" i="3"/>
  <c r="I126" i="3"/>
  <c r="H126" i="3"/>
  <c r="G126" i="3"/>
  <c r="F126" i="3"/>
  <c r="E126" i="3"/>
  <c r="D126" i="3"/>
  <c r="C126" i="3"/>
  <c r="D125" i="3"/>
  <c r="C125" i="3"/>
  <c r="D118" i="3"/>
  <c r="E118" i="3" s="1"/>
  <c r="F118" i="3" s="1"/>
  <c r="G118" i="3" s="1"/>
  <c r="H118" i="3" s="1"/>
  <c r="I118" i="3" s="1"/>
  <c r="J118" i="3" s="1"/>
  <c r="K118" i="3" s="1"/>
  <c r="L118" i="3" s="1"/>
  <c r="M118" i="3" s="1"/>
  <c r="N118" i="3" s="1"/>
  <c r="O118" i="3" s="1"/>
  <c r="O125" i="3" s="1"/>
  <c r="D111" i="3"/>
  <c r="E111" i="3" s="1"/>
  <c r="D104" i="3"/>
  <c r="E104" i="3" s="1"/>
  <c r="F104" i="3" s="1"/>
  <c r="G104" i="3" s="1"/>
  <c r="H104" i="3" s="1"/>
  <c r="I104" i="3" s="1"/>
  <c r="J104" i="3" s="1"/>
  <c r="K104" i="3" s="1"/>
  <c r="L104" i="3" s="1"/>
  <c r="M104" i="3" s="1"/>
  <c r="N104" i="3" s="1"/>
  <c r="O104" i="3" s="1"/>
  <c r="F86" i="3"/>
  <c r="C121" i="3"/>
  <c r="D121" i="3" s="1"/>
  <c r="E121" i="3" s="1"/>
  <c r="F121" i="3" s="1"/>
  <c r="G121" i="3" s="1"/>
  <c r="H121" i="3" s="1"/>
  <c r="I121" i="3" s="1"/>
  <c r="J121" i="3" s="1"/>
  <c r="K121" i="3" s="1"/>
  <c r="L121" i="3" s="1"/>
  <c r="M121" i="3" s="1"/>
  <c r="N121" i="3" s="1"/>
  <c r="C58" i="3"/>
  <c r="C62" i="3" s="1"/>
  <c r="D70" i="3" s="1"/>
  <c r="E49" i="3"/>
  <c r="F48" i="3"/>
  <c r="F45" i="3"/>
  <c r="F44" i="3"/>
  <c r="D20" i="3"/>
  <c r="C20" i="3"/>
  <c r="E8" i="3"/>
  <c r="F8" i="3" s="1"/>
  <c r="G8" i="3" s="1"/>
  <c r="E7" i="3"/>
  <c r="F7" i="3" s="1"/>
  <c r="G7" i="3" s="1"/>
  <c r="C36" i="2"/>
  <c r="E35" i="2"/>
  <c r="E34" i="2"/>
  <c r="E33" i="2"/>
  <c r="E32" i="2"/>
  <c r="E31" i="2"/>
  <c r="E30" i="2"/>
  <c r="E29" i="2"/>
  <c r="E28" i="2"/>
  <c r="E27" i="2"/>
  <c r="E26" i="2"/>
  <c r="C14" i="2"/>
  <c r="E13" i="2"/>
  <c r="E12" i="2"/>
  <c r="E11" i="2"/>
  <c r="E10" i="2"/>
  <c r="E9" i="2"/>
  <c r="E8" i="2"/>
  <c r="E7" i="2"/>
  <c r="E6" i="2"/>
  <c r="E5" i="2"/>
  <c r="E4" i="2"/>
  <c r="F26" i="21" l="1"/>
  <c r="M40" i="21" s="1"/>
  <c r="C60" i="3"/>
  <c r="C73" i="20"/>
  <c r="E36" i="2"/>
  <c r="C21" i="3"/>
  <c r="D21" i="3"/>
  <c r="F75" i="21" s="1"/>
  <c r="H75" i="21" s="1"/>
  <c r="B77" i="21" s="1"/>
  <c r="D77" i="21" s="1"/>
  <c r="C61" i="3"/>
  <c r="G24" i="21"/>
  <c r="F269" i="21" s="1"/>
  <c r="G269" i="21" s="1"/>
  <c r="D39" i="21"/>
  <c r="E39" i="21" s="1"/>
  <c r="F39" i="21" s="1"/>
  <c r="G39" i="21" s="1"/>
  <c r="H39" i="21" s="1"/>
  <c r="I39" i="21" s="1"/>
  <c r="J39" i="21" s="1"/>
  <c r="K39" i="21" s="1"/>
  <c r="L39" i="21" s="1"/>
  <c r="M39" i="21" s="1"/>
  <c r="N39" i="21" s="1"/>
  <c r="O39" i="21" s="1"/>
  <c r="P39" i="21" s="1"/>
  <c r="D82" i="20"/>
  <c r="C406" i="21"/>
  <c r="F362" i="21"/>
  <c r="F514" i="21" s="1"/>
  <c r="F49" i="3"/>
  <c r="J40" i="21"/>
  <c r="E40" i="21"/>
  <c r="R145" i="21"/>
  <c r="E345" i="21" s="1"/>
  <c r="F345" i="21" s="1"/>
  <c r="G345" i="21" s="1"/>
  <c r="H345" i="21" s="1"/>
  <c r="I345" i="21" s="1"/>
  <c r="R149" i="21"/>
  <c r="F123" i="21"/>
  <c r="G123" i="21" s="1"/>
  <c r="H123" i="21" s="1"/>
  <c r="I123" i="21" s="1"/>
  <c r="J123" i="21" s="1"/>
  <c r="K123" i="21" s="1"/>
  <c r="L123" i="21" s="1"/>
  <c r="M123" i="21" s="1"/>
  <c r="N123" i="21" s="1"/>
  <c r="O123" i="21" s="1"/>
  <c r="P123" i="21" s="1"/>
  <c r="F119" i="21"/>
  <c r="G119" i="21" s="1"/>
  <c r="H119" i="21" s="1"/>
  <c r="I119" i="21" s="1"/>
  <c r="J119" i="21" s="1"/>
  <c r="K119" i="21" s="1"/>
  <c r="L119" i="21" s="1"/>
  <c r="M119" i="21" s="1"/>
  <c r="N119" i="21" s="1"/>
  <c r="O119" i="21" s="1"/>
  <c r="P119" i="21" s="1"/>
  <c r="E205" i="21"/>
  <c r="E215" i="21" s="1"/>
  <c r="H215" i="21" s="1"/>
  <c r="E207" i="21"/>
  <c r="I207" i="21" s="1"/>
  <c r="B88" i="21"/>
  <c r="B97" i="21" s="1"/>
  <c r="C102" i="21" s="1"/>
  <c r="C107" i="21" s="1"/>
  <c r="R120" i="21"/>
  <c r="E322" i="21" s="1"/>
  <c r="F322" i="21" s="1"/>
  <c r="G322" i="21" s="1"/>
  <c r="H322" i="21" s="1"/>
  <c r="I322" i="21" s="1"/>
  <c r="R124" i="21"/>
  <c r="E326" i="21" s="1"/>
  <c r="F326" i="21" s="1"/>
  <c r="G326" i="21" s="1"/>
  <c r="H326" i="21" s="1"/>
  <c r="I326" i="21" s="1"/>
  <c r="F147" i="21"/>
  <c r="G147" i="21" s="1"/>
  <c r="H147" i="21" s="1"/>
  <c r="I147" i="21" s="1"/>
  <c r="J147" i="21" s="1"/>
  <c r="K147" i="21" s="1"/>
  <c r="L147" i="21" s="1"/>
  <c r="M147" i="21" s="1"/>
  <c r="N147" i="21" s="1"/>
  <c r="O147" i="21" s="1"/>
  <c r="P147" i="21" s="1"/>
  <c r="D414" i="21"/>
  <c r="R129" i="21"/>
  <c r="E331" i="21" s="1"/>
  <c r="F331" i="21" s="1"/>
  <c r="G331" i="21" s="1"/>
  <c r="H331" i="21" s="1"/>
  <c r="I331" i="21" s="1"/>
  <c r="F144" i="21"/>
  <c r="G144" i="21" s="1"/>
  <c r="H144" i="21" s="1"/>
  <c r="I144" i="21" s="1"/>
  <c r="J144" i="21" s="1"/>
  <c r="K144" i="21" s="1"/>
  <c r="L144" i="21" s="1"/>
  <c r="M144" i="21" s="1"/>
  <c r="N144" i="21" s="1"/>
  <c r="O144" i="21" s="1"/>
  <c r="P144" i="21" s="1"/>
  <c r="F148" i="21"/>
  <c r="G148" i="21" s="1"/>
  <c r="H148" i="21" s="1"/>
  <c r="I148" i="21" s="1"/>
  <c r="J148" i="21" s="1"/>
  <c r="K148" i="21" s="1"/>
  <c r="L148" i="21" s="1"/>
  <c r="M148" i="21" s="1"/>
  <c r="N148" i="21" s="1"/>
  <c r="O148" i="21" s="1"/>
  <c r="P148" i="21" s="1"/>
  <c r="E150" i="21"/>
  <c r="F150" i="21" s="1"/>
  <c r="G301" i="21"/>
  <c r="H301" i="21" s="1"/>
  <c r="I301" i="21" s="1"/>
  <c r="J301" i="21" s="1"/>
  <c r="F130" i="21"/>
  <c r="G130" i="21" s="1"/>
  <c r="H130" i="21" s="1"/>
  <c r="I130" i="21" s="1"/>
  <c r="J130" i="21" s="1"/>
  <c r="K130" i="21" s="1"/>
  <c r="L130" i="21" s="1"/>
  <c r="M130" i="21" s="1"/>
  <c r="N130" i="21" s="1"/>
  <c r="O130" i="21" s="1"/>
  <c r="P130" i="21" s="1"/>
  <c r="F490" i="21"/>
  <c r="I490" i="21" s="1"/>
  <c r="R128" i="21"/>
  <c r="E330" i="21" s="1"/>
  <c r="F330" i="21" s="1"/>
  <c r="G330" i="21" s="1"/>
  <c r="H330" i="21" s="1"/>
  <c r="I330" i="21" s="1"/>
  <c r="R127" i="21"/>
  <c r="E329" i="21" s="1"/>
  <c r="F329" i="21" s="1"/>
  <c r="G329" i="21" s="1"/>
  <c r="H329" i="21" s="1"/>
  <c r="I329" i="21" s="1"/>
  <c r="F127" i="21"/>
  <c r="G127" i="21" s="1"/>
  <c r="H127" i="21" s="1"/>
  <c r="I127" i="21" s="1"/>
  <c r="J127" i="21" s="1"/>
  <c r="K127" i="21" s="1"/>
  <c r="L127" i="21" s="1"/>
  <c r="M127" i="21" s="1"/>
  <c r="N127" i="21" s="1"/>
  <c r="O127" i="21" s="1"/>
  <c r="P127" i="21" s="1"/>
  <c r="Q129" i="21"/>
  <c r="F303" i="21"/>
  <c r="E317" i="21"/>
  <c r="G120" i="21"/>
  <c r="H120" i="21" s="1"/>
  <c r="I120" i="21" s="1"/>
  <c r="J120" i="21" s="1"/>
  <c r="K120" i="21" s="1"/>
  <c r="L120" i="21" s="1"/>
  <c r="M120" i="21" s="1"/>
  <c r="N120" i="21" s="1"/>
  <c r="O120" i="21" s="1"/>
  <c r="P120" i="21" s="1"/>
  <c r="G145" i="21"/>
  <c r="H145" i="21" s="1"/>
  <c r="I145" i="21" s="1"/>
  <c r="J145" i="21" s="1"/>
  <c r="K145" i="21" s="1"/>
  <c r="L145" i="21" s="1"/>
  <c r="M145" i="21" s="1"/>
  <c r="N145" i="21" s="1"/>
  <c r="O145" i="21" s="1"/>
  <c r="P145" i="21" s="1"/>
  <c r="G128" i="21"/>
  <c r="H128" i="21" s="1"/>
  <c r="I128" i="21" s="1"/>
  <c r="J128" i="21" s="1"/>
  <c r="K128" i="21" s="1"/>
  <c r="L128" i="21" s="1"/>
  <c r="M128" i="21" s="1"/>
  <c r="N128" i="21" s="1"/>
  <c r="O128" i="21" s="1"/>
  <c r="P128" i="21" s="1"/>
  <c r="F155" i="21"/>
  <c r="G155" i="21" s="1"/>
  <c r="H155" i="21" s="1"/>
  <c r="I155" i="21" s="1"/>
  <c r="J155" i="21" s="1"/>
  <c r="K155" i="21" s="1"/>
  <c r="L155" i="21" s="1"/>
  <c r="M155" i="21" s="1"/>
  <c r="N155" i="21" s="1"/>
  <c r="O155" i="21" s="1"/>
  <c r="P155" i="21" s="1"/>
  <c r="B87" i="21"/>
  <c r="C48" i="21"/>
  <c r="C53" i="21" s="1"/>
  <c r="A80" i="21"/>
  <c r="G124" i="21"/>
  <c r="H124" i="21" s="1"/>
  <c r="I124" i="21" s="1"/>
  <c r="J124" i="21" s="1"/>
  <c r="K124" i="21" s="1"/>
  <c r="L124" i="21" s="1"/>
  <c r="M124" i="21" s="1"/>
  <c r="N124" i="21" s="1"/>
  <c r="O124" i="21" s="1"/>
  <c r="P124" i="21" s="1"/>
  <c r="G93" i="21"/>
  <c r="H93" i="21" s="1"/>
  <c r="I93" i="21" s="1"/>
  <c r="J93" i="21" s="1"/>
  <c r="K93" i="21" s="1"/>
  <c r="L93" i="21" s="1"/>
  <c r="M93" i="21" s="1"/>
  <c r="N93" i="21" s="1"/>
  <c r="O93" i="21" s="1"/>
  <c r="R126" i="21"/>
  <c r="E328" i="21" s="1"/>
  <c r="F328" i="21" s="1"/>
  <c r="G328" i="21" s="1"/>
  <c r="H328" i="21" s="1"/>
  <c r="I328" i="21" s="1"/>
  <c r="F126" i="21"/>
  <c r="G126" i="21" s="1"/>
  <c r="H126" i="21" s="1"/>
  <c r="I126" i="21" s="1"/>
  <c r="J126" i="21" s="1"/>
  <c r="K126" i="21" s="1"/>
  <c r="L126" i="21" s="1"/>
  <c r="M126" i="21" s="1"/>
  <c r="N126" i="21" s="1"/>
  <c r="O126" i="21" s="1"/>
  <c r="P126" i="21" s="1"/>
  <c r="F122" i="21"/>
  <c r="G122" i="21" s="1"/>
  <c r="H122" i="21" s="1"/>
  <c r="I122" i="21" s="1"/>
  <c r="J122" i="21" s="1"/>
  <c r="K122" i="21" s="1"/>
  <c r="L122" i="21" s="1"/>
  <c r="M122" i="21" s="1"/>
  <c r="N122" i="21" s="1"/>
  <c r="O122" i="21" s="1"/>
  <c r="P122" i="21" s="1"/>
  <c r="I205" i="21"/>
  <c r="G303" i="21"/>
  <c r="G149" i="21"/>
  <c r="H149" i="21" s="1"/>
  <c r="I149" i="21" s="1"/>
  <c r="J149" i="21" s="1"/>
  <c r="K149" i="21" s="1"/>
  <c r="L149" i="21" s="1"/>
  <c r="M149" i="21" s="1"/>
  <c r="N149" i="21" s="1"/>
  <c r="O149" i="21" s="1"/>
  <c r="P149" i="21" s="1"/>
  <c r="G220" i="21"/>
  <c r="F121" i="21"/>
  <c r="G121" i="21" s="1"/>
  <c r="H121" i="21" s="1"/>
  <c r="I121" i="21" s="1"/>
  <c r="J121" i="21" s="1"/>
  <c r="K121" i="21" s="1"/>
  <c r="L121" i="21" s="1"/>
  <c r="M121" i="21" s="1"/>
  <c r="N121" i="21" s="1"/>
  <c r="O121" i="21" s="1"/>
  <c r="P121" i="21" s="1"/>
  <c r="F125" i="21"/>
  <c r="G125" i="21" s="1"/>
  <c r="H125" i="21" s="1"/>
  <c r="I125" i="21" s="1"/>
  <c r="J125" i="21" s="1"/>
  <c r="K125" i="21" s="1"/>
  <c r="L125" i="21" s="1"/>
  <c r="M125" i="21" s="1"/>
  <c r="N125" i="21" s="1"/>
  <c r="O125" i="21" s="1"/>
  <c r="P125" i="21" s="1"/>
  <c r="H151" i="21"/>
  <c r="I151" i="21" s="1"/>
  <c r="J151" i="21" s="1"/>
  <c r="K151" i="21" s="1"/>
  <c r="L151" i="21" s="1"/>
  <c r="M151" i="21" s="1"/>
  <c r="N151" i="21" s="1"/>
  <c r="O151" i="21" s="1"/>
  <c r="P151" i="21" s="1"/>
  <c r="R146" i="21"/>
  <c r="E346" i="21" s="1"/>
  <c r="F346" i="21" s="1"/>
  <c r="G346" i="21" s="1"/>
  <c r="H346" i="21" s="1"/>
  <c r="I346" i="21" s="1"/>
  <c r="F146" i="21"/>
  <c r="G146" i="21" s="1"/>
  <c r="H146" i="21" s="1"/>
  <c r="I146" i="21" s="1"/>
  <c r="J146" i="21" s="1"/>
  <c r="K146" i="21" s="1"/>
  <c r="L146" i="21" s="1"/>
  <c r="M146" i="21" s="1"/>
  <c r="N146" i="21" s="1"/>
  <c r="O146" i="21" s="1"/>
  <c r="P146" i="21" s="1"/>
  <c r="B89" i="21"/>
  <c r="B98" i="21" s="1"/>
  <c r="C103" i="21" s="1"/>
  <c r="C108" i="21" s="1"/>
  <c r="G157" i="21"/>
  <c r="H157" i="21" s="1"/>
  <c r="I157" i="21" s="1"/>
  <c r="J157" i="21" s="1"/>
  <c r="K157" i="21" s="1"/>
  <c r="L157" i="21" s="1"/>
  <c r="M157" i="21" s="1"/>
  <c r="N157" i="21" s="1"/>
  <c r="O157" i="21" s="1"/>
  <c r="P157" i="21" s="1"/>
  <c r="C219" i="21"/>
  <c r="F319" i="21"/>
  <c r="F334" i="21" s="1"/>
  <c r="F344" i="21"/>
  <c r="F229" i="21"/>
  <c r="C492" i="21"/>
  <c r="F489" i="21"/>
  <c r="C383" i="21"/>
  <c r="E30" i="20"/>
  <c r="D180" i="21" s="1"/>
  <c r="H195" i="21" s="1"/>
  <c r="G11" i="20"/>
  <c r="H11" i="20" s="1"/>
  <c r="H30" i="20"/>
  <c r="G36" i="20"/>
  <c r="H36" i="20" s="1"/>
  <c r="H40" i="20" s="1"/>
  <c r="E40" i="20"/>
  <c r="G40" i="20"/>
  <c r="R134" i="21" s="1"/>
  <c r="E336" i="21" s="1"/>
  <c r="E368" i="21" s="1"/>
  <c r="G30" i="20"/>
  <c r="R133" i="21" s="1"/>
  <c r="D81" i="20"/>
  <c r="E125" i="3"/>
  <c r="F111" i="3"/>
  <c r="E14" i="2"/>
  <c r="G9" i="3"/>
  <c r="G10" i="3" s="1"/>
  <c r="E349" i="21" l="1"/>
  <c r="F300" i="21"/>
  <c r="D92" i="21"/>
  <c r="D174" i="21"/>
  <c r="H269" i="21"/>
  <c r="D40" i="21"/>
  <c r="G362" i="21"/>
  <c r="D170" i="21"/>
  <c r="C204" i="21" s="1"/>
  <c r="C214" i="21" s="1"/>
  <c r="B96" i="21"/>
  <c r="C101" i="21" s="1"/>
  <c r="C106" i="21" s="1"/>
  <c r="L40" i="21"/>
  <c r="H40" i="21"/>
  <c r="G26" i="21"/>
  <c r="D176" i="21" s="1"/>
  <c r="C208" i="21" s="1"/>
  <c r="E208" i="21" s="1"/>
  <c r="N40" i="21"/>
  <c r="K40" i="21"/>
  <c r="D80" i="21"/>
  <c r="I40" i="21"/>
  <c r="G40" i="21"/>
  <c r="O40" i="21"/>
  <c r="P40" i="21" s="1"/>
  <c r="F40" i="21"/>
  <c r="D114" i="3"/>
  <c r="E114" i="3" s="1"/>
  <c r="F114" i="3" s="1"/>
  <c r="G114" i="3" s="1"/>
  <c r="H114" i="3" s="1"/>
  <c r="I114" i="3" s="1"/>
  <c r="J114" i="3" s="1"/>
  <c r="K114" i="3" s="1"/>
  <c r="L114" i="3" s="1"/>
  <c r="M114" i="3" s="1"/>
  <c r="N114" i="3" s="1"/>
  <c r="J134" i="21"/>
  <c r="P134" i="21"/>
  <c r="K134" i="21"/>
  <c r="E134" i="21"/>
  <c r="D196" i="21" s="1"/>
  <c r="F134" i="21"/>
  <c r="L134" i="21"/>
  <c r="G134" i="21"/>
  <c r="M134" i="21"/>
  <c r="H134" i="21"/>
  <c r="N134" i="21"/>
  <c r="I134" i="21"/>
  <c r="O134" i="21"/>
  <c r="G25" i="21"/>
  <c r="D173" i="21" s="1"/>
  <c r="C206" i="21" s="1"/>
  <c r="D107" i="3"/>
  <c r="E107" i="3" s="1"/>
  <c r="F107" i="3" s="1"/>
  <c r="G107" i="3" s="1"/>
  <c r="H107" i="3" s="1"/>
  <c r="E81" i="20"/>
  <c r="E55" i="20"/>
  <c r="D181" i="21"/>
  <c r="I133" i="21"/>
  <c r="O133" i="21"/>
  <c r="J133" i="21"/>
  <c r="P133" i="21"/>
  <c r="K133" i="21"/>
  <c r="E133" i="21"/>
  <c r="D195" i="21" s="1"/>
  <c r="F133" i="21"/>
  <c r="L133" i="21"/>
  <c r="G133" i="21"/>
  <c r="M133" i="21"/>
  <c r="H133" i="21"/>
  <c r="N133" i="21"/>
  <c r="E118" i="21"/>
  <c r="B28" i="3"/>
  <c r="D38" i="21"/>
  <c r="E38" i="21" s="1"/>
  <c r="F38" i="21" s="1"/>
  <c r="G38" i="21" s="1"/>
  <c r="H38" i="21" s="1"/>
  <c r="I38" i="21" s="1"/>
  <c r="J38" i="21" s="1"/>
  <c r="K38" i="21" s="1"/>
  <c r="L38" i="21" s="1"/>
  <c r="M38" i="21" s="1"/>
  <c r="N38" i="21" s="1"/>
  <c r="O38" i="21" s="1"/>
  <c r="P38" i="21" s="1"/>
  <c r="B84" i="3"/>
  <c r="E219" i="21"/>
  <c r="H219" i="21" s="1"/>
  <c r="Q124" i="21"/>
  <c r="R152" i="21"/>
  <c r="E152" i="21" s="1"/>
  <c r="R156" i="21"/>
  <c r="E156" i="21" s="1"/>
  <c r="F156" i="21" s="1"/>
  <c r="G156" i="21" s="1"/>
  <c r="H156" i="21" s="1"/>
  <c r="I156" i="21" s="1"/>
  <c r="J156" i="21" s="1"/>
  <c r="K156" i="21" s="1"/>
  <c r="L156" i="21" s="1"/>
  <c r="M156" i="21" s="1"/>
  <c r="N156" i="21" s="1"/>
  <c r="O156" i="21" s="1"/>
  <c r="P156" i="21" s="1"/>
  <c r="E354" i="21"/>
  <c r="R150" i="21"/>
  <c r="R155" i="21" s="1"/>
  <c r="F336" i="21"/>
  <c r="F368" i="21" s="1"/>
  <c r="G150" i="21"/>
  <c r="H150" i="21" s="1"/>
  <c r="I150" i="21" s="1"/>
  <c r="J150" i="21" s="1"/>
  <c r="K150" i="21" s="1"/>
  <c r="L150" i="21" s="1"/>
  <c r="M150" i="21" s="1"/>
  <c r="N150" i="21" s="1"/>
  <c r="O150" i="21" s="1"/>
  <c r="P150" i="21" s="1"/>
  <c r="Q130" i="21"/>
  <c r="Q147" i="21"/>
  <c r="Q157" i="21"/>
  <c r="Q155" i="21"/>
  <c r="E353" i="21" s="1"/>
  <c r="F353" i="21" s="1"/>
  <c r="G353" i="21" s="1"/>
  <c r="H353" i="21" s="1"/>
  <c r="I353" i="21" s="1"/>
  <c r="Q120" i="21"/>
  <c r="Q122" i="21"/>
  <c r="Q148" i="21"/>
  <c r="Q127" i="21"/>
  <c r="Q126" i="21"/>
  <c r="Q119" i="21"/>
  <c r="F413" i="21"/>
  <c r="D413" i="21"/>
  <c r="H249" i="21"/>
  <c r="H275" i="21" s="1"/>
  <c r="H288" i="21" s="1"/>
  <c r="G229" i="21"/>
  <c r="Q146" i="21"/>
  <c r="P93" i="21"/>
  <c r="Q145" i="21"/>
  <c r="E319" i="21"/>
  <c r="E334" i="21" s="1"/>
  <c r="E343" i="21"/>
  <c r="E376" i="21"/>
  <c r="E520" i="21"/>
  <c r="E528" i="21" s="1"/>
  <c r="Q151" i="21"/>
  <c r="Q121" i="21"/>
  <c r="Q125" i="21"/>
  <c r="Q128" i="21"/>
  <c r="F349" i="21"/>
  <c r="G344" i="21"/>
  <c r="Q149" i="21"/>
  <c r="Q123" i="21"/>
  <c r="Q144" i="21"/>
  <c r="E335" i="21"/>
  <c r="I489" i="21"/>
  <c r="I492" i="21" s="1"/>
  <c r="C537" i="21" s="1"/>
  <c r="F492" i="21"/>
  <c r="G514" i="21"/>
  <c r="H362" i="21"/>
  <c r="R153" i="21"/>
  <c r="E54" i="20"/>
  <c r="F125" i="3"/>
  <c r="G111" i="3"/>
  <c r="F271" i="21" l="1"/>
  <c r="G271" i="21" s="1"/>
  <c r="H271" i="21" s="1"/>
  <c r="I271" i="21" s="1"/>
  <c r="J271" i="21" s="1"/>
  <c r="G300" i="21"/>
  <c r="H300" i="21" s="1"/>
  <c r="I300" i="21" s="1"/>
  <c r="J300" i="21" s="1"/>
  <c r="F299" i="21"/>
  <c r="G299" i="21" s="1"/>
  <c r="H299" i="21" s="1"/>
  <c r="I299" i="21" s="1"/>
  <c r="J299" i="21" s="1"/>
  <c r="D91" i="21"/>
  <c r="E91" i="21" s="1"/>
  <c r="F91" i="21" s="1"/>
  <c r="G91" i="21" s="1"/>
  <c r="H91" i="21" s="1"/>
  <c r="I91" i="21" s="1"/>
  <c r="J91" i="21" s="1"/>
  <c r="K91" i="21" s="1"/>
  <c r="L91" i="21" s="1"/>
  <c r="M91" i="21" s="1"/>
  <c r="N91" i="21" s="1"/>
  <c r="O91" i="21" s="1"/>
  <c r="P91" i="21" s="1"/>
  <c r="D171" i="21"/>
  <c r="D204" i="21" s="1"/>
  <c r="D214" i="21" s="1"/>
  <c r="I269" i="21"/>
  <c r="J269" i="21" s="1"/>
  <c r="I107" i="3"/>
  <c r="J107" i="3" s="1"/>
  <c r="K107" i="3" s="1"/>
  <c r="L107" i="3" s="1"/>
  <c r="M107" i="3" s="1"/>
  <c r="N107" i="3" s="1"/>
  <c r="H109" i="3"/>
  <c r="D206" i="21"/>
  <c r="D216" i="21" s="1"/>
  <c r="Q134" i="21"/>
  <c r="F270" i="21"/>
  <c r="G270" i="21" s="1"/>
  <c r="H270" i="21" s="1"/>
  <c r="I270" i="21" s="1"/>
  <c r="J270" i="21" s="1"/>
  <c r="G336" i="21"/>
  <c r="G368" i="21" s="1"/>
  <c r="E92" i="21"/>
  <c r="F92" i="21" s="1"/>
  <c r="G92" i="21" s="1"/>
  <c r="H92" i="21" s="1"/>
  <c r="I92" i="21" s="1"/>
  <c r="J92" i="21" s="1"/>
  <c r="K92" i="21" s="1"/>
  <c r="L92" i="21" s="1"/>
  <c r="M92" i="21" s="1"/>
  <c r="N92" i="21" s="1"/>
  <c r="O92" i="21" s="1"/>
  <c r="P92" i="21" s="1"/>
  <c r="H84" i="3"/>
  <c r="H83" i="3"/>
  <c r="H86" i="3" s="1"/>
  <c r="C91" i="3" s="1"/>
  <c r="C218" i="21"/>
  <c r="E218" i="21" s="1"/>
  <c r="H218" i="21" s="1"/>
  <c r="D28" i="3"/>
  <c r="D36" i="3" s="1"/>
  <c r="F36" i="3" s="1"/>
  <c r="B36" i="3"/>
  <c r="H196" i="21"/>
  <c r="C501" i="21"/>
  <c r="E56" i="20"/>
  <c r="E57" i="20" s="1"/>
  <c r="D182" i="21"/>
  <c r="F20" i="21"/>
  <c r="R118" i="21"/>
  <c r="E131" i="21"/>
  <c r="F118" i="21"/>
  <c r="F21" i="21"/>
  <c r="D84" i="3"/>
  <c r="D91" i="3" s="1"/>
  <c r="E350" i="21"/>
  <c r="E351" i="21" s="1"/>
  <c r="E352" i="21" s="1"/>
  <c r="Q150" i="21"/>
  <c r="Q156" i="21"/>
  <c r="Q133" i="21"/>
  <c r="G349" i="21"/>
  <c r="H344" i="21"/>
  <c r="H412" i="21"/>
  <c r="H413" i="21"/>
  <c r="G317" i="21"/>
  <c r="H303" i="21"/>
  <c r="F354" i="21"/>
  <c r="F350" i="21"/>
  <c r="F351" i="21" s="1"/>
  <c r="F352" i="21" s="1"/>
  <c r="C216" i="21"/>
  <c r="F152" i="21"/>
  <c r="G152" i="21" s="1"/>
  <c r="H152" i="21" s="1"/>
  <c r="I152" i="21" s="1"/>
  <c r="J152" i="21" s="1"/>
  <c r="K152" i="21" s="1"/>
  <c r="L152" i="21" s="1"/>
  <c r="M152" i="21" s="1"/>
  <c r="N152" i="21" s="1"/>
  <c r="O152" i="21" s="1"/>
  <c r="P152" i="21" s="1"/>
  <c r="R154" i="21"/>
  <c r="E154" i="21" s="1"/>
  <c r="E153" i="21"/>
  <c r="H514" i="21"/>
  <c r="I362" i="21"/>
  <c r="I514" i="21" s="1"/>
  <c r="H336" i="21"/>
  <c r="E367" i="21"/>
  <c r="F335" i="21"/>
  <c r="F376" i="21"/>
  <c r="F520" i="21"/>
  <c r="F528" i="21" s="1"/>
  <c r="H229" i="21"/>
  <c r="J249" i="21" s="1"/>
  <c r="J275" i="21" s="1"/>
  <c r="J288" i="21" s="1"/>
  <c r="I249" i="21"/>
  <c r="I275" i="21" s="1"/>
  <c r="I288" i="21" s="1"/>
  <c r="E44" i="20"/>
  <c r="G125" i="3"/>
  <c r="H111" i="3"/>
  <c r="E206" i="21" l="1"/>
  <c r="E204" i="21"/>
  <c r="E214" i="21" s="1"/>
  <c r="H214" i="21" s="1"/>
  <c r="D34" i="21"/>
  <c r="D87" i="21"/>
  <c r="E136" i="21"/>
  <c r="D190" i="21"/>
  <c r="H190" i="21" s="1"/>
  <c r="E320" i="21"/>
  <c r="R131" i="21"/>
  <c r="R136" i="21" s="1"/>
  <c r="C499" i="21"/>
  <c r="C504" i="21" s="1"/>
  <c r="D183" i="21"/>
  <c r="G118" i="21"/>
  <c r="F131" i="21"/>
  <c r="F136" i="21" s="1"/>
  <c r="E355" i="21"/>
  <c r="D88" i="21"/>
  <c r="D35" i="21"/>
  <c r="I36" i="21"/>
  <c r="I45" i="21" s="1"/>
  <c r="F36" i="21"/>
  <c r="F45" i="21" s="1"/>
  <c r="H89" i="21"/>
  <c r="H98" i="21" s="1"/>
  <c r="O89" i="21"/>
  <c r="O98" i="21" s="1"/>
  <c r="H36" i="21"/>
  <c r="H45" i="21" s="1"/>
  <c r="D36" i="21"/>
  <c r="N89" i="21"/>
  <c r="N98" i="21" s="1"/>
  <c r="N36" i="21"/>
  <c r="N45" i="21" s="1"/>
  <c r="K89" i="21"/>
  <c r="K98" i="21" s="1"/>
  <c r="M36" i="21"/>
  <c r="M45" i="21" s="1"/>
  <c r="E89" i="21"/>
  <c r="E98" i="21" s="1"/>
  <c r="J36" i="21"/>
  <c r="J45" i="21" s="1"/>
  <c r="C27" i="21"/>
  <c r="G89" i="21"/>
  <c r="G98" i="21" s="1"/>
  <c r="D89" i="21"/>
  <c r="J89" i="21"/>
  <c r="J98" i="21" s="1"/>
  <c r="L36" i="21"/>
  <c r="L45" i="21" s="1"/>
  <c r="K36" i="21"/>
  <c r="K45" i="21" s="1"/>
  <c r="E36" i="21"/>
  <c r="E45" i="21" s="1"/>
  <c r="F89" i="21"/>
  <c r="F98" i="21" s="1"/>
  <c r="M89" i="21"/>
  <c r="M98" i="21" s="1"/>
  <c r="O36" i="21"/>
  <c r="O45" i="21" s="1"/>
  <c r="G36" i="21"/>
  <c r="G45" i="21" s="1"/>
  <c r="L89" i="21"/>
  <c r="L98" i="21" s="1"/>
  <c r="I89" i="21"/>
  <c r="I98" i="21" s="1"/>
  <c r="Q152" i="21"/>
  <c r="E216" i="21"/>
  <c r="H216" i="21" s="1"/>
  <c r="H220" i="21" s="1"/>
  <c r="F355" i="21"/>
  <c r="I344" i="21"/>
  <c r="I349" i="21" s="1"/>
  <c r="H349" i="21"/>
  <c r="G354" i="21"/>
  <c r="G350" i="21"/>
  <c r="G351" i="21" s="1"/>
  <c r="G352" i="21" s="1"/>
  <c r="I336" i="21"/>
  <c r="I368" i="21" s="1"/>
  <c r="H368" i="21"/>
  <c r="H317" i="21"/>
  <c r="I303" i="21"/>
  <c r="E375" i="21"/>
  <c r="E519" i="21"/>
  <c r="E527" i="21" s="1"/>
  <c r="F153" i="21"/>
  <c r="G153" i="21" s="1"/>
  <c r="H153" i="21" s="1"/>
  <c r="I153" i="21" s="1"/>
  <c r="J153" i="21" s="1"/>
  <c r="K153" i="21" s="1"/>
  <c r="L153" i="21" s="1"/>
  <c r="M153" i="21" s="1"/>
  <c r="N153" i="21" s="1"/>
  <c r="O153" i="21" s="1"/>
  <c r="P153" i="21" s="1"/>
  <c r="F154" i="21"/>
  <c r="G154" i="21" s="1"/>
  <c r="H154" i="21" s="1"/>
  <c r="I154" i="21" s="1"/>
  <c r="J154" i="21" s="1"/>
  <c r="K154" i="21" s="1"/>
  <c r="L154" i="21" s="1"/>
  <c r="M154" i="21" s="1"/>
  <c r="N154" i="21" s="1"/>
  <c r="O154" i="21" s="1"/>
  <c r="P154" i="21" s="1"/>
  <c r="I412" i="21"/>
  <c r="G335" i="21"/>
  <c r="F367" i="21"/>
  <c r="I317" i="21"/>
  <c r="J303" i="21"/>
  <c r="G520" i="21"/>
  <c r="G528" i="21" s="1"/>
  <c r="G376" i="21"/>
  <c r="E158" i="21"/>
  <c r="G343" i="21"/>
  <c r="G319" i="21"/>
  <c r="G334" i="21" s="1"/>
  <c r="E63" i="20"/>
  <c r="C69" i="20" s="1"/>
  <c r="E62" i="20"/>
  <c r="H125" i="3"/>
  <c r="I111" i="3"/>
  <c r="E64" i="20" l="1"/>
  <c r="C106" i="3"/>
  <c r="C109" i="3" s="1"/>
  <c r="G131" i="21"/>
  <c r="G136" i="21" s="1"/>
  <c r="H118" i="21"/>
  <c r="D186" i="21"/>
  <c r="D489" i="21" s="1"/>
  <c r="D187" i="21"/>
  <c r="D380" i="21"/>
  <c r="E49" i="21"/>
  <c r="D44" i="21"/>
  <c r="E54" i="21" s="1"/>
  <c r="E35" i="21"/>
  <c r="E101" i="21"/>
  <c r="E87" i="21"/>
  <c r="D96" i="21"/>
  <c r="E106" i="21" s="1"/>
  <c r="E88" i="21"/>
  <c r="D97" i="21"/>
  <c r="E107" i="21" s="1"/>
  <c r="E102" i="21"/>
  <c r="E34" i="21"/>
  <c r="E48" i="21"/>
  <c r="D43" i="21"/>
  <c r="E53" i="21" s="1"/>
  <c r="E333" i="21"/>
  <c r="E338" i="21" s="1"/>
  <c r="F320" i="21"/>
  <c r="P36" i="21"/>
  <c r="D45" i="21"/>
  <c r="E50" i="21"/>
  <c r="E103" i="21"/>
  <c r="D98" i="21"/>
  <c r="P89" i="21"/>
  <c r="C123" i="3"/>
  <c r="D120" i="3"/>
  <c r="Q154" i="21"/>
  <c r="Q153" i="21"/>
  <c r="G355" i="21"/>
  <c r="H376" i="21"/>
  <c r="H520" i="21"/>
  <c r="H528" i="21" s="1"/>
  <c r="I376" i="21"/>
  <c r="I520" i="21"/>
  <c r="I528" i="21" s="1"/>
  <c r="H335" i="21"/>
  <c r="G367" i="21"/>
  <c r="I354" i="21"/>
  <c r="I350" i="21"/>
  <c r="I351" i="21" s="1"/>
  <c r="I352" i="21" s="1"/>
  <c r="H343" i="21"/>
  <c r="H319" i="21"/>
  <c r="H334" i="21" s="1"/>
  <c r="F158" i="21"/>
  <c r="G158" i="21" s="1"/>
  <c r="H158" i="21" s="1"/>
  <c r="I158" i="21" s="1"/>
  <c r="J158" i="21" s="1"/>
  <c r="K158" i="21" s="1"/>
  <c r="L158" i="21" s="1"/>
  <c r="M158" i="21" s="1"/>
  <c r="N158" i="21" s="1"/>
  <c r="O158" i="21" s="1"/>
  <c r="P158" i="21" s="1"/>
  <c r="D191" i="21"/>
  <c r="I343" i="21"/>
  <c r="I319" i="21"/>
  <c r="I334" i="21" s="1"/>
  <c r="F375" i="21"/>
  <c r="F519" i="21"/>
  <c r="F527" i="21" s="1"/>
  <c r="H354" i="21"/>
  <c r="H350" i="21"/>
  <c r="H351" i="21" s="1"/>
  <c r="H352" i="21" s="1"/>
  <c r="C85" i="20"/>
  <c r="D80" i="20"/>
  <c r="E80" i="20" s="1"/>
  <c r="F80" i="20" s="1"/>
  <c r="F85" i="20" s="1"/>
  <c r="D113" i="3"/>
  <c r="C116" i="3"/>
  <c r="J111" i="3"/>
  <c r="D106" i="3" l="1"/>
  <c r="E43" i="21"/>
  <c r="F34" i="21"/>
  <c r="E96" i="21"/>
  <c r="F87" i="21"/>
  <c r="C403" i="21"/>
  <c r="D415" i="21" s="1"/>
  <c r="J412" i="21" s="1"/>
  <c r="D490" i="21"/>
  <c r="D532" i="21"/>
  <c r="D382" i="21"/>
  <c r="G320" i="21"/>
  <c r="F333" i="21"/>
  <c r="E503" i="21"/>
  <c r="E44" i="21"/>
  <c r="F35" i="21"/>
  <c r="I118" i="21"/>
  <c r="H131" i="21"/>
  <c r="H136" i="21" s="1"/>
  <c r="E366" i="21"/>
  <c r="E518" i="21" s="1"/>
  <c r="E97" i="21"/>
  <c r="F88" i="21"/>
  <c r="E108" i="21"/>
  <c r="E109" i="21" s="1"/>
  <c r="P98" i="21"/>
  <c r="F108" i="21" s="1"/>
  <c r="D123" i="3"/>
  <c r="E120" i="3"/>
  <c r="P45" i="21"/>
  <c r="E55" i="21"/>
  <c r="E56" i="21" s="1"/>
  <c r="F50" i="21"/>
  <c r="F261" i="21"/>
  <c r="F103" i="21"/>
  <c r="H191" i="21"/>
  <c r="H194" i="21" s="1"/>
  <c r="H197" i="21" s="1"/>
  <c r="D194" i="21"/>
  <c r="D197" i="21" s="1"/>
  <c r="I355" i="21"/>
  <c r="G519" i="21"/>
  <c r="G527" i="21" s="1"/>
  <c r="G375" i="21"/>
  <c r="H355" i="21"/>
  <c r="Q158" i="21"/>
  <c r="I335" i="21"/>
  <c r="I367" i="21" s="1"/>
  <c r="H367" i="21"/>
  <c r="F86" i="20"/>
  <c r="E85" i="20"/>
  <c r="D85" i="20" s="1"/>
  <c r="C86" i="20" s="1"/>
  <c r="D116" i="3"/>
  <c r="E113" i="3"/>
  <c r="E106" i="3"/>
  <c r="D109" i="3"/>
  <c r="C127" i="3"/>
  <c r="K111" i="3"/>
  <c r="J125" i="3"/>
  <c r="D424" i="21" l="1"/>
  <c r="F424" i="21" s="1"/>
  <c r="G424" i="21"/>
  <c r="I131" i="21"/>
  <c r="I136" i="21" s="1"/>
  <c r="J118" i="21"/>
  <c r="G333" i="21"/>
  <c r="H320" i="21"/>
  <c r="F96" i="21"/>
  <c r="G87" i="21"/>
  <c r="F366" i="21"/>
  <c r="F518" i="21" s="1"/>
  <c r="F338" i="21"/>
  <c r="F44" i="21"/>
  <c r="G35" i="21"/>
  <c r="E499" i="21"/>
  <c r="D533" i="21"/>
  <c r="D536" i="21" s="1"/>
  <c r="E500" i="21"/>
  <c r="F97" i="21"/>
  <c r="G88" i="21"/>
  <c r="J390" i="21"/>
  <c r="D389" i="21"/>
  <c r="G34" i="21"/>
  <c r="F43" i="21"/>
  <c r="D492" i="21"/>
  <c r="E123" i="3"/>
  <c r="F120" i="3"/>
  <c r="F291" i="21"/>
  <c r="F306" i="21" s="1"/>
  <c r="G261" i="21"/>
  <c r="F278" i="21"/>
  <c r="F55" i="21"/>
  <c r="F208" i="21"/>
  <c r="F206" i="21"/>
  <c r="F204" i="21"/>
  <c r="G206" i="21"/>
  <c r="I206" i="21" s="1"/>
  <c r="H221" i="21" s="1"/>
  <c r="G204" i="21"/>
  <c r="I204" i="21" s="1"/>
  <c r="G208" i="21"/>
  <c r="I208" i="21" s="1"/>
  <c r="H222" i="21"/>
  <c r="H519" i="21"/>
  <c r="H527" i="21" s="1"/>
  <c r="H375" i="21"/>
  <c r="I375" i="21"/>
  <c r="I519" i="21"/>
  <c r="I527" i="21" s="1"/>
  <c r="E86" i="20"/>
  <c r="D86" i="20" s="1"/>
  <c r="C87" i="20" s="1"/>
  <c r="F87" i="20"/>
  <c r="D127" i="3"/>
  <c r="L111" i="3"/>
  <c r="K125" i="3"/>
  <c r="E116" i="3"/>
  <c r="F113" i="3"/>
  <c r="E109" i="3"/>
  <c r="F106" i="3"/>
  <c r="H34" i="21" l="1"/>
  <c r="G43" i="21"/>
  <c r="G96" i="21"/>
  <c r="H87" i="21"/>
  <c r="G44" i="21"/>
  <c r="H35" i="21"/>
  <c r="H333" i="21"/>
  <c r="I320" i="21"/>
  <c r="I333" i="21" s="1"/>
  <c r="G425" i="21"/>
  <c r="G426" i="21" s="1"/>
  <c r="G427" i="21" s="1"/>
  <c r="G428" i="21" s="1"/>
  <c r="E424" i="21"/>
  <c r="D425" i="21" s="1"/>
  <c r="F425" i="21" s="1"/>
  <c r="K118" i="21"/>
  <c r="J131" i="21"/>
  <c r="J136" i="21" s="1"/>
  <c r="J545" i="21"/>
  <c r="D544" i="21"/>
  <c r="E501" i="21"/>
  <c r="E504" i="21" s="1"/>
  <c r="G97" i="21"/>
  <c r="H88" i="21"/>
  <c r="G338" i="21"/>
  <c r="G366" i="21"/>
  <c r="G518" i="21" s="1"/>
  <c r="F123" i="3"/>
  <c r="G120" i="3"/>
  <c r="G278" i="21"/>
  <c r="H261" i="21"/>
  <c r="G291" i="21"/>
  <c r="G306" i="21" s="1"/>
  <c r="E87" i="20"/>
  <c r="F88" i="20"/>
  <c r="D87" i="20"/>
  <c r="C88" i="20" s="1"/>
  <c r="M111" i="3"/>
  <c r="L125" i="3"/>
  <c r="F109" i="3"/>
  <c r="G106" i="3"/>
  <c r="F116" i="3"/>
  <c r="G113" i="3"/>
  <c r="E127" i="3"/>
  <c r="I88" i="21" l="1"/>
  <c r="H97" i="21"/>
  <c r="L118" i="21"/>
  <c r="K131" i="21"/>
  <c r="K136" i="21" s="1"/>
  <c r="I87" i="21"/>
  <c r="H96" i="21"/>
  <c r="H44" i="21"/>
  <c r="I35" i="21"/>
  <c r="I338" i="21"/>
  <c r="I366" i="21"/>
  <c r="I518" i="21" s="1"/>
  <c r="H338" i="21"/>
  <c r="H366" i="21"/>
  <c r="H518" i="21" s="1"/>
  <c r="I34" i="21"/>
  <c r="H43" i="21"/>
  <c r="I261" i="21"/>
  <c r="H278" i="21"/>
  <c r="H291" i="21"/>
  <c r="H306" i="21" s="1"/>
  <c r="G123" i="3"/>
  <c r="H120" i="3"/>
  <c r="E425" i="21"/>
  <c r="G429" i="21"/>
  <c r="H428" i="21"/>
  <c r="E88" i="20"/>
  <c r="D88" i="20" s="1"/>
  <c r="C89" i="20" s="1"/>
  <c r="F89" i="20"/>
  <c r="F127" i="3"/>
  <c r="G109" i="3"/>
  <c r="H106" i="3"/>
  <c r="G116" i="3"/>
  <c r="H113" i="3"/>
  <c r="M125" i="3"/>
  <c r="N111" i="3"/>
  <c r="I96" i="21" l="1"/>
  <c r="J87" i="21"/>
  <c r="L131" i="21"/>
  <c r="L136" i="21" s="1"/>
  <c r="M118" i="21"/>
  <c r="I44" i="21"/>
  <c r="J35" i="21"/>
  <c r="I43" i="21"/>
  <c r="J34" i="21"/>
  <c r="I97" i="21"/>
  <c r="J88" i="21"/>
  <c r="I120" i="3"/>
  <c r="H123" i="3"/>
  <c r="I291" i="21"/>
  <c r="I306" i="21" s="1"/>
  <c r="J261" i="21"/>
  <c r="I278" i="21"/>
  <c r="D426" i="21"/>
  <c r="G430" i="21"/>
  <c r="E89" i="20"/>
  <c r="D89" i="20" s="1"/>
  <c r="C90" i="20" s="1"/>
  <c r="F90" i="20"/>
  <c r="H116" i="3"/>
  <c r="I113" i="3"/>
  <c r="I106" i="3"/>
  <c r="G127" i="3"/>
  <c r="N125" i="3"/>
  <c r="O111" i="3"/>
  <c r="J97" i="21" l="1"/>
  <c r="K88" i="21"/>
  <c r="K34" i="21"/>
  <c r="J43" i="21"/>
  <c r="J96" i="21"/>
  <c r="K87" i="21"/>
  <c r="J44" i="21"/>
  <c r="K35" i="21"/>
  <c r="M131" i="21"/>
  <c r="M136" i="21" s="1"/>
  <c r="N118" i="21"/>
  <c r="J291" i="21"/>
  <c r="J306" i="21" s="1"/>
  <c r="J278" i="21"/>
  <c r="I123" i="3"/>
  <c r="J120" i="3"/>
  <c r="G431" i="21"/>
  <c r="F426" i="21"/>
  <c r="E90" i="20"/>
  <c r="D90" i="20" s="1"/>
  <c r="C91" i="20" s="1"/>
  <c r="F91" i="20"/>
  <c r="H127" i="3"/>
  <c r="I109" i="3"/>
  <c r="J106" i="3"/>
  <c r="I116" i="3"/>
  <c r="J113" i="3"/>
  <c r="L87" i="21" l="1"/>
  <c r="K96" i="21"/>
  <c r="N131" i="21"/>
  <c r="N136" i="21" s="1"/>
  <c r="O118" i="21"/>
  <c r="K43" i="21"/>
  <c r="L34" i="21"/>
  <c r="K44" i="21"/>
  <c r="L35" i="21"/>
  <c r="K97" i="21"/>
  <c r="L88" i="21"/>
  <c r="K120" i="3"/>
  <c r="J123" i="3"/>
  <c r="G432" i="21"/>
  <c r="E426" i="21"/>
  <c r="E91" i="20"/>
  <c r="D91" i="20" s="1"/>
  <c r="C92" i="20" s="1"/>
  <c r="F92" i="20"/>
  <c r="J116" i="3"/>
  <c r="K113" i="3"/>
  <c r="J109" i="3"/>
  <c r="K106" i="3"/>
  <c r="I127" i="3"/>
  <c r="L43" i="21" l="1"/>
  <c r="M34" i="21"/>
  <c r="L97" i="21"/>
  <c r="M88" i="21"/>
  <c r="O131" i="21"/>
  <c r="O136" i="21" s="1"/>
  <c r="P118" i="21"/>
  <c r="M35" i="21"/>
  <c r="L44" i="21"/>
  <c r="M87" i="21"/>
  <c r="L96" i="21"/>
  <c r="K123" i="3"/>
  <c r="L120" i="3"/>
  <c r="G433" i="21"/>
  <c r="D427" i="21"/>
  <c r="E92" i="20"/>
  <c r="D92" i="20" s="1"/>
  <c r="C93" i="20" s="1"/>
  <c r="F93" i="20"/>
  <c r="K116" i="3"/>
  <c r="L113" i="3"/>
  <c r="K109" i="3"/>
  <c r="L106" i="3"/>
  <c r="J127" i="3"/>
  <c r="M96" i="21" l="1"/>
  <c r="N87" i="21"/>
  <c r="M97" i="21"/>
  <c r="N88" i="21"/>
  <c r="N34" i="21"/>
  <c r="M43" i="21"/>
  <c r="Q118" i="21"/>
  <c r="Q131" i="21" s="1"/>
  <c r="Q136" i="21" s="1"/>
  <c r="P131" i="21"/>
  <c r="P136" i="21" s="1"/>
  <c r="M44" i="21"/>
  <c r="N35" i="21"/>
  <c r="L123" i="3"/>
  <c r="M120" i="3"/>
  <c r="G434" i="21"/>
  <c r="F427" i="21"/>
  <c r="E93" i="20"/>
  <c r="D93" i="20" s="1"/>
  <c r="C94" i="20" s="1"/>
  <c r="F94" i="20"/>
  <c r="L116" i="3"/>
  <c r="M113" i="3"/>
  <c r="L109" i="3"/>
  <c r="M106" i="3"/>
  <c r="K127" i="3"/>
  <c r="L127" i="3" l="1"/>
  <c r="O34" i="21"/>
  <c r="O43" i="21" s="1"/>
  <c r="N43" i="21"/>
  <c r="N96" i="21"/>
  <c r="O87" i="21"/>
  <c r="O35" i="21"/>
  <c r="O44" i="21" s="1"/>
  <c r="N44" i="21"/>
  <c r="O88" i="21"/>
  <c r="N97" i="21"/>
  <c r="M123" i="3"/>
  <c r="N120" i="3"/>
  <c r="E427" i="21"/>
  <c r="G435" i="21"/>
  <c r="E94" i="20"/>
  <c r="D94" i="20" s="1"/>
  <c r="C95" i="20" s="1"/>
  <c r="F95" i="20"/>
  <c r="M109" i="3"/>
  <c r="N106" i="3"/>
  <c r="M116" i="3"/>
  <c r="N113" i="3"/>
  <c r="P34" i="21" l="1"/>
  <c r="F48" i="21" s="1"/>
  <c r="O97" i="21"/>
  <c r="P97" i="21" s="1"/>
  <c r="F107" i="21" s="1"/>
  <c r="P88" i="21"/>
  <c r="F102" i="21" s="1"/>
  <c r="P43" i="21"/>
  <c r="P44" i="21"/>
  <c r="P87" i="21"/>
  <c r="F101" i="21" s="1"/>
  <c r="O96" i="21"/>
  <c r="P96" i="21" s="1"/>
  <c r="F106" i="21" s="1"/>
  <c r="P35" i="21"/>
  <c r="N123" i="3"/>
  <c r="O123" i="3" s="1"/>
  <c r="O120" i="3"/>
  <c r="G436" i="21"/>
  <c r="D428" i="21"/>
  <c r="E95" i="20"/>
  <c r="D95" i="20" s="1"/>
  <c r="C96" i="20" s="1"/>
  <c r="F96" i="20"/>
  <c r="N116" i="3"/>
  <c r="O116" i="3" s="1"/>
  <c r="O113" i="3"/>
  <c r="N109" i="3"/>
  <c r="O106" i="3"/>
  <c r="M127" i="3"/>
  <c r="F259" i="21" l="1"/>
  <c r="F289" i="21" s="1"/>
  <c r="F304" i="21" s="1"/>
  <c r="F109" i="21"/>
  <c r="F53" i="21"/>
  <c r="P46" i="21"/>
  <c r="F276" i="21"/>
  <c r="F277" i="21"/>
  <c r="F54" i="21"/>
  <c r="F260" i="21"/>
  <c r="F49" i="21"/>
  <c r="G437" i="21"/>
  <c r="F428" i="21"/>
  <c r="E428" i="21" s="1"/>
  <c r="D429" i="21" s="1"/>
  <c r="E96" i="20"/>
  <c r="D96" i="20" s="1"/>
  <c r="C97" i="20" s="1"/>
  <c r="F97" i="20"/>
  <c r="N127" i="3"/>
  <c r="O127" i="3" s="1"/>
  <c r="O109" i="3"/>
  <c r="G259" i="21" l="1"/>
  <c r="G276" i="21" s="1"/>
  <c r="F290" i="21"/>
  <c r="F305" i="21" s="1"/>
  <c r="G260" i="21"/>
  <c r="F279" i="21"/>
  <c r="E364" i="21" s="1"/>
  <c r="F56" i="21"/>
  <c r="F429" i="21"/>
  <c r="E429" i="21" s="1"/>
  <c r="D430" i="21" s="1"/>
  <c r="G438" i="21"/>
  <c r="E97" i="20"/>
  <c r="D97" i="20" s="1"/>
  <c r="C98" i="20" s="1"/>
  <c r="F98" i="20"/>
  <c r="F307" i="21" l="1"/>
  <c r="E365" i="21" s="1"/>
  <c r="G289" i="21"/>
  <c r="G304" i="21" s="1"/>
  <c r="H259" i="21"/>
  <c r="H276" i="21" s="1"/>
  <c r="E516" i="21"/>
  <c r="E373" i="21"/>
  <c r="H260" i="21"/>
  <c r="G277" i="21"/>
  <c r="G290" i="21"/>
  <c r="G305" i="21" s="1"/>
  <c r="F430" i="21"/>
  <c r="E430" i="21" s="1"/>
  <c r="D431" i="21" s="1"/>
  <c r="G439" i="21"/>
  <c r="E98" i="20"/>
  <c r="D98" i="20" s="1"/>
  <c r="C99" i="20" s="1"/>
  <c r="F99" i="20"/>
  <c r="E517" i="21" l="1"/>
  <c r="E369" i="21"/>
  <c r="E372" i="21" s="1"/>
  <c r="E374" i="21" s="1"/>
  <c r="E379" i="21" s="1"/>
  <c r="E382" i="21" s="1"/>
  <c r="E389" i="21" s="1"/>
  <c r="G307" i="21"/>
  <c r="F365" i="21" s="1"/>
  <c r="F517" i="21" s="1"/>
  <c r="H289" i="21"/>
  <c r="H304" i="21" s="1"/>
  <c r="H307" i="21" s="1"/>
  <c r="I259" i="21"/>
  <c r="G279" i="21"/>
  <c r="F364" i="21" s="1"/>
  <c r="F373" i="21" s="1"/>
  <c r="H290" i="21"/>
  <c r="H305" i="21" s="1"/>
  <c r="H277" i="21"/>
  <c r="I260" i="21"/>
  <c r="E521" i="21"/>
  <c r="E525" i="21"/>
  <c r="F431" i="21"/>
  <c r="E431" i="21" s="1"/>
  <c r="D432" i="21" s="1"/>
  <c r="G440" i="21"/>
  <c r="E99" i="20"/>
  <c r="D99" i="20" s="1"/>
  <c r="C100" i="20" s="1"/>
  <c r="F100" i="20"/>
  <c r="C390" i="21" l="1"/>
  <c r="D390" i="21" s="1"/>
  <c r="G365" i="21"/>
  <c r="G517" i="21" s="1"/>
  <c r="F369" i="21"/>
  <c r="F372" i="21" s="1"/>
  <c r="F374" i="21" s="1"/>
  <c r="F379" i="21" s="1"/>
  <c r="F382" i="21" s="1"/>
  <c r="F389" i="21" s="1"/>
  <c r="F516" i="21"/>
  <c r="H279" i="21"/>
  <c r="G364" i="21" s="1"/>
  <c r="J259" i="21"/>
  <c r="I276" i="21"/>
  <c r="I289" i="21"/>
  <c r="I304" i="21" s="1"/>
  <c r="I290" i="21"/>
  <c r="I305" i="21" s="1"/>
  <c r="I277" i="21"/>
  <c r="J260" i="21"/>
  <c r="G441" i="21"/>
  <c r="F432" i="21"/>
  <c r="E432" i="21" s="1"/>
  <c r="D433" i="21" s="1"/>
  <c r="E100" i="20"/>
  <c r="D100" i="20" s="1"/>
  <c r="C101" i="20" s="1"/>
  <c r="F101" i="20"/>
  <c r="F394" i="21" l="1"/>
  <c r="G369" i="21"/>
  <c r="G372" i="21" s="1"/>
  <c r="I279" i="21"/>
  <c r="H364" i="21" s="1"/>
  <c r="H516" i="21" s="1"/>
  <c r="F521" i="21"/>
  <c r="F525" i="21"/>
  <c r="I307" i="21"/>
  <c r="H365" i="21" s="1"/>
  <c r="H517" i="21" s="1"/>
  <c r="G373" i="21"/>
  <c r="G516" i="21"/>
  <c r="G521" i="21" s="1"/>
  <c r="J276" i="21"/>
  <c r="J289" i="21"/>
  <c r="J304" i="21" s="1"/>
  <c r="J277" i="21"/>
  <c r="J290" i="21"/>
  <c r="J305" i="21" s="1"/>
  <c r="F433" i="21"/>
  <c r="E433" i="21" s="1"/>
  <c r="D434" i="21" s="1"/>
  <c r="G442" i="21"/>
  <c r="C391" i="21"/>
  <c r="E101" i="20"/>
  <c r="F102" i="20"/>
  <c r="D101" i="20"/>
  <c r="C102" i="20" s="1"/>
  <c r="G374" i="21" l="1"/>
  <c r="G379" i="21" s="1"/>
  <c r="G382" i="21" s="1"/>
  <c r="D391" i="21"/>
  <c r="G394" i="21"/>
  <c r="J279" i="21"/>
  <c r="I364" i="21" s="1"/>
  <c r="I516" i="21" s="1"/>
  <c r="H373" i="21"/>
  <c r="H369" i="21"/>
  <c r="H372" i="21" s="1"/>
  <c r="G525" i="21"/>
  <c r="J307" i="21"/>
  <c r="I365" i="21" s="1"/>
  <c r="I517" i="21" s="1"/>
  <c r="H525" i="21"/>
  <c r="H521" i="21"/>
  <c r="F434" i="21"/>
  <c r="E434" i="21" s="1"/>
  <c r="D435" i="21" s="1"/>
  <c r="G443" i="21"/>
  <c r="E102" i="20"/>
  <c r="D102" i="20" s="1"/>
  <c r="C103" i="20" s="1"/>
  <c r="F103" i="20"/>
  <c r="G389" i="21" l="1"/>
  <c r="C392" i="21" s="1"/>
  <c r="D392" i="21" s="1"/>
  <c r="I373" i="21"/>
  <c r="H374" i="21"/>
  <c r="H379" i="21" s="1"/>
  <c r="H382" i="21" s="1"/>
  <c r="H389" i="21" s="1"/>
  <c r="C393" i="21" s="1"/>
  <c r="I369" i="21"/>
  <c r="I372" i="21" s="1"/>
  <c r="I374" i="21" s="1"/>
  <c r="I379" i="21" s="1"/>
  <c r="I382" i="21" s="1"/>
  <c r="D384" i="21" s="1"/>
  <c r="I521" i="21"/>
  <c r="I525" i="21"/>
  <c r="F435" i="21"/>
  <c r="G444" i="21"/>
  <c r="E103" i="20"/>
  <c r="D103" i="20" s="1"/>
  <c r="C104" i="20" s="1"/>
  <c r="F104" i="20"/>
  <c r="D393" i="21" l="1"/>
  <c r="I389" i="21"/>
  <c r="J389" i="21" s="1"/>
  <c r="J391" i="21" s="1"/>
  <c r="D386" i="21"/>
  <c r="I386" i="21" s="1"/>
  <c r="D385" i="21"/>
  <c r="J382" i="21"/>
  <c r="E522" i="21"/>
  <c r="E435" i="21"/>
  <c r="G445" i="21"/>
  <c r="E104" i="20"/>
  <c r="D104" i="20" s="1"/>
  <c r="C105" i="20" s="1"/>
  <c r="F105" i="20"/>
  <c r="C394" i="21" l="1"/>
  <c r="D394" i="21" s="1"/>
  <c r="E534" i="21"/>
  <c r="D436" i="21"/>
  <c r="E529" i="21"/>
  <c r="E535" i="21" s="1"/>
  <c r="E524" i="21"/>
  <c r="E526" i="21" s="1"/>
  <c r="E531" i="21" s="1"/>
  <c r="G446" i="21"/>
  <c r="E105" i="20"/>
  <c r="D105" i="20" s="1"/>
  <c r="C106" i="20" s="1"/>
  <c r="F106" i="20"/>
  <c r="E536" i="21" l="1"/>
  <c r="E544" i="21" s="1"/>
  <c r="F436" i="21"/>
  <c r="G447" i="21"/>
  <c r="E106" i="20"/>
  <c r="D106" i="20" s="1"/>
  <c r="C107" i="20" s="1"/>
  <c r="F107" i="20"/>
  <c r="G448" i="21" l="1"/>
  <c r="E436" i="21"/>
  <c r="C545" i="21"/>
  <c r="E107" i="20"/>
  <c r="D107" i="20" s="1"/>
  <c r="C108" i="20" s="1"/>
  <c r="F108" i="20"/>
  <c r="D545" i="21" l="1"/>
  <c r="F549" i="21"/>
  <c r="G449" i="21"/>
  <c r="D437" i="21"/>
  <c r="E108" i="20"/>
  <c r="D108" i="20" s="1"/>
  <c r="C109" i="20" s="1"/>
  <c r="F109" i="20"/>
  <c r="F437" i="21" l="1"/>
  <c r="G450" i="21"/>
  <c r="E109" i="20"/>
  <c r="D109" i="20" s="1"/>
  <c r="C110" i="20" s="1"/>
  <c r="F110" i="20"/>
  <c r="G451" i="21" l="1"/>
  <c r="E437" i="21"/>
  <c r="E110" i="20"/>
  <c r="D110" i="20"/>
  <c r="C111" i="20" s="1"/>
  <c r="F111" i="20"/>
  <c r="G452" i="21" l="1"/>
  <c r="D438" i="21"/>
  <c r="E111" i="20"/>
  <c r="D111" i="20" s="1"/>
  <c r="C112" i="20" s="1"/>
  <c r="F112" i="20"/>
  <c r="F438" i="21" l="1"/>
  <c r="G453" i="21"/>
  <c r="E112" i="20"/>
  <c r="D112" i="20" s="1"/>
  <c r="C113" i="20" s="1"/>
  <c r="F113" i="20"/>
  <c r="E438" i="21" l="1"/>
  <c r="G454" i="21"/>
  <c r="E113" i="20"/>
  <c r="D113" i="20" s="1"/>
  <c r="C114" i="20" s="1"/>
  <c r="F114" i="20"/>
  <c r="G455" i="21" l="1"/>
  <c r="D439" i="21"/>
  <c r="E114" i="20"/>
  <c r="D114" i="20"/>
  <c r="C115" i="20" s="1"/>
  <c r="F115" i="20"/>
  <c r="G456" i="21" l="1"/>
  <c r="F439" i="21"/>
  <c r="E115" i="20"/>
  <c r="F116" i="20"/>
  <c r="D115" i="20"/>
  <c r="C116" i="20" s="1"/>
  <c r="G457" i="21" l="1"/>
  <c r="E439" i="21"/>
  <c r="E116" i="20"/>
  <c r="D116" i="20" s="1"/>
  <c r="C117" i="20" s="1"/>
  <c r="F117" i="20"/>
  <c r="D440" i="21" l="1"/>
  <c r="G458" i="21"/>
  <c r="E117" i="20"/>
  <c r="D117" i="20" s="1"/>
  <c r="C118" i="20" s="1"/>
  <c r="F118" i="20"/>
  <c r="F440" i="21" l="1"/>
  <c r="G459" i="21"/>
  <c r="E118" i="20"/>
  <c r="D118" i="20" s="1"/>
  <c r="C119" i="20" s="1"/>
  <c r="F119" i="20"/>
  <c r="G460" i="21" l="1"/>
  <c r="E440" i="21"/>
  <c r="E119" i="20"/>
  <c r="D119" i="20" s="1"/>
  <c r="C120" i="20" s="1"/>
  <c r="F120" i="20"/>
  <c r="D441" i="21" l="1"/>
  <c r="G461" i="21"/>
  <c r="E120" i="20"/>
  <c r="D120" i="20" s="1"/>
  <c r="C121" i="20" s="1"/>
  <c r="F121" i="20"/>
  <c r="G462" i="21" l="1"/>
  <c r="F441" i="21"/>
  <c r="E441" i="21" s="1"/>
  <c r="D442" i="21" s="1"/>
  <c r="E121" i="20"/>
  <c r="F122" i="20"/>
  <c r="D121" i="20"/>
  <c r="C122" i="20" s="1"/>
  <c r="F442" i="21" l="1"/>
  <c r="E442" i="21" s="1"/>
  <c r="D443" i="21" s="1"/>
  <c r="G463" i="21"/>
  <c r="E122" i="20"/>
  <c r="D122" i="20" s="1"/>
  <c r="C123" i="20" s="1"/>
  <c r="F123" i="20"/>
  <c r="F443" i="21" l="1"/>
  <c r="E443" i="21" s="1"/>
  <c r="D444" i="21" s="1"/>
  <c r="G464" i="21"/>
  <c r="E123" i="20"/>
  <c r="D123" i="20" s="1"/>
  <c r="C124" i="20" s="1"/>
  <c r="F124" i="20"/>
  <c r="F444" i="21" l="1"/>
  <c r="E444" i="21" s="1"/>
  <c r="D445" i="21" s="1"/>
  <c r="G465" i="21"/>
  <c r="E124" i="20"/>
  <c r="D124" i="20" s="1"/>
  <c r="C125" i="20" s="1"/>
  <c r="F125" i="20"/>
  <c r="F445" i="21" l="1"/>
  <c r="E445" i="21" s="1"/>
  <c r="D446" i="21" s="1"/>
  <c r="G466" i="21"/>
  <c r="E125" i="20"/>
  <c r="D125" i="20" s="1"/>
  <c r="C126" i="20" s="1"/>
  <c r="F126" i="20"/>
  <c r="F446" i="21" l="1"/>
  <c r="E446" i="21" s="1"/>
  <c r="D447" i="21" s="1"/>
  <c r="G467" i="21"/>
  <c r="E126" i="20"/>
  <c r="D126" i="20" s="1"/>
  <c r="C127" i="20" s="1"/>
  <c r="F127" i="20"/>
  <c r="F447" i="21" l="1"/>
  <c r="G468" i="21"/>
  <c r="E127" i="20"/>
  <c r="F128" i="20"/>
  <c r="D127" i="20"/>
  <c r="C128" i="20" s="1"/>
  <c r="G469" i="21" l="1"/>
  <c r="E447" i="21"/>
  <c r="F522" i="21"/>
  <c r="E128" i="20"/>
  <c r="D128" i="20" s="1"/>
  <c r="C129" i="20" s="1"/>
  <c r="F129" i="20"/>
  <c r="F529" i="21" l="1"/>
  <c r="F535" i="21" s="1"/>
  <c r="F524" i="21"/>
  <c r="F526" i="21" s="1"/>
  <c r="F531" i="21" s="1"/>
  <c r="G470" i="21"/>
  <c r="F534" i="21"/>
  <c r="D448" i="21"/>
  <c r="E129" i="20"/>
  <c r="D129" i="20" s="1"/>
  <c r="C130" i="20" s="1"/>
  <c r="F130" i="20"/>
  <c r="F536" i="21" l="1"/>
  <c r="F544" i="21" s="1"/>
  <c r="F448" i="21"/>
  <c r="G471" i="21"/>
  <c r="E130" i="20"/>
  <c r="D130" i="20" s="1"/>
  <c r="C131" i="20" s="1"/>
  <c r="F131" i="20"/>
  <c r="C546" i="21" l="1"/>
  <c r="D546" i="21" s="1"/>
  <c r="G472" i="21"/>
  <c r="E448" i="21"/>
  <c r="E131" i="20"/>
  <c r="D131" i="20" s="1"/>
  <c r="C132" i="20" s="1"/>
  <c r="F132" i="20"/>
  <c r="G473" i="21" l="1"/>
  <c r="D449" i="21"/>
  <c r="E132" i="20"/>
  <c r="D132" i="20" s="1"/>
  <c r="C133" i="20" s="1"/>
  <c r="F133" i="20"/>
  <c r="G474" i="21" l="1"/>
  <c r="F449" i="21"/>
  <c r="E133" i="20"/>
  <c r="D133" i="20" s="1"/>
  <c r="C134" i="20" s="1"/>
  <c r="F134" i="20"/>
  <c r="E449" i="21" l="1"/>
  <c r="G475" i="21"/>
  <c r="E134" i="20"/>
  <c r="D134" i="20"/>
  <c r="C135" i="20" s="1"/>
  <c r="F135" i="20"/>
  <c r="G476" i="21" l="1"/>
  <c r="D450" i="21"/>
  <c r="E135" i="20"/>
  <c r="D135" i="20" s="1"/>
  <c r="C136" i="20" s="1"/>
  <c r="F136" i="20"/>
  <c r="F450" i="21" l="1"/>
  <c r="G477" i="21"/>
  <c r="E136" i="20"/>
  <c r="D136" i="20" s="1"/>
  <c r="C137" i="20" s="1"/>
  <c r="F137" i="20"/>
  <c r="G478" i="21" l="1"/>
  <c r="E450" i="21"/>
  <c r="E137" i="20"/>
  <c r="D137" i="20" s="1"/>
  <c r="C138" i="20" s="1"/>
  <c r="F138" i="20"/>
  <c r="D451" i="21" l="1"/>
  <c r="G479" i="21"/>
  <c r="E138" i="20"/>
  <c r="D138" i="20" s="1"/>
  <c r="C139" i="20" s="1"/>
  <c r="F139" i="20"/>
  <c r="G480" i="21" l="1"/>
  <c r="F451" i="21"/>
  <c r="E139" i="20"/>
  <c r="D139" i="20" s="1"/>
  <c r="C140" i="20" s="1"/>
  <c r="F140" i="20"/>
  <c r="E451" i="21" l="1"/>
  <c r="G481" i="21"/>
  <c r="E140" i="20"/>
  <c r="D140" i="20" s="1"/>
  <c r="C141" i="20" s="1"/>
  <c r="F141" i="20"/>
  <c r="G482" i="21" l="1"/>
  <c r="D452" i="21"/>
  <c r="E141" i="20"/>
  <c r="F142" i="20"/>
  <c r="D141" i="20"/>
  <c r="C142" i="20" s="1"/>
  <c r="G483" i="21" l="1"/>
  <c r="F452" i="21"/>
  <c r="E142" i="20"/>
  <c r="D142" i="20" s="1"/>
  <c r="C143" i="20" s="1"/>
  <c r="F143" i="20"/>
  <c r="E452" i="21" l="1"/>
  <c r="E143" i="20"/>
  <c r="D143" i="20" s="1"/>
  <c r="C144" i="20" s="1"/>
  <c r="E144" i="20" s="1"/>
  <c r="F144" i="20"/>
  <c r="D453" i="21" l="1"/>
  <c r="D144" i="20"/>
  <c r="F453" i="21" l="1"/>
  <c r="E453" i="21" s="1"/>
  <c r="D454" i="21" s="1"/>
  <c r="F454" i="21" l="1"/>
  <c r="E454" i="21" s="1"/>
  <c r="D455" i="21" s="1"/>
  <c r="F455" i="21" l="1"/>
  <c r="E455" i="21" s="1"/>
  <c r="D456" i="21" s="1"/>
  <c r="F456" i="21" l="1"/>
  <c r="E456" i="21" s="1"/>
  <c r="D457" i="21" s="1"/>
  <c r="F457" i="21" l="1"/>
  <c r="E457" i="21" s="1"/>
  <c r="D458" i="21" s="1"/>
  <c r="F458" i="21" l="1"/>
  <c r="E458" i="21" s="1"/>
  <c r="D459" i="21" s="1"/>
  <c r="F459" i="21" l="1"/>
  <c r="E459" i="21" l="1"/>
  <c r="G522" i="21"/>
  <c r="G529" i="21" l="1"/>
  <c r="G535" i="21" s="1"/>
  <c r="G524" i="21"/>
  <c r="G526" i="21" s="1"/>
  <c r="G534" i="21"/>
  <c r="D460" i="21"/>
  <c r="G531" i="21" l="1"/>
  <c r="G536" i="21" s="1"/>
  <c r="G544" i="21" s="1"/>
  <c r="F460" i="21"/>
  <c r="C547" i="21" l="1"/>
  <c r="E460" i="21"/>
  <c r="D461" i="21" l="1"/>
  <c r="G549" i="21"/>
  <c r="D547" i="21"/>
  <c r="F461" i="21" l="1"/>
  <c r="E461" i="21" l="1"/>
  <c r="D462" i="21" l="1"/>
  <c r="F462" i="21" l="1"/>
  <c r="E462" i="21" l="1"/>
  <c r="D463" i="21" l="1"/>
  <c r="F463" i="21" l="1"/>
  <c r="E463" i="21" l="1"/>
  <c r="D464" i="21" l="1"/>
  <c r="F464" i="21" l="1"/>
  <c r="E464" i="21" l="1"/>
  <c r="D465" i="21" l="1"/>
  <c r="F465" i="21" l="1"/>
  <c r="E465" i="21" s="1"/>
  <c r="D466" i="21" s="1"/>
  <c r="F466" i="21" l="1"/>
  <c r="E466" i="21" s="1"/>
  <c r="D467" i="21" s="1"/>
  <c r="F467" i="21" l="1"/>
  <c r="E467" i="21" s="1"/>
  <c r="D468" i="21" s="1"/>
  <c r="F468" i="21" l="1"/>
  <c r="E468" i="21" s="1"/>
  <c r="D469" i="21" s="1"/>
  <c r="F469" i="21" l="1"/>
  <c r="E469" i="21" s="1"/>
  <c r="D470" i="21" s="1"/>
  <c r="F470" i="21" l="1"/>
  <c r="E470" i="21" s="1"/>
  <c r="D471" i="21" s="1"/>
  <c r="F471" i="21" l="1"/>
  <c r="E471" i="21" l="1"/>
  <c r="H522" i="21"/>
  <c r="H529" i="21" l="1"/>
  <c r="H535" i="21" s="1"/>
  <c r="H524" i="21"/>
  <c r="H526" i="21" s="1"/>
  <c r="H531" i="21" s="1"/>
  <c r="H534" i="21"/>
  <c r="D472" i="21"/>
  <c r="H536" i="21" l="1"/>
  <c r="H544" i="21" s="1"/>
  <c r="F472" i="21"/>
  <c r="C548" i="21" l="1"/>
  <c r="D548" i="21" s="1"/>
  <c r="E472" i="21"/>
  <c r="D473" i="21" l="1"/>
  <c r="F473" i="21" l="1"/>
  <c r="E473" i="21" l="1"/>
  <c r="D474" i="21" l="1"/>
  <c r="F474" i="21" l="1"/>
  <c r="E474" i="21" l="1"/>
  <c r="D475" i="21" l="1"/>
  <c r="F475" i="21" l="1"/>
  <c r="E475" i="21" l="1"/>
  <c r="D476" i="21" l="1"/>
  <c r="F476" i="21" l="1"/>
  <c r="E476" i="21" l="1"/>
  <c r="D477" i="21" l="1"/>
  <c r="F477" i="21" l="1"/>
  <c r="E477" i="21" s="1"/>
  <c r="D478" i="21" s="1"/>
  <c r="F478" i="21" l="1"/>
  <c r="E478" i="21" s="1"/>
  <c r="D479" i="21" s="1"/>
  <c r="F479" i="21" l="1"/>
  <c r="E479" i="21" s="1"/>
  <c r="D480" i="21" s="1"/>
  <c r="F480" i="21" l="1"/>
  <c r="E480" i="21" s="1"/>
  <c r="D481" i="21" s="1"/>
  <c r="F481" i="21" l="1"/>
  <c r="E481" i="21" s="1"/>
  <c r="D482" i="21" s="1"/>
  <c r="F482" i="21" l="1"/>
  <c r="E482" i="21" s="1"/>
  <c r="D483" i="21" s="1"/>
  <c r="F483" i="21" s="1"/>
  <c r="E483" i="21" l="1"/>
  <c r="I534" i="21" s="1"/>
  <c r="I522" i="21"/>
  <c r="I529" i="21" l="1"/>
  <c r="I535" i="21" s="1"/>
  <c r="I524" i="21"/>
  <c r="I526" i="21" s="1"/>
  <c r="I531" i="21" s="1"/>
  <c r="I536" i="21" s="1"/>
  <c r="I544" i="21" l="1"/>
  <c r="D541" i="21"/>
  <c r="I541" i="21" s="1"/>
  <c r="D539" i="21"/>
  <c r="D540" i="21"/>
  <c r="C549" i="21" l="1"/>
  <c r="D549" i="21" s="1"/>
  <c r="J544" i="21"/>
  <c r="J546" i="21" s="1"/>
</calcChain>
</file>

<file path=xl/sharedStrings.xml><?xml version="1.0" encoding="utf-8"?>
<sst xmlns="http://schemas.openxmlformats.org/spreadsheetml/2006/main" count="3411" uniqueCount="863">
  <si>
    <t xml:space="preserve">UNIVERSO ENCUESTADO: </t>
  </si>
  <si>
    <t>Universo encuestado (total):</t>
  </si>
  <si>
    <t>Sexo</t>
  </si>
  <si>
    <t>Generación</t>
  </si>
  <si>
    <t>femenino</t>
  </si>
  <si>
    <t>48,40%</t>
  </si>
  <si>
    <t>Baby boomer</t>
  </si>
  <si>
    <t>2,96%</t>
  </si>
  <si>
    <t>masculino</t>
  </si>
  <si>
    <t>47,70%</t>
  </si>
  <si>
    <t>Gen X</t>
  </si>
  <si>
    <t>14,80%</t>
  </si>
  <si>
    <t>no especificado</t>
  </si>
  <si>
    <t>3,90%</t>
  </si>
  <si>
    <t>Gen Y</t>
  </si>
  <si>
    <t>47,37%</t>
  </si>
  <si>
    <t>Gen Z</t>
  </si>
  <si>
    <t>34,87%</t>
  </si>
  <si>
    <t>Nacionalidad</t>
  </si>
  <si>
    <t>NSE</t>
  </si>
  <si>
    <t>peruana</t>
  </si>
  <si>
    <t>92,76%</t>
  </si>
  <si>
    <t>A-B</t>
  </si>
  <si>
    <t>40,46%</t>
  </si>
  <si>
    <t>venezolana</t>
  </si>
  <si>
    <t>5,26%</t>
  </si>
  <si>
    <t>C-D</t>
  </si>
  <si>
    <t>58,88%</t>
  </si>
  <si>
    <t>mexicana</t>
  </si>
  <si>
    <t>0,33%</t>
  </si>
  <si>
    <t>Otro</t>
  </si>
  <si>
    <t>0,66%</t>
  </si>
  <si>
    <t>argentina</t>
  </si>
  <si>
    <t>chilena</t>
  </si>
  <si>
    <t>colombiana</t>
  </si>
  <si>
    <t>francesa</t>
  </si>
  <si>
    <t>Público femenino:</t>
  </si>
  <si>
    <t>Total de encuestados:</t>
  </si>
  <si>
    <t>Tipo de seguro</t>
  </si>
  <si>
    <t>Grado de instrucción</t>
  </si>
  <si>
    <t>Privado</t>
  </si>
  <si>
    <t>Secundaria</t>
  </si>
  <si>
    <t>Publico</t>
  </si>
  <si>
    <t>T. sup</t>
  </si>
  <si>
    <t>ninguno</t>
  </si>
  <si>
    <t>Universitario</t>
  </si>
  <si>
    <t>Maestria</t>
  </si>
  <si>
    <t>¿Se realizó alguna vez un análisis clínico?</t>
  </si>
  <si>
    <t>¿Tiene familiares que padecen una ENT?</t>
  </si>
  <si>
    <t>48% 10 millones</t>
  </si>
  <si>
    <t>Lima</t>
  </si>
  <si>
    <t>SI</t>
  </si>
  <si>
    <t>4,8</t>
  </si>
  <si>
    <t>CLINICAS</t>
  </si>
  <si>
    <t>NO</t>
  </si>
  <si>
    <t>ASEGURADORAS</t>
  </si>
  <si>
    <t>4,8/3</t>
  </si>
  <si>
    <t>LABORATORIOS</t>
  </si>
  <si>
    <t>¿Es importante conocer la posibilidad de padecer una ENT?</t>
  </si>
  <si>
    <t>¿Qué harías para saber si tienes la posibilidad de padecer una ENT?</t>
  </si>
  <si>
    <t>LAB EN SAN MIGUEL</t>
  </si>
  <si>
    <t>Muy importante</t>
  </si>
  <si>
    <t>Preguntar a un conocido</t>
  </si>
  <si>
    <t>Importante</t>
  </si>
  <si>
    <t>Buscar en Google</t>
  </si>
  <si>
    <t>Poco importante</t>
  </si>
  <si>
    <t>Consultar a un médico</t>
  </si>
  <si>
    <t>Sin importancia</t>
  </si>
  <si>
    <t>Consultar aseguradora</t>
  </si>
  <si>
    <t>Preguntar a mis padres</t>
  </si>
  <si>
    <t>Realizarme un análisis</t>
  </si>
  <si>
    <t>¿Para qué sirve conocer la posibilidad de padecer una ENT?</t>
  </si>
  <si>
    <t>¿Le parece necesario saber si sus hijos podrian padecer una ENT?</t>
  </si>
  <si>
    <t>¿Por qué es necesario?</t>
  </si>
  <si>
    <t>Bienestar</t>
  </si>
  <si>
    <t>Disminuir riesgo</t>
  </si>
  <si>
    <t>Paternidad</t>
  </si>
  <si>
    <t>Calidad de vida</t>
  </si>
  <si>
    <t>Prevención</t>
  </si>
  <si>
    <t>No deseo tener hijos</t>
  </si>
  <si>
    <t>Prevención salud</t>
  </si>
  <si>
    <t>Llevar control oportuno</t>
  </si>
  <si>
    <t>Deseo tener hijos</t>
  </si>
  <si>
    <t>Otros(Miedo, amor a los hijos, etc)</t>
  </si>
  <si>
    <t>Otros</t>
  </si>
  <si>
    <t>Tengo hijos</t>
  </si>
  <si>
    <t>Público masculino:</t>
  </si>
  <si>
    <t>Público que no precisa género:</t>
  </si>
  <si>
    <t>0,00%</t>
  </si>
  <si>
    <t>16,00%</t>
  </si>
  <si>
    <t>100,00%</t>
  </si>
  <si>
    <t>8,00%</t>
  </si>
  <si>
    <t>84,00%</t>
  </si>
  <si>
    <t>25,00%</t>
  </si>
  <si>
    <t>67,00%</t>
  </si>
  <si>
    <t xml:space="preserve">MATRIZ EFE </t>
  </si>
  <si>
    <t>DATOS, INFORMACIÓN O INDICADORES</t>
  </si>
  <si>
    <t>PESO</t>
  </si>
  <si>
    <t>CALIFICACIÓN Oportunidades de 3 a 4
 Amenazas de 2 a 1</t>
  </si>
  <si>
    <t>PESO PONDERADO</t>
  </si>
  <si>
    <t>OPORTUNIDADES</t>
  </si>
  <si>
    <t xml:space="preserve"> Miedo a padecer enfermedades.</t>
  </si>
  <si>
    <t>Ausencia de información en la población acerca de importación de medicamentos.</t>
  </si>
  <si>
    <t xml:space="preserve"> Ausencia de información en la población acerca de importación de medicamentos.</t>
  </si>
  <si>
    <t>Sobrecosto de medicamentos contra el cáncer y diabetes</t>
  </si>
  <si>
    <t>Alianza con el sistema de salud público</t>
  </si>
  <si>
    <t>AMENAZAS</t>
  </si>
  <si>
    <t>Potencial deterioro de nuestras relaciones internacionales.</t>
  </si>
  <si>
    <t>Inestabilidad del T.C.</t>
  </si>
  <si>
    <t>Inestabilidad política</t>
  </si>
  <si>
    <t>Políticas de regulación de precios</t>
  </si>
  <si>
    <t>Falta de cultura de prevención.</t>
  </si>
  <si>
    <t xml:space="preserve">link: </t>
  </si>
  <si>
    <t>https://web.ins.gob.pe/es/control-de-calidad-de-medicamentos/acerca-del-cncc/autorizacion-de-laboratorios/relacion-de-laboratorios-autorizados</t>
  </si>
  <si>
    <t>MATRIZ EFI</t>
  </si>
  <si>
    <t>CALIFICACIÓN Fortalezas de 3 a 4
 Debilidades de 2 a 1</t>
  </si>
  <si>
    <t>FORTALEZAS</t>
  </si>
  <si>
    <t>DEBILIDADES</t>
  </si>
  <si>
    <t xml:space="preserve">SERVICIO A + B </t>
  </si>
  <si>
    <t>POBLACIÓN EN PERÚ</t>
  </si>
  <si>
    <t>PÚBLICO OBJETIVO</t>
  </si>
  <si>
    <t>NSE AB</t>
  </si>
  <si>
    <t>SEGMENTACIÓN</t>
  </si>
  <si>
    <t>Lima Metropolitana</t>
  </si>
  <si>
    <t>Lima Moderna</t>
  </si>
  <si>
    <t>25 A 39 AÑOS</t>
  </si>
  <si>
    <t>40 A 55 AÑOS</t>
  </si>
  <si>
    <t>MERCADO POTENCIAL EN CANTIDAD DE PERSONAS</t>
  </si>
  <si>
    <t>MERCADO OBJETIVO</t>
  </si>
  <si>
    <t>FUENTE :</t>
  </si>
  <si>
    <t>https://www.cpi.pe/images/upload/paginaweb/archivo/23/Market_Report_Mayo.pdf</t>
  </si>
  <si>
    <t xml:space="preserve">EXAMENES </t>
  </si>
  <si>
    <t>Oncológico</t>
  </si>
  <si>
    <t>Endocrino</t>
  </si>
  <si>
    <t>MONEDA</t>
  </si>
  <si>
    <t>Soles</t>
  </si>
  <si>
    <t>Synlab</t>
  </si>
  <si>
    <t>Unilabs</t>
  </si>
  <si>
    <t>Multilab</t>
  </si>
  <si>
    <t>Predictiv</t>
  </si>
  <si>
    <t>Precio con Alianza</t>
  </si>
  <si>
    <t>*Precios obtenidos en $, realizados el cambio a 3.84</t>
  </si>
  <si>
    <t xml:space="preserve">FRECUENCIA DE CONSUMO MENSUAL </t>
  </si>
  <si>
    <t>MENSUAL</t>
  </si>
  <si>
    <t>NÚMERO DE PERSONAS QUE CONSUMIRÁN TU PRODUCTO</t>
  </si>
  <si>
    <t xml:space="preserve">FRECUENCIA DE CONSUMO MENSUAL SEGÚN LAS ENCUESTAS </t>
  </si>
  <si>
    <t>TOTAL A VENDER MENSUALMENTE</t>
  </si>
  <si>
    <t>NÚMERO DE MESES AL AÑO</t>
  </si>
  <si>
    <t>TOTAL UNIDADES A VENDER EN EL PRIMER AÑO</t>
  </si>
  <si>
    <t xml:space="preserve">SERVICIO C </t>
  </si>
  <si>
    <t>POBLACION DIAGNOSTICADA - CÁNCER(ult 3 años)</t>
  </si>
  <si>
    <t>POBLACION DIAGNOSTICADA - DIABETES(ult 3 años)</t>
  </si>
  <si>
    <t>POBLACIÓN EN TRATAMIENTO - CÁNCER</t>
  </si>
  <si>
    <t>POBLACIÓN EN TRATAMIENTO - DIABETES</t>
  </si>
  <si>
    <t>POBLACION QUE PERTENECE A NS A-B - CÁNCER</t>
  </si>
  <si>
    <t>POBLACION QUE PERTENECE A NS A-B - DIABETES</t>
  </si>
  <si>
    <t>Población del mercado objetivo</t>
  </si>
  <si>
    <t>ESTE ES EL PORCENTAJE DE PARTICIPACION DE MERCADO EN EMPRESAS CON SERVICIO ESPECIALIZADO</t>
  </si>
  <si>
    <t>Poblacion en Lima</t>
  </si>
  <si>
    <t>11,917.1</t>
  </si>
  <si>
    <t>Poblacion diagnosticada</t>
  </si>
  <si>
    <t>Poblacion siguiendo tratamiento</t>
  </si>
  <si>
    <t xml:space="preserve">Población que pertenece al NSE A-B </t>
  </si>
  <si>
    <t>Clinicas</t>
  </si>
  <si>
    <t>Aseguradoras</t>
  </si>
  <si>
    <t>Laboratorios</t>
  </si>
  <si>
    <t>Oncosalud</t>
  </si>
  <si>
    <t>Rimac</t>
  </si>
  <si>
    <t>Pacífico</t>
  </si>
  <si>
    <t>Cardiff</t>
  </si>
  <si>
    <t>Clínica San Pablo</t>
  </si>
  <si>
    <t xml:space="preserve">LAES </t>
  </si>
  <si>
    <t>DE PARTICIPACION</t>
  </si>
  <si>
    <t>IMPORTACIÓN  EXCEPCIONAL</t>
  </si>
  <si>
    <t>SÓLO ASESORAMIENTO EN TRAMITES PERSONALES</t>
  </si>
  <si>
    <t xml:space="preserve">ESTE SERVICIO NO SE OFRECE AÚN EN EL SECTOR SALUD POR LA FALTA DE CONOCIMIENTO EN EL TEMA LEGAL, POR ELLO CONSIDERÉ UN SERVICIO SUSTITUTO QUE SERÍA EL ASESORAMIENTO EN TRÁMITES DE MERCANCÍA RESTRINGIDA QUE BRINDAN LAS AGENCIAS DE ADUANA O DE TRANSPORTE INTERNACIONAL. </t>
  </si>
  <si>
    <t>MYPERU GLOBAL</t>
  </si>
  <si>
    <t>AGENCIA DE ADUANAS TLC</t>
  </si>
  <si>
    <t>SCHARFF</t>
  </si>
  <si>
    <t>TRATAMIENTO</t>
  </si>
  <si>
    <t xml:space="preserve">FREC </t>
  </si>
  <si>
    <t>ANUAL</t>
  </si>
  <si>
    <t>DIABETES</t>
  </si>
  <si>
    <t>TOTAL</t>
  </si>
  <si>
    <t>Y CON ESA INFORMACIÓN SE CONSTRUYÓ EL SIGUIENTE PLAN DE VENTAS CUANTITATIVO, VALE DECIR: PRECIO MULTIPLICADO POR CANTIDAD DE UNIDADES A CONSUMIR DE CADA SERVICIO</t>
  </si>
  <si>
    <t>MES</t>
  </si>
  <si>
    <t xml:space="preserve">ENERO </t>
  </si>
  <si>
    <t>FEBRERO</t>
  </si>
  <si>
    <t>MARZO</t>
  </si>
  <si>
    <t>ABRIL</t>
  </si>
  <si>
    <t>MAYO</t>
  </si>
  <si>
    <t>JUNIO</t>
  </si>
  <si>
    <t>JULIO</t>
  </si>
  <si>
    <t>AGOSTO</t>
  </si>
  <si>
    <t>SETIEMBRE</t>
  </si>
  <si>
    <t>OCTUBRE</t>
  </si>
  <si>
    <t>NOVIEMBRE</t>
  </si>
  <si>
    <t>DICIEMBRE</t>
  </si>
  <si>
    <t>TOTAL ANUAL</t>
  </si>
  <si>
    <t>PRECIO DE VENTA</t>
  </si>
  <si>
    <t>IMPORTACIÓN EXCEPCIONAL ( C )</t>
  </si>
  <si>
    <t>SERVICIO A + B + C</t>
  </si>
  <si>
    <t>8.  DEL INDICE</t>
  </si>
  <si>
    <t>TIPO DE CAMBIO</t>
  </si>
  <si>
    <t>DÓLAR</t>
  </si>
  <si>
    <t>EURO</t>
  </si>
  <si>
    <t>Presupuesto de Capital o  Inversion Inicial</t>
  </si>
  <si>
    <t>NOTA : LAS TASAS DE DEPRECIACIÓN Y AMORTIZACIÓN DEBEN SER REVISADAS POR CADA GRUPO PARA SU RESPECTIVO PROYECTO A FIN DE VERIFICAR LA TASA QUE APLICA A CADA EQUIPO O MAQUINARIA</t>
  </si>
  <si>
    <t xml:space="preserve">8.1 ACTIVO FIJO TANGIBLE </t>
  </si>
  <si>
    <t>Dólares</t>
  </si>
  <si>
    <t>Euros</t>
  </si>
  <si>
    <t>Toda la inversión convertida a Soles</t>
  </si>
  <si>
    <t>TASA DE DEPRECIACION ANUAL</t>
  </si>
  <si>
    <t>DEP ANUAL</t>
  </si>
  <si>
    <t>DEP MENSUAL</t>
  </si>
  <si>
    <t>Impresora</t>
  </si>
  <si>
    <t>Aire acondicionado</t>
  </si>
  <si>
    <t>TV recepción</t>
  </si>
  <si>
    <t xml:space="preserve">Escritorios </t>
  </si>
  <si>
    <t>Mostrador de recepción</t>
  </si>
  <si>
    <t>Racks de almacén</t>
  </si>
  <si>
    <t>Extintores</t>
  </si>
  <si>
    <t>Otros equipos de cómputo</t>
  </si>
  <si>
    <t>PC</t>
  </si>
  <si>
    <t>Adecuación del local</t>
  </si>
  <si>
    <t>Otros Gastos Pre Operativos</t>
  </si>
  <si>
    <t>TOTAL A.F.T.</t>
  </si>
  <si>
    <t>TOTAL DEPRECIACIÓN</t>
  </si>
  <si>
    <t>8.2 ACTIVO FIJO INTANGIBLE</t>
  </si>
  <si>
    <t>TASA DE AMORTIZACIÓN</t>
  </si>
  <si>
    <t>AMORTIZACIÓN ANUAL</t>
  </si>
  <si>
    <t>AMORTIZACIÓN MENSUAL</t>
  </si>
  <si>
    <t>Patente de marca</t>
  </si>
  <si>
    <t>Constitución de la empresa</t>
  </si>
  <si>
    <t>Diseño gráfico</t>
  </si>
  <si>
    <t>Diseño página web</t>
  </si>
  <si>
    <t>Campaña de lanzamiento</t>
  </si>
  <si>
    <t>TOTAL A.F.I.</t>
  </si>
  <si>
    <t>TOTAL AMORTIZACIÓN</t>
  </si>
  <si>
    <t>8.3 CAPITAL DE TRABAJO INICIAL</t>
  </si>
  <si>
    <t>TOTAL C.T.i.</t>
  </si>
  <si>
    <t>8.3 DEL ÍNDICE</t>
  </si>
  <si>
    <t>TOTAL AFT+AFI+CTI</t>
  </si>
  <si>
    <t>PRESUPUESTO DE CAPITAL O INVERSIÓN INICIAL</t>
  </si>
  <si>
    <t xml:space="preserve">NOTA: EN ESTE PROYECTO EL CAPITAL DE TRABAJO INICIAL SE CALCULÓ COMO UN PORCENTAJE DEL ACTIVO FIJO TANGIBLE MÁS EL ACTIVO FIJO INTANGIBLE. </t>
  </si>
  <si>
    <t>ESTE ES UN CÁLCULO PRELIMINAR PORQUE DESPUÉS LO AJUSTAREMOS A  LOS TRES PRIMEROS MESES DE GASTOS OPERATIVOS MÁS LOS GASTOS</t>
  </si>
  <si>
    <t>8.4 DEL ÍNDICE</t>
  </si>
  <si>
    <t>RESUMEN DEL PRESUPUESTO DE CAPITAL</t>
  </si>
  <si>
    <t>SOLES</t>
  </si>
  <si>
    <t>ACTIVO FIJO TANGIBLE</t>
  </si>
  <si>
    <t>ACTIVO FIJO INTANGIBLE</t>
  </si>
  <si>
    <t>CAPITAL DE TRABAJO INICIAL</t>
  </si>
  <si>
    <t>8.5 DEL ÍNDICE</t>
  </si>
  <si>
    <t>EXPLICACIÓN DE LAS DIFERENTES FUENTES DE FINANCIAMIENTO: NARRATIVO, EXPLICATIVO</t>
  </si>
  <si>
    <t>8.6 DEL ÍNDICE</t>
  </si>
  <si>
    <t xml:space="preserve">ESTRUCTURA DEL FINANCIAMIENTO </t>
  </si>
  <si>
    <t>¿CUÁL ES LA TASA COK PROMEDIO DEL ACCIONISTA?</t>
  </si>
  <si>
    <t>¿CUÁL ES LA PRIMA DE RIESGO PARA ESTE PROYECTO DE INVERSIÓN?</t>
  </si>
  <si>
    <t>¿CUÁL ES LA TREMA DEL PROYECTO?</t>
  </si>
  <si>
    <t xml:space="preserve">APORTE DE SOCIOS </t>
  </si>
  <si>
    <t>CAPITAL SOCIAL - EQUITY</t>
  </si>
  <si>
    <t>DEUDA (COFIDE)</t>
  </si>
  <si>
    <t>DEUDA</t>
  </si>
  <si>
    <t>TEA</t>
  </si>
  <si>
    <t>AÑOS</t>
  </si>
  <si>
    <t>CUOTAS AL AÑO</t>
  </si>
  <si>
    <t>TOTAL CUOTAS</t>
  </si>
  <si>
    <t>8.7 DEL ÍNDICE</t>
  </si>
  <si>
    <t>MONTO DEL PRÉSTAMO (VP)</t>
  </si>
  <si>
    <t>TEM</t>
  </si>
  <si>
    <t>FRECUENCIA DE PAGO</t>
  </si>
  <si>
    <t>DÍAS</t>
  </si>
  <si>
    <t>NÚMERO DE CUOTAS</t>
  </si>
  <si>
    <t>n de la fórmula</t>
  </si>
  <si>
    <t>ANUALIDAD</t>
  </si>
  <si>
    <t>A =</t>
  </si>
  <si>
    <t>VP</t>
  </si>
  <si>
    <t>ESTA ES LA FÓRMULA PARA HALLAR LA ANUALIDAD</t>
  </si>
  <si>
    <t>((1+i)^(n))-1</t>
  </si>
  <si>
    <t>i*((1+i)^(n))</t>
  </si>
  <si>
    <t>A=</t>
  </si>
  <si>
    <t>SALDO DEL PRÉSTAMO</t>
  </si>
  <si>
    <t>PAGO DE CAPITAL/AMORTIZACIÓN</t>
  </si>
  <si>
    <t>PAGO DE INTERESES</t>
  </si>
  <si>
    <t>soles</t>
  </si>
  <si>
    <t>dólares</t>
  </si>
  <si>
    <t>EQUIV.SOLES</t>
  </si>
  <si>
    <t>anual</t>
  </si>
  <si>
    <t>Seguridad Privada</t>
  </si>
  <si>
    <t>Mantenimiento de equipos</t>
  </si>
  <si>
    <t xml:space="preserve">Alquiler de oficina </t>
  </si>
  <si>
    <t>Combustible</t>
  </si>
  <si>
    <t>Asesoría legal</t>
  </si>
  <si>
    <t>Gastos operativos varios</t>
  </si>
  <si>
    <t>DEPRECIACIÓN</t>
  </si>
  <si>
    <t>AMORTIZACIÓN</t>
  </si>
  <si>
    <t>Recepcionista</t>
  </si>
  <si>
    <t>Motorizado</t>
  </si>
  <si>
    <t>CTS</t>
  </si>
  <si>
    <t>Producto</t>
  </si>
  <si>
    <t>Precio</t>
  </si>
  <si>
    <t>Cantidad</t>
  </si>
  <si>
    <t>Total</t>
  </si>
  <si>
    <t>URL</t>
  </si>
  <si>
    <t>MICA BUTACA (recepcion)</t>
  </si>
  <si>
    <t>https://www.falabella.com.pe/falabella-pe/product/prod9620023/Butaca-Astron/881424082?kid=shopp14fa&amp;gclid=CjwKCAiA9tyQBhAIEiwA6tdCrIA7S884BMaa8LvDj4ZFfrtlNhxcWYPlw0PbrzBYd9jFof68lNBkVBoCQYsQAvD_BwE</t>
  </si>
  <si>
    <t>Escritorio Axis wengue</t>
  </si>
  <si>
    <t>https://simple.ripley.com.pe/tuhome-escritorio-axis-wengue-negro-pmp00000993734?color80_fijo=negro&amp;s=o&amp;gclid=CjwKCAiA9tyQBhAIEiwA6tdCrKTD2oj5dW1DDCmZQeg3_1IYXd3KT0oJV8Jo09nmmZ-B0dp9IaDc6BoCGqkQAvD_BwE</t>
  </si>
  <si>
    <t>TV Smart TV UHD 4K</t>
  </si>
  <si>
    <t>https://www.tottus.com.pe/samsung-tv-led-uhd-65-42429883/p/?gclid=CjwKCAiA9tyQBhAIEiwA6tdCrG3Gg9cau8A-wB1tSAqgYgIJFIet_tmbZj9-8SX2-3CYmXeaYvobDBoCIKQQAvD_BwE</t>
  </si>
  <si>
    <t>Estante Bagan Nature</t>
  </si>
  <si>
    <t>https://www.promart.pe/estante-180cm-bagan-sin-puertas-nature/p?gclid=CjwKCAiA9tyQBhAIEiwA6tdCrMtTks1x0nISDg2KnPLzO1B7lnlQZ7LUR-akP3ww9zz0mq1nAtgpURoCGeYQAvD_BwE</t>
  </si>
  <si>
    <t>Impresora HP Ink Tank 115</t>
  </si>
  <si>
    <t>https://www.hp.com/pe-es/shop/impresora-hp-ink-tank-115-2lb19a.html?gclid=CjwKCAiA9tyQBhAIEiwA6tdCrDLGJaf2WufnPiqvlRTpmBWpgaKhO_e5cvFlSRp0JB5afR-ZMf0qXBoCpy0QAvD_BwE&amp;gclsrc=aw.ds</t>
  </si>
  <si>
    <t>Banco Godoy (recepcion)</t>
  </si>
  <si>
    <t>https://www.sodimac.com.pe/sodimac-pe/product/3950379/banco-godoy-bar-w-h75/3950379/?kid=bnnext136628&amp;shop=googleShopping&amp;gclid=CjwKCAiA9tyQBhAIEiwA6tdCrJLPHzGwud-471VKLrfRlrwBH0unf1gpkwCUkDrDiZzlxlXukVUkkxoCdAsQAvD_BwE</t>
  </si>
  <si>
    <t>Notebook Lenovo Ryzen 5</t>
  </si>
  <si>
    <t>https://www.lenovo.com/pe/es/laptops/ideapad/serie-500/IdeaPad-5-14ARE05/p/81YM004GLM?cid=pe:sem|se|google|ssc+amd|grupo+de+anuncios||es_PE81YM004GLM|13541799293|122425719094|pla-877147407294|shopping|mixed|all&amp;gclid=CjwKCAiA9tyQBhAIEiwA6tdCrFmNaSKqx7N90Thq9gKvi0vnIaqNjeQMLMhQakScOosmZB_B5B7FDxoCwCoQAvD_BwE</t>
  </si>
  <si>
    <t>All in One HP i5</t>
  </si>
  <si>
    <t>https://www.plazavea.com.pe/all-in-one-hp-200-g4-core-i3-10110u-21-5---ram-16gb-ssd-250gb-hdd-1tb-freedos-100112001/p</t>
  </si>
  <si>
    <t>Silla oficina malla gris</t>
  </si>
  <si>
    <t>https://www.sodimac.com.pe/sodimac-pe/product/872993X/silla-de-oficina-con-malla-rio-gris/872993X/?kid=bnnext136629&amp;shop=googleShopping&amp;gclid=CjwKCAiA9tyQBhAIEiwA6tdCrPIvABGyjgvAn9Yt9VBPnfT-_rTJmgdsy9guTT2-HKH1euZU4tjKwRoCWaUQAvD_BwE</t>
  </si>
  <si>
    <t>Silla comedor Romina negro</t>
  </si>
  <si>
    <t>https://www.sodimac.com.pe/sodimac-pe/product/3868842/silla-de-comedor-romina-gris/3868842/?kid=bnnext136625&amp;shop=googleShopping&amp;gclid=CjwKCAiA9tyQBhAIEiwA6tdCrIoDESgtK-ZEAN2AniqGXs1IMhZbQMo7QfRiL453GTCcdfIpYS3dBRoCteUQAvD_BwE</t>
  </si>
  <si>
    <t>Aire acondicionado 12000 BTU</t>
  </si>
  <si>
    <t>https://durangoperu.online/aire-acondicionado/aire-acondicionado-lennox-12/?gclid=CjwKCAiA9tyQBhAIEiwA6tdCrKWYkNR9UK4xg6DMzkFbsW4D10ahTpnS5indhdqU2bLmEhl8bvcajxoCwqUQAvD_BwE</t>
  </si>
  <si>
    <t>Archivadores</t>
  </si>
  <si>
    <t>https://www.tailoy.com.pe/archiv-plastif-of-lanch-negro-ove-5000243.html</t>
  </si>
  <si>
    <t>Resma papel bond A4</t>
  </si>
  <si>
    <t>https://articulo.mercadolibre.com.pe/MPE-445544305-papel-bond-a4-75g-_JM?searchVariation=84703316461#searchVariation=84703316461&amp;position=1&amp;search_layout=stack&amp;type=item&amp;tracking_id=40406ada-a6ca-4891-bf33-c0a49d9e83ef</t>
  </si>
  <si>
    <t>Cartuchos impresora tinte negro</t>
  </si>
  <si>
    <t>https://www.coolbox.pe/botella-de-tinta-gt51-negra-gt51-k/p?idsku=2294&amp;gclid=CjwKCAiA9tyQBhAIEiwA6tdCrJ7Fmz4SuVtEgedfd8SCBu5CJRQoB_Nn16i84AiGwa_2RnxbEgCfqxoCfLYQAvD_BwE</t>
  </si>
  <si>
    <t>Cartuchos impresora tinte amarillo</t>
  </si>
  <si>
    <t>https://www.coolbox.pe/botella-de-tinta-gt52-amarillo-gt52-y/p</t>
  </si>
  <si>
    <t>Cartuchos impresora tinte magenta</t>
  </si>
  <si>
    <t>https://www.coolbox.pe/botella-de-tinta-original-70ml-8000pag-magenta-gt52-m/p</t>
  </si>
  <si>
    <t>Cartuchos impresora tinte cyan</t>
  </si>
  <si>
    <t>https://www.coolbox.pe/botella-de-tinta-original-70ml-8000-pag-gt52-c/p</t>
  </si>
  <si>
    <t>Aromatizantes en aerosol</t>
  </si>
  <si>
    <t>https://www.sodimac.com.pe/sodimac-pe/product/2004267/aromatizante-en-aerosol-automatico-mas-repuesto-paraiso-azul-270-ml/2004267/?queryId=43805272-4ad1-4828-b02b-aa77fea9bf25</t>
  </si>
  <si>
    <t>Dispensador de papel</t>
  </si>
  <si>
    <t>https://www.sodimac.com.pe/sodimac-pe/product/3679438/dispensador-papel-toalla-evolution-autocorte/3679438/?kid=bnnext136626&amp;shop=googleShopping&amp;gclid=CjwKCAiA9tyQBhAIEiwA6tdCrLgdC3ttvv2TqWh_lLnT9bs8KghI9LNrUnD9Aq-XWL8pivEl_1Kz5RoC7QcQAvD_BwE</t>
  </si>
  <si>
    <t>Desinfectante</t>
  </si>
  <si>
    <t>https://gpc-peru.myshopify.com/products/limpiador-desinfectante-x-1l-dmq?variant=38540925272233&amp;currency=PEN&amp;utm_medium=product_sync&amp;utm_source=google&amp;utm_content=sag_organic&amp;utm_campaign=sag_organic&amp;gclid=CjwKCAiA9tyQBhAIEiwA6tdCrFmhYgT6kEDhUUixGDhrYDcZ4lyf7g4UE2IPPXlNZC85IX60whstqRoCLtQQAvD_BwE</t>
  </si>
  <si>
    <t>Dispensador automatico jabon</t>
  </si>
  <si>
    <t>https://www.sodimac.com.pe/sodimac-pe/product/394977X/dispensador-sensor-automatico-de-alcohol-en-gel-y-jabon-liquido/394977X/?cid=upselldy#a</t>
  </si>
  <si>
    <t>Papel toala jumbo</t>
  </si>
  <si>
    <t>https://www.plazavea.com.pe/papel-toalla-jumbo-liso-135-mts-pack-x-6-unidades-100188820/p?gclid=CjwKCAiA9tyQBhAIEiwA6tdCrNCvNneHuz_m74oWQgSlkbmIUBlUM7BH02e3cK2_ibCoviA2DBjmAxoC4C0QAvD_BwE</t>
  </si>
  <si>
    <t xml:space="preserve">Racks almacen </t>
  </si>
  <si>
    <t>PDF RACKS OMEGA</t>
  </si>
  <si>
    <t>Focos 4 watts</t>
  </si>
  <si>
    <t>https://www.sodimac.com.pe/sodimac-pe/product/3514749/pack-6-ampolletas-led-luz-calida-75w-780lm/3514749/?kid=bnnext136629&amp;shop=googleShopping&amp;gclid=CjwKCAiA9tyQBhAIEiwA6tdCrLCq75DbTQKe0Ozz54XN6bKBUIOxPzewwHIxKiLrH4Riz9SmHWcyFRoC2KcQAvD_BwE</t>
  </si>
  <si>
    <t>Camara de seguridad KIT x 4</t>
  </si>
  <si>
    <t>https://durangoperu.online/camaras-de-seguridad/kit-de-4-camaras-de-seguridad1080pdvrdisco-duro/?gclid=CjwKCAiA9tyQBhAIEiwA6tdCrBcVxuf0Ujubb_XvWVMIxyyemFXPBFjSVNom_UECOr1EA7VSS3AC_hoCpYgQAvD_BwE</t>
  </si>
  <si>
    <t>Mostrador recepcion</t>
  </si>
  <si>
    <t>https://www.alibaba.com/pla/Foshan-Cheap-Price-Counter-Reception-Desk_62136603134.html?mark=google_shopping&amp;biz=pla&amp;language=es&amp;pcy=PE&amp;searchText=reception+desks&amp;product_id=62136603134&amp;src=sem_ggl&amp;from=sem_ggl&amp;cmpgn=15241297625&amp;adgrp=135367580371&amp;fditm=&amp;tgt=pla-399375155886&amp;locintrst=&amp;locphyscl=9060924&amp;mtchtyp=&amp;ntwrk=u&amp;device=c&amp;dvcmdl=&amp;creative=561124579832&amp;plcmnt=&amp;plcmntcat=&amp;p1=&amp;p2=&amp;aceid=&amp;position=&amp;localKeyword=&amp;pla_prdid=62136603134&amp;pla_country=PE&amp;pla_lang=es&amp;gclid=CjwKCAiA9tyQBhAIEiwA6tdCrEEw_SUFQN8JU1quXn-eId_YlErNw9W7isOJY2zMtvjTyUOOA-aJHBoCVwYQAvD_BwE</t>
  </si>
  <si>
    <t>https://www.sodimac.com.pe/sodimac-pe/product/251801/extintores-pqs-abc-6-kg/251801/?queryId=de3081a1-35ac-4455-852f-b96038195571</t>
  </si>
  <si>
    <t>Desfibrilador</t>
  </si>
  <si>
    <t>https://articulo.mercadolibre.com.pe/MPE-441947042-desfibrilador-automatico-externo-zoll-aed-3-_JM#reco_item_pos=0&amp;reco_backend=machinalis-seller-items&amp;reco_backend_type=low_level&amp;reco_client=vip-seller_items-above&amp;reco_id=d25c8773-ed41-437e-9e3c-3fc963efd09d</t>
  </si>
  <si>
    <t>FREC</t>
  </si>
  <si>
    <t>TOTAL INGRESOS EN SOLES DE LOS TRES PRODUCTOS</t>
  </si>
  <si>
    <r>
      <rPr>
        <b/>
        <sz val="16"/>
        <color rgb="FF000000"/>
        <rFont val="Times New Roman"/>
        <family val="1"/>
      </rPr>
      <t xml:space="preserve">1.       </t>
    </r>
    <r>
      <rPr>
        <b/>
        <sz val="16"/>
        <color rgb="FF000000"/>
        <rFont val="Tahoma"/>
        <family val="2"/>
      </rPr>
      <t>INVERSIONES: APORTE DE ACCIONISTAS Y FINANCIAMIENTO: PRESUPUESTO DE CAPITAL (INVERSIÓN INICIAL) Y DONDE LO OBTENGO.</t>
    </r>
  </si>
  <si>
    <t>Laptops</t>
  </si>
  <si>
    <t>Cartuchos de impresora</t>
  </si>
  <si>
    <t>Butacas de recepción</t>
  </si>
  <si>
    <t>Banco de recepción</t>
  </si>
  <si>
    <t>Sillas de oficina</t>
  </si>
  <si>
    <t>Sillas invitados</t>
  </si>
  <si>
    <t>Estante</t>
  </si>
  <si>
    <t>Equipos Celulares</t>
  </si>
  <si>
    <t>Cámaras de seguridad</t>
  </si>
  <si>
    <t>DEUDA FINANCIADA POR COFIDE A 5 AÑOS CON UNA TEA DEL 30.10 %</t>
  </si>
  <si>
    <t>Y AHORA COMENCEMOS A PREPARAR LOS 4 PRINCIPALES PRESUPUESTOS, PRIMERO EL QUE CORRESPONDE AL PRIMER AÑO DE FUNCIONAMIENTO (2023)</t>
  </si>
  <si>
    <t xml:space="preserve">Y LUEGO LOS PROYECTAREMOS 4 AÑOS MÁS USANDO LAS VARIABLES DE LA MATRIZ QUE LUEGO ANALIZAREMOS </t>
  </si>
  <si>
    <t>PRESUPUESTO DE INGRESO POR VENTAS (PRECIO POR CANTIDAD) PARA EL PRIMER AÑO DE FUNCIONAMIENTO. VER PUNTO 3.7. DEL PROYECTO</t>
  </si>
  <si>
    <t>PRESUPUESTO DE COSTOS DE PRODUCCIÓN ( COSTOS VARIABLES POR CANTIDAD) PARA EL PRIMER AÑO DE FUNCIONAMIENTO o COSTO DE VENTAS</t>
  </si>
  <si>
    <t>PRESUPUESTO DE GASTOS OPERATIVOS (COSTOS FIJOS) PARA EL PRIMER AÑO DE FUNCIONAMIENTO</t>
  </si>
  <si>
    <t>PRESUPUESTO DE GASTOS ADMINISTRATIVOS (COSTOS FIJOS) PARA EL PRIMER AÑO DE FUNCIONAMIENTO</t>
  </si>
  <si>
    <t>PRESUPUESTO DE INGRESO POR VENTAS PARA EL PRIMER AÑO DE FUNCIONAMIENTO 2023</t>
  </si>
  <si>
    <t>SERVICIO DE ANÁLISIS GENÉTICO (ONCOLÓGICO Y ENDOCRINO)</t>
  </si>
  <si>
    <t>SERVICIO DE IMPORTACIÓN</t>
  </si>
  <si>
    <t>PRODUCTO A Y B</t>
  </si>
  <si>
    <t>PRODUCTO C</t>
  </si>
  <si>
    <t xml:space="preserve">CANTIDAD A VENDER </t>
  </si>
  <si>
    <t>UNIDAD DE MEDIDA</t>
  </si>
  <si>
    <t>FRECUENCIA DE VENTA</t>
  </si>
  <si>
    <t>PRECIO DE VENTA (S/.)</t>
  </si>
  <si>
    <t>S. ENDOCRINO</t>
  </si>
  <si>
    <t>servicio</t>
  </si>
  <si>
    <t>mes</t>
  </si>
  <si>
    <t>tipo de cambio</t>
  </si>
  <si>
    <t>S. ONCOLÓGICO</t>
  </si>
  <si>
    <t>S. IMPORTACIÓN</t>
  </si>
  <si>
    <t xml:space="preserve">TOTAL </t>
  </si>
  <si>
    <t>Soles/Euros</t>
  </si>
  <si>
    <t>Soles/Dólar</t>
  </si>
  <si>
    <t>9.2.1. DEL ÍNDICE</t>
  </si>
  <si>
    <t>PRESUPUESTO DE INGRESO POR VENTAS PARA EL PRIMER AÑO DE FUNCIONAMIENTO (2023)</t>
  </si>
  <si>
    <t>PUNTO DE EQUILIBRIO.</t>
  </si>
  <si>
    <t>Presupuesto de Ventas en Unidades</t>
  </si>
  <si>
    <t>Enero</t>
  </si>
  <si>
    <t>febrero</t>
  </si>
  <si>
    <t>marzo</t>
  </si>
  <si>
    <t>abril</t>
  </si>
  <si>
    <t>mayo</t>
  </si>
  <si>
    <t>junio</t>
  </si>
  <si>
    <t>julio</t>
  </si>
  <si>
    <t xml:space="preserve">agosto </t>
  </si>
  <si>
    <t>setiembre</t>
  </si>
  <si>
    <t>octubre</t>
  </si>
  <si>
    <t>noviembre</t>
  </si>
  <si>
    <t>diciembre</t>
  </si>
  <si>
    <t>CANTIDAD</t>
  </si>
  <si>
    <t>PRECIO VENTA S. ENDOCRINO</t>
  </si>
  <si>
    <t>PRECIO VENTA S. ONCOLÓGICO</t>
  </si>
  <si>
    <t>PRECIO VENTA S. IMPORTACIÓN</t>
  </si>
  <si>
    <t>Presupuesto de Ventas en ingresos</t>
  </si>
  <si>
    <t xml:space="preserve">TOTAL VENTAS AL MES  </t>
  </si>
  <si>
    <t>TOTAL VENTAS ANUALES PRIMER AÑO DE FUNCIONAMIENTO</t>
  </si>
  <si>
    <t>MODELO PARA EL PPT</t>
  </si>
  <si>
    <t>UNIDADES</t>
  </si>
  <si>
    <t>SOLES AL MES</t>
  </si>
  <si>
    <t>SOLES AL AÑO</t>
  </si>
  <si>
    <t>9.3.1. DEL ÍNDICE</t>
  </si>
  <si>
    <t>2.-</t>
  </si>
  <si>
    <t>PRESUPUESTO DE COSTOS DE PRODUCCIÓN O COSTOS VARIABLES PARA EL PRIMER AÑO DE FUNCIONAMIENTO (2023)</t>
  </si>
  <si>
    <t>PRIMERO CALCULEMOS LOS COSTOS DE VENTAS UNITARIOS</t>
  </si>
  <si>
    <t>MATRIZ PARA CALCULAR LOS COSTOS DE PRODUCCIÓN o COSTO DE VENTAS (COSTO VARIABLE)</t>
  </si>
  <si>
    <t>Costos</t>
  </si>
  <si>
    <t>Unidad de medida</t>
  </si>
  <si>
    <t>Precio en soles</t>
  </si>
  <si>
    <t>Total en soles</t>
  </si>
  <si>
    <t>Sobres</t>
  </si>
  <si>
    <t>unidad</t>
  </si>
  <si>
    <t>por cada 100 sobres</t>
  </si>
  <si>
    <t>Cortauñas</t>
  </si>
  <si>
    <t>por cada 100 cortauñas</t>
  </si>
  <si>
    <t>Stickers</t>
  </si>
  <si>
    <t>por cada 500 stickers</t>
  </si>
  <si>
    <t>Frascos de muestra</t>
  </si>
  <si>
    <t>por cada frasco</t>
  </si>
  <si>
    <t>Interpretación de resultados</t>
  </si>
  <si>
    <t>por interpretación</t>
  </si>
  <si>
    <t>Laboratorio</t>
  </si>
  <si>
    <t>muestra</t>
  </si>
  <si>
    <t>por cada muestra</t>
  </si>
  <si>
    <t>S/.</t>
  </si>
  <si>
    <t>soles por brindar el servicio endocrino</t>
  </si>
  <si>
    <t>Costo por brindar el servicio endocrino</t>
  </si>
  <si>
    <t>servicio endocrino en soles</t>
  </si>
  <si>
    <t>Brindar el servicio oncológico es un poco mas caro, solo varía el costo por la muestra en laboratorio</t>
  </si>
  <si>
    <t>Costo de brindar el servicio oncológico</t>
  </si>
  <si>
    <t>Costo laboratorio</t>
  </si>
  <si>
    <t>Presupuesto de Costos de Ventas (Unidades a vender según Presupuesto de Ventas en Unidades)</t>
  </si>
  <si>
    <t>COSTO DE VENTAS DEL S. ENDOCRINO</t>
  </si>
  <si>
    <t>COSTO DE VENTAS S. IMPORTACIÓN</t>
  </si>
  <si>
    <t>Presupuesto de Egresos por Costos de Producción</t>
  </si>
  <si>
    <t xml:space="preserve">                                                                                            </t>
  </si>
  <si>
    <t>Presupuesto de Costos de Producción en Unidades</t>
  </si>
  <si>
    <t>TOTAL SERVICIOS A BRINDAR EL PRIMER MES DE FUNCIONAMIENTO</t>
  </si>
  <si>
    <t>TOTAL SERVICIOS A BRINDAR EL PRIMER AÑO DE FUNCIONAMIENTO</t>
  </si>
  <si>
    <t>MODELO PARA EL  PPT</t>
  </si>
  <si>
    <t>Presupuesto de Costos de Producción en soles</t>
  </si>
  <si>
    <t>TOTAL COSTOS DE PRODUCCIÓN PRIMER MES DE FUNCIONAMIENTO</t>
  </si>
  <si>
    <t>TOTAL COSTOS DE PRODUCCIÓN PARA EL PRIMER AÑO DE FUNCIONAMIENTO</t>
  </si>
  <si>
    <t>9.3.2.2. DEL ÍNDICE</t>
  </si>
  <si>
    <t>PRESUPUESTO DE GASTOS OPERATIVOS PARA EL PRIMER AÑO DE FUNCIONAMIENTO (2023)</t>
  </si>
  <si>
    <t>ENERO</t>
  </si>
  <si>
    <t>SEPTIEMBRE</t>
  </si>
  <si>
    <t xml:space="preserve">Luz </t>
  </si>
  <si>
    <t>Útiles de oficina</t>
  </si>
  <si>
    <t>Agua</t>
  </si>
  <si>
    <t>Cable, telefonía fija e internet</t>
  </si>
  <si>
    <t>Asesoría Contable</t>
  </si>
  <si>
    <t>Marketing digital</t>
  </si>
  <si>
    <t>Servicio de limpieza</t>
  </si>
  <si>
    <t>TOTAL GASTOS OPERATIVOS (COSTOS FIJOS) SIN DEPRECIACIÓN  NI AMORTIZACIÓN</t>
  </si>
  <si>
    <t>TOTAL GASTOS OPERATIVOS ( COSTOS FIJOS ) CON DEPRECIACIÓN Y AMORTIZACIÓN DE ACTIVOS FIJOS PARA PUNTO DE EQUILIBRIO</t>
  </si>
  <si>
    <t>-</t>
  </si>
  <si>
    <t>9.3.2.1. DEL ÍNDICE</t>
  </si>
  <si>
    <t>PRESUPUESTO  DE GASTOS ADMINISTRATIVOS PARA EL PRIMER AÑO DE FUNCIONAMIENTO ( 2023)</t>
  </si>
  <si>
    <t>Cargo Funcional</t>
  </si>
  <si>
    <t>Sueldo Fijo</t>
  </si>
  <si>
    <t>Sueldo Fijo Mensual</t>
  </si>
  <si>
    <t>Sueldo Fijo Anual</t>
  </si>
  <si>
    <t>Jefe Administrativo</t>
  </si>
  <si>
    <t>Jefe de Logística</t>
  </si>
  <si>
    <t>SUB-TOTAL</t>
  </si>
  <si>
    <t>PAGOS EXTRAS</t>
  </si>
  <si>
    <t>Gratificación julio</t>
  </si>
  <si>
    <t>Gratifica. diciembre</t>
  </si>
  <si>
    <t>ESSALUD/SIS</t>
  </si>
  <si>
    <t>Vacaciones</t>
  </si>
  <si>
    <t>TOTAL GASTOS ADMINISTRATIVOS MENSUAL Y PRIMER AÑO</t>
  </si>
  <si>
    <t>9.3.3. DEL ÍNDICE</t>
  </si>
  <si>
    <t>Fórmula para Calcular el punto de equilibrio</t>
  </si>
  <si>
    <t>Precio de Venta Unitario - Costo Variable Unitario  = Márgen de Contribución (MC)</t>
  </si>
  <si>
    <t>Costos Fijos (Operativos y Administrativos) dividido entre el MC = Punto de equilibrio en UNIDADES</t>
  </si>
  <si>
    <t>Y AHORA YA TENEMOS TODA LA INFORMACIÓN PARA CALCULAR EL PUNTO DE EQUILIBRIO</t>
  </si>
  <si>
    <t>9.3.3. DEL ÍNDICE: CÁLCULO DEL PUNTO DE EQUILIBRIO</t>
  </si>
  <si>
    <t>Precio de venta servicio endocrino</t>
  </si>
  <si>
    <t xml:space="preserve">Precio de venta </t>
  </si>
  <si>
    <t>Costo de venta del servicio endocrino</t>
  </si>
  <si>
    <t xml:space="preserve">Costo variable </t>
  </si>
  <si>
    <t>Precio de venta servicio oncológico</t>
  </si>
  <si>
    <t>Precio de venta</t>
  </si>
  <si>
    <t>Costo de venta del servicio oncológico</t>
  </si>
  <si>
    <t>Precio de venta servicio de importación</t>
  </si>
  <si>
    <t>Costo de venta del servicio de importación</t>
  </si>
  <si>
    <t>Costo variable</t>
  </si>
  <si>
    <t>Inversión en maquinaria y equipo (Tangible)</t>
  </si>
  <si>
    <t>Inversión en Intangibles</t>
  </si>
  <si>
    <t>Capital de Trabajo Inicial</t>
  </si>
  <si>
    <t>TOTAL PRESUPUESTO DE CAPITAL O INVERSIÓN INICIAL</t>
  </si>
  <si>
    <t>FINANCIAMIENTO DEL PROYECTO</t>
  </si>
  <si>
    <t>PARTICIPACIÓN PORCENTUAL</t>
  </si>
  <si>
    <t>TASA MÍNIMA ESPERADA POR EL ACCIONISTA (TASA TREMA )</t>
  </si>
  <si>
    <t>TEA ESPERADA POR COFIDE O BANCO</t>
  </si>
  <si>
    <t>APORTE DE SOCIOS</t>
  </si>
  <si>
    <t>DEUDA DE TERCEROS (COFIDE)</t>
  </si>
  <si>
    <t>Costos Fijos sin Depreciaión ni Amortización</t>
  </si>
  <si>
    <t>año</t>
  </si>
  <si>
    <t>Gastos Operativos</t>
  </si>
  <si>
    <t>Gastos Administrativos</t>
  </si>
  <si>
    <t xml:space="preserve">SUB-TOTAL MES </t>
  </si>
  <si>
    <t>SUB-TOTAL ANUAL</t>
  </si>
  <si>
    <t>Depreciación</t>
  </si>
  <si>
    <t>Amortización</t>
  </si>
  <si>
    <t>Total Costos Fijos incluyendo Depreciación y Amortización MES</t>
  </si>
  <si>
    <t>TOTAL ANUAL DE COSTOS FIJOS</t>
  </si>
  <si>
    <t>Y ahora Calculemos el Punto de Equilibrio en forma individual ( por ITEM )</t>
  </si>
  <si>
    <t>Precio de venta unitario en S/</t>
  </si>
  <si>
    <t>Costo variable unitario en S/</t>
  </si>
  <si>
    <t>Margen de Contribución en S/</t>
  </si>
  <si>
    <t>Punto de equilibrio mensual en unidades</t>
  </si>
  <si>
    <t>Punto de equilibrio anual en unidades</t>
  </si>
  <si>
    <t>SERVICIO ENDOCRINO</t>
  </si>
  <si>
    <t>(En el supuesto caso que  la empresa solo brinde el s. endocrino)</t>
  </si>
  <si>
    <t>SERVICIO ONCOLÓGICO</t>
  </si>
  <si>
    <t>(En el supuesto caso que la empresa brinde el servicio oncológico)</t>
  </si>
  <si>
    <t>(En el supuesto caso que la empresa brinde el servicio de importación)</t>
  </si>
  <si>
    <t>Precio de venta unitario</t>
  </si>
  <si>
    <t>Costo variable unitario</t>
  </si>
  <si>
    <t>Margen de Contribución</t>
  </si>
  <si>
    <t>P.E.  Mensual en unidades</t>
  </si>
  <si>
    <t xml:space="preserve">P.E. anual en unidades </t>
  </si>
  <si>
    <t>Costos Fijos</t>
  </si>
  <si>
    <t>Vendiendo  esta cantidad anual de unidades del producto  A cubre una parte de los Costos Fijos</t>
  </si>
  <si>
    <t>Vendiendo  esta cantidad anual de unidades del producto B cubre parte de los Costos Fijos</t>
  </si>
  <si>
    <t xml:space="preserve">TOTAL COSTOS FIJOS </t>
  </si>
  <si>
    <t>SI ESTE MONTO  ES POSITIVO SE HAN CUBIERTO EN EXCESO Y SI ES NEGATIVO EXISTE UN DÉFICIT</t>
  </si>
  <si>
    <t>ESCENARIO REAL</t>
  </si>
  <si>
    <t>9.1. DEL ÍNDICE</t>
  </si>
  <si>
    <t>AÑOS DEL  PROYECTO</t>
  </si>
  <si>
    <t>MATRIZ DE SUPUESTOS MACRO-ECONÓMICOS O MATRIZ DE VARIACIÓN DE FACTORES PARA CADA ESCENARIO: EN ESTE CASO SE TRATA DEL ESCENARIO REAL. AFECTA A LOS INGRESOS Y A LOS COSTOS DE VENTAS Y/O PRODUCCIÓN</t>
  </si>
  <si>
    <t xml:space="preserve">EL AÑO 2023 ES EL 1er AÑO DE FUNCIONAMIENTO DEL PROYECTO. NO HAY VARIACIÓN. SE MANTIENE IGUAL TODO EL AÑO. </t>
  </si>
  <si>
    <t>SUPUESTOS EN LOS QUE SE BASA CADA ESCENARIO</t>
  </si>
  <si>
    <r>
      <t>Tasa de crecimiento de las unidades a vender según el ……….</t>
    </r>
    <r>
      <rPr>
        <b/>
        <sz val="22"/>
        <color rgb="FFFF0000"/>
        <rFont val="Calibri"/>
        <family val="2"/>
        <scheme val="minor"/>
      </rPr>
      <t>PBI</t>
    </r>
  </si>
  <si>
    <t>NO HAY CAMBIO</t>
  </si>
  <si>
    <t>Factor de crecimiento de las unidades a vender según PBI</t>
  </si>
  <si>
    <r>
      <t>Tasa de crecicimiento de participación de mercado</t>
    </r>
    <r>
      <rPr>
        <b/>
        <sz val="22"/>
        <color rgb="FFFF0000"/>
        <rFont val="Calibri"/>
        <family val="2"/>
        <scheme val="minor"/>
      </rPr>
      <t xml:space="preserve"> (MARKET SHARE)</t>
    </r>
  </si>
  <si>
    <t>Factor de crecimiento de participación de mercado(Market Share)</t>
  </si>
  <si>
    <r>
      <t>Tasa de crecimiento según encuestas del ……………...</t>
    </r>
    <r>
      <rPr>
        <b/>
        <sz val="22"/>
        <color rgb="FFFF0000"/>
        <rFont val="Calibri"/>
        <family val="2"/>
        <scheme val="minor"/>
      </rPr>
      <t>PRECIO DE VENTA</t>
    </r>
  </si>
  <si>
    <t>Factor de crecimiento del Precio de Venta</t>
  </si>
  <si>
    <r>
      <t xml:space="preserve">Tasa de crecimiento de los costos de producción según la </t>
    </r>
    <r>
      <rPr>
        <b/>
        <sz val="20"/>
        <color rgb="FFFF0000"/>
        <rFont val="Calibri"/>
        <family val="2"/>
        <scheme val="minor"/>
      </rPr>
      <t>INFLACIÒN</t>
    </r>
  </si>
  <si>
    <t>Factor de crecimiento de los Costos de Producción</t>
  </si>
  <si>
    <t>Y AHORA PROYECTAMOS LAS VENTAS,  EN UNIDADES Y EN INGRESOS,   A 4 AÑOS MÁS.</t>
  </si>
  <si>
    <t>años</t>
  </si>
  <si>
    <t>QUÉ VARIABLES AFECTAN A LAS UNIDADES A VENDER?</t>
  </si>
  <si>
    <t>Vamos a considerar una tasa de crecimiento del servicio endocrino según el PBI</t>
  </si>
  <si>
    <t>Vamos a considerar una tasa de crecimiento del servicio oncológico según el PBI</t>
  </si>
  <si>
    <t>Vamos a considerar una tasa de crecimiento del servicio de importación según el PBI</t>
  </si>
  <si>
    <t>Vamos a considerar un incremento de servicios por el  Market Share para el servicio endocrino</t>
  </si>
  <si>
    <t>Vamos a considerar un incremento de servicios por el Market Share para el servicio oncológico</t>
  </si>
  <si>
    <t>Vamos a considerar un incremento de servicios por el Market Share para el servicio de importación</t>
  </si>
  <si>
    <t>Ventas anuales en unidades</t>
  </si>
  <si>
    <t>SERVICIOS A VENDER DEL S. ENDOCRINO</t>
  </si>
  <si>
    <t>SERVICIOS A VENDER DEL S. ONCOLÓGICO</t>
  </si>
  <si>
    <t>SERVICIOS A VENDER DE S. IMPORTACIÓN</t>
  </si>
  <si>
    <t>QUÉ VARIABLES AFECTAN AL PRECIO DE VENTA?</t>
  </si>
  <si>
    <t>Incremento del precio de venta del servicio endocrino</t>
  </si>
  <si>
    <t>Incremento del precio de venta del servicio oncológico</t>
  </si>
  <si>
    <t>Incremento del precio de venta del servicio de importación</t>
  </si>
  <si>
    <t>AHORA PODEMOS CALCULAR EL INGRESO POR VENTA EN SOLES DE LOS DEMÁS AÑOS,  MULTIPLICANDO LAS UNIDADES A VENDER POR EL PRECIO DE VENTA</t>
  </si>
  <si>
    <t>PRESUPUESTO DE INGRESOS EN SOLES POR VENTAS AÑO 2023 Y PROYECTADO AL 2027</t>
  </si>
  <si>
    <t>TOTAL INGRESOS POR VENTAS</t>
  </si>
  <si>
    <t xml:space="preserve">                                                                                                                                                                                                                                                                                                                                                                                                                                 </t>
  </si>
  <si>
    <t>Y ahora proyectamos los Costos de Producción o Costos Variables por 4 años más ( Usamos las mismas unidades del Presupuesto de Ventas)</t>
  </si>
  <si>
    <t>Servicios endocrino a brindar (Acorde con las ventas)</t>
  </si>
  <si>
    <t>Servicios de importación a brindar (Acorde con las ventas)</t>
  </si>
  <si>
    <t>QUÉ VARIABLE AFECTA A LOS COSTOS DE PRODUCCIÓN?: LA INFLACIÓN</t>
  </si>
  <si>
    <t>Crecimiento del Costo de Ventas del servicio endocrino (INFLACIÓN)</t>
  </si>
  <si>
    <t>Crecimiento del Costo de Ventas del servicio oncológico (INFLACIÓN)</t>
  </si>
  <si>
    <t>Crecimiento del Costo de Ventas del servicio de importación (INFLACIÓN)</t>
  </si>
  <si>
    <t>Costo de Ventas SERVICIO ENDOCRINO</t>
  </si>
  <si>
    <t>Costo de Ventas SERVICIO ONCOLÓGICO</t>
  </si>
  <si>
    <t>Costo de Ventas SERVICIO DE IMPORTACIÓN</t>
  </si>
  <si>
    <t>PRESUPUESTO DE COSTOS DE PRODUCCIÓN EN SOLES AÑO 2022 Y PROYECTADO AL 2026</t>
  </si>
  <si>
    <t>TOTAL COSTO VENTAS SERVICIO ENDOCRINO</t>
  </si>
  <si>
    <t>TOTAL COSTO VENTAS SERVICIO ONCOLÓGICO</t>
  </si>
  <si>
    <t>TOTAL COSTO DE VENTAS SERVICIO DE IMPORTACIÓN</t>
  </si>
  <si>
    <t>TOTAL GENERAL COSTO DE PRODUCCIÓN</t>
  </si>
  <si>
    <t>Y AHORA PROYECTAMOS LOS GASTOS OPERATIVOS A 4 AÑOS más</t>
  </si>
  <si>
    <t>PRESUPUSTO DE GASTOS OPERATIVOS AÑO 2023 PROYECTADO AL 2027</t>
  </si>
  <si>
    <t>TOTAL GASTOS OPERATIVOS SIN DEPRECIACIÓN NI AMORTIZACIÓN</t>
  </si>
  <si>
    <t>TOTAL GASTOS OPERATIVOS CON D Y A</t>
  </si>
  <si>
    <t>Y AHORA PROYECTAMOS EL PRESUPUESTO DE GASTOS ADMINISTRATIVOS  A 4 AÑOS más</t>
  </si>
  <si>
    <t>PRESUPUESTO DE GASTOS ADMINISTRATIVOS AÑO 2023 PROYECTADO AL 2027</t>
  </si>
  <si>
    <t>TOTAL GASTOS ADMINISTRATIVOS</t>
  </si>
  <si>
    <t>Y AQUÍ COMIENZA EL PUNTO 10.-  DEL ÍNDICE</t>
  </si>
  <si>
    <t>ESCENARIO REAL 
EVALUACIÓN ECONÓMICA 
( TODO EL PRESUPUESTO DE CAPITAL ASUMIDO POR EL ACCIONISTA - SIN DEUDA )</t>
  </si>
  <si>
    <t>Estado de Ganancias y Pérdidas en SOLES  años 1 al 5</t>
  </si>
  <si>
    <t>EVALUACIÓN ECONÓMICA - ESCENARIO REAL</t>
  </si>
  <si>
    <t>Año</t>
  </si>
  <si>
    <t>Ingresos</t>
  </si>
  <si>
    <t>Ingreso por Ventas</t>
  </si>
  <si>
    <t>Menos</t>
  </si>
  <si>
    <t>Costos y gastos variables</t>
  </si>
  <si>
    <t>Costos y gastos fijos sin Dep. ni Amort.</t>
  </si>
  <si>
    <t>(OPERATIVOS + ADM)</t>
  </si>
  <si>
    <t>ACTIVOS FIJOS TANGIBLES</t>
  </si>
  <si>
    <t>ACTIVOS FIJOS INTANGIBLES</t>
  </si>
  <si>
    <t xml:space="preserve"> Utilidad Operativa (EBIT)</t>
  </si>
  <si>
    <t>Gastos Financieros 1</t>
  </si>
  <si>
    <t>Gastos Financieros 2</t>
  </si>
  <si>
    <t>Utilidad antes  impuestos (EBT)</t>
  </si>
  <si>
    <t>Impuesto a la renta</t>
  </si>
  <si>
    <t>Utilidad después  impuestos</t>
  </si>
  <si>
    <t>OJO : MYPE / PYME PAGA 1 %  o  1.5 % IMP RENTA Y SE CALCULA SOBRE LAS VENTAS/INGRESOS</t>
  </si>
  <si>
    <t xml:space="preserve">Más </t>
  </si>
  <si>
    <t>Flujo de Caja Operativo Libre para el accionista</t>
  </si>
  <si>
    <t>Inversión</t>
  </si>
  <si>
    <t>Flujo de Caja Económico Libre para el Accionista</t>
  </si>
  <si>
    <t>Tasa TREMA</t>
  </si>
  <si>
    <t>10.4 del índice</t>
  </si>
  <si>
    <t>VALOR ACTUAL NETO ECONÓMICO  en soles S/</t>
  </si>
  <si>
    <t>VANE</t>
  </si>
  <si>
    <t>TASA INTERNA DE RETORNO ECONÓMICA %</t>
  </si>
  <si>
    <t>TIRE</t>
  </si>
  <si>
    <t>RELACIÓN BENEFICIO - COSTO ECONÓMICO FACTOR</t>
  </si>
  <si>
    <t>B/CE</t>
  </si>
  <si>
    <t xml:space="preserve">El accionista recupera cada sol invertido pero además el proyecto le rinde </t>
  </si>
  <si>
    <t>PERÍODO DE RECUPERACIÓN DE LA INVERSIÓN ECONÓMICO TIEMPO</t>
  </si>
  <si>
    <t>PRIE</t>
  </si>
  <si>
    <t>FLUJOS DESCONTADOS</t>
  </si>
  <si>
    <t>SALDOS POR RECUPERAR</t>
  </si>
  <si>
    <t>10.3 del índice</t>
  </si>
  <si>
    <t>Flujos Descontados</t>
  </si>
  <si>
    <t>VAN</t>
  </si>
  <si>
    <t>meses</t>
  </si>
  <si>
    <t>días</t>
  </si>
  <si>
    <t>COMENTARIOS CORRESPONDIENTES A CADA PROYECTO SOBRE SU EVALUACIÓN ECONÓMICA DEL ESCENARIO REAL</t>
  </si>
  <si>
    <t>HASTA ESTE MOMENTO ESTE ANÁLISIS CONSIDERA QUE EL PROYECTO SE FINANCIA CON LOS PROPIOS MEDIOS O RECURSOS DEL ACCIONISTA, SIN AYUDA DE NINGÚN PRÉSTAMO DE ALGUNA ENTIDAD FINANCIERA</t>
  </si>
  <si>
    <t>RECIÉN VAMOS A CONSIDERAR QUE COFIDE (CORPORACIÓN FINANCIERA DE DESARROLLO ) FINANCIA UN PORCENTAJE DEL PROYECTO, POR LO</t>
  </si>
  <si>
    <t>TANTO DEBEMOS CALCULAR EL COSTO PROMEDIO PONDERADO DE CAPITAL (CPPC) EN INGLÉS WEIGHT AVERAGE CAPITAL COST (WACC)</t>
  </si>
  <si>
    <t>DATOS DEL PRÉSTAMO DE COFIDE</t>
  </si>
  <si>
    <t>MONTO</t>
  </si>
  <si>
    <t>PLAZO</t>
  </si>
  <si>
    <t>MESES</t>
  </si>
  <si>
    <t>PAGOS</t>
  </si>
  <si>
    <t>CRONOGRAMA DE PAGOS PARA COFIDE</t>
  </si>
  <si>
    <t>Tasa anual</t>
  </si>
  <si>
    <t>Anualidad =</t>
  </si>
  <si>
    <t>Tasa de interés efectiva del período</t>
  </si>
  <si>
    <t>VALOR DE CUOTA O ANUALIDAD</t>
  </si>
  <si>
    <t>Número de Cuotas:</t>
  </si>
  <si>
    <t>anuales</t>
  </si>
  <si>
    <t>Importe del Préstamo:</t>
  </si>
  <si>
    <t>FÓRMULA DE LA ANUALIDAD</t>
  </si>
  <si>
    <t xml:space="preserve">VP </t>
  </si>
  <si>
    <t>Anualidad</t>
  </si>
  <si>
    <t>(((1+i)^(n))-1)</t>
  </si>
  <si>
    <t>factor</t>
  </si>
  <si>
    <t>i*((1í)^(n))</t>
  </si>
  <si>
    <t>NÚMERO DE PAGOS</t>
  </si>
  <si>
    <t>SALDO DE DEUDA</t>
  </si>
  <si>
    <t>AMORTIZACIÓN DE CAPITAL</t>
  </si>
  <si>
    <t>MÉTODO FRANCES - CUOTAS CONSTANTES ( ANUALIDADES )</t>
  </si>
  <si>
    <t>PERIODO</t>
  </si>
  <si>
    <t>AMORTIZACION DE CAPITAL</t>
  </si>
  <si>
    <t>INTERES</t>
  </si>
  <si>
    <t>CUOTA</t>
  </si>
  <si>
    <t>RECIÉN AHORA PODEMOS CALCULAR EL WACC. 
¿CÓMO DEBEMOS CALCULAR EL WACC?</t>
  </si>
  <si>
    <t>ESCUDO FISCAL</t>
  </si>
  <si>
    <t>CÁLCULO DEL WACC</t>
  </si>
  <si>
    <t>Monto del Aporte</t>
  </si>
  <si>
    <t>Tasa de interés Anual</t>
  </si>
  <si>
    <t>Costo Ponderado</t>
  </si>
  <si>
    <t>Escudo Fiscal</t>
  </si>
  <si>
    <t>Costo Neto</t>
  </si>
  <si>
    <t>Costo Total</t>
  </si>
  <si>
    <t>Aporte de Socios</t>
  </si>
  <si>
    <t>No tiene</t>
  </si>
  <si>
    <t>N/A</t>
  </si>
  <si>
    <t>Préstamo COFIDE</t>
  </si>
  <si>
    <t>TASA A UTILIZAR PARA EL DESCUENTO DE LOS FLUJOS</t>
  </si>
  <si>
    <t>WACC</t>
  </si>
  <si>
    <t xml:space="preserve"> BALANCE INICIAL</t>
  </si>
  <si>
    <t>ACTIVO</t>
  </si>
  <si>
    <t>PASIVO</t>
  </si>
  <si>
    <t>Activo Corriente</t>
  </si>
  <si>
    <t>Pasivo Corriente</t>
  </si>
  <si>
    <t>PARTE CORRIENTE DE LA DEUDA ( 1 año)</t>
  </si>
  <si>
    <t>Activo No Corriente</t>
  </si>
  <si>
    <t>Pasivo No Corriente</t>
  </si>
  <si>
    <t>PARTE NO CORRIENTE DE LA DEUDA (+ de 1 año)</t>
  </si>
  <si>
    <t>Activo Fijo (Tang.+Intang. )</t>
  </si>
  <si>
    <t xml:space="preserve">Total Pasivos </t>
  </si>
  <si>
    <t>EQUITY o PATRIMONIO</t>
  </si>
  <si>
    <t>Capital Social</t>
  </si>
  <si>
    <t>Aporte de socios</t>
  </si>
  <si>
    <t>Total Activos</t>
  </si>
  <si>
    <t>Total Pasivos+Patrim.</t>
  </si>
  <si>
    <t>Total de la Inversión</t>
  </si>
  <si>
    <t>A CONTINUACIÓN TENEMOS LA EVALUACIÓN FINANCIERA DEL PROYECTO CONSIDERANDO EL PRÉSTAMO DE COFIDE Y LA TASA WACC</t>
  </si>
  <si>
    <t>PREPARAREMOS NUEVAMENTE EL ESTADO DE GANACIAS Y PÉRDIDAS A 5 AÑOS PERO INCLUYENDO LOS INTERESES DEL PRÉSTAMO</t>
  </si>
  <si>
    <t>Estado de ganancias y Pérdidas años 1 al 5</t>
  </si>
  <si>
    <t>EVALUACIÓN FINANCIERA - ESCENARIO REAL</t>
  </si>
  <si>
    <t>Ventas</t>
  </si>
  <si>
    <t>Utilidad Operativa (EBIT)</t>
  </si>
  <si>
    <t>OJO : MYPE / PYME PAGA 1 % u 1.5 % IMP RENTA Y SE CALCULA SOBRE LAS VENTAS</t>
  </si>
  <si>
    <t>Más</t>
  </si>
  <si>
    <t>INVERSIÓN</t>
  </si>
  <si>
    <t>Desembolso del Préstamo de COFIDE</t>
  </si>
  <si>
    <t>Pago de Capital a COFIDE/BANCO</t>
  </si>
  <si>
    <t>12 MESES CADA AÑO</t>
  </si>
  <si>
    <t>Pago de intereses a COFIDE/BANCO</t>
  </si>
  <si>
    <t>Flujo de Caja Financiero Libre para el Accionista</t>
  </si>
  <si>
    <t>TASA WACC</t>
  </si>
  <si>
    <t>VANF</t>
  </si>
  <si>
    <t>TIRF</t>
  </si>
  <si>
    <t>B/C</t>
  </si>
  <si>
    <t xml:space="preserve">El accionista recupera cada sol invertido y además el proyecto le rinde </t>
  </si>
  <si>
    <t>PRIF</t>
  </si>
  <si>
    <t>VAN MANUAL</t>
  </si>
  <si>
    <t>EL VAN DEBE SER IGUAL AL MONTO INDICADO EN LA ÚLTIMA CUOTA DEL PRI</t>
  </si>
  <si>
    <t>CONCLUSIOS Y RECOMENDACIONES DEL ESCENARIO REAL, EVALUACIÓN ECONÓMICA Y EVALUACIÓN FINANCIERA</t>
  </si>
  <si>
    <t>Brindar el SERVICIO DE IMPORTACIÓN no nos genera un costo de venta ya que el personal de la empresa realiza los tramites de importación de los medicamentos demandados como funciones cotidianas por lo que para realizar este servicio no incluye costos variables.</t>
  </si>
  <si>
    <t>Analista de importaciones</t>
  </si>
  <si>
    <t>Almacenero</t>
  </si>
  <si>
    <t>ADMINISTRATIVOS DEL PRIMER AÑO DE FUNCIONAMIENTO, (2023)</t>
  </si>
  <si>
    <t>Servicio realizado por un personal especializado.</t>
  </si>
  <si>
    <t>Ausencia de  competencia significativa en nuestros servicios.</t>
  </si>
  <si>
    <t>Alianzas estratégicas con laboratorios para el análisis.</t>
  </si>
  <si>
    <t>Ubicación céntrica de la sede.</t>
  </si>
  <si>
    <t>Ofrecer un servicio triangulado (complementario).</t>
  </si>
  <si>
    <t>Presupuesto limitado.</t>
  </si>
  <si>
    <t>Dependencia de los laboratorios.</t>
  </si>
  <si>
    <t>Contar con una sola sede.</t>
  </si>
  <si>
    <t>Bajo margen de ganancia para el análisis genético.</t>
  </si>
  <si>
    <t>Staff de médicos limitado.</t>
  </si>
  <si>
    <t>POBLACIÓN EN LIMA 2021</t>
  </si>
  <si>
    <t>Según INEI</t>
  </si>
  <si>
    <t>NUESTRO MERCADO POTENCIAL ESTÁ FORMADO POR LAS PERSONAS QUE SE ENCUENTRAN ENTRE 25 Y 54 AÑOS PERTENECIENTES  AL NSE A-B UBICADOS EN LIMA</t>
  </si>
  <si>
    <t>ESTA ES LA POSIBLE DEMANDA DEL NEGOCIO PARA NUESTRO PRIMER AÑO CONSIDERANDO LA PARTICIPACIÓN DEL MERCADO.</t>
  </si>
  <si>
    <t>ANÁLISIS DEL MERCADO PARA LOS  SERVICIOS A + B</t>
  </si>
  <si>
    <t>ANÁLISIS DEL MERCADO PARA EL SERVICIO C</t>
  </si>
  <si>
    <t>NUESTRO MERCADO POTENCIAL ESTÁ FORMADO POR LAS PERSONAS UBICADAS EN LIMA METROPOLITANA QUE LLEVAN UN TRATAMIENTO DE CÁNCER Ó DIABETES EN ETAPA TEMPRANA Y PERTENECEN AL NSE A-B.</t>
  </si>
  <si>
    <t>ESTA LA POSIBLE DEMANDA DEL NEGOCIO PARA NUESTRO PRIMER AÑO CONSIDERANDO PORCENTAJE DE PARTICIPACIÓN EN EL MERCADO.</t>
  </si>
  <si>
    <t>APLICANDO UN CRITERIO CONSERVADOR SÓLO CONSIDERAMOS EL 0.75% PARA EL SERVICIO C</t>
  </si>
  <si>
    <t>CONSIDERANDO QUE SE TRATA DE UN SERVICIO INNOVADOR A LA OFERTA ACTUAL POR SU CARÁCTER PREVENTIVO  CONSIDERAMOS QUE PODEMOS ALCANZAR LA CATEGORIA DE OTROS Y BUENA PARTE PERTENECIENTE A LA CLINICA SAN PABLO, POR ELLO OBTENEMOS 1.90%</t>
  </si>
  <si>
    <t xml:space="preserve">Participación de mercado cobertura especializada </t>
  </si>
  <si>
    <t>A. G. ONCOLÓGICO (A)</t>
  </si>
  <si>
    <t>A. G. ENDOCRINO (B)</t>
  </si>
  <si>
    <t>A.G. ONCOLÓGICO</t>
  </si>
  <si>
    <t>A.G. ENDOCRINO</t>
  </si>
  <si>
    <t>VECES POR AÑO</t>
  </si>
  <si>
    <t>CÁNCER</t>
  </si>
  <si>
    <t>TOTAL INGRESOS MENSUAL Y ANUAL EN SOLES A</t>
  </si>
  <si>
    <t>TOTAL INGRESOS MENSUAL Y ANUAL EN SOLES B</t>
  </si>
  <si>
    <t>TOTAL INGRESOS MENSUAL Y ANUAL EN SOLES C</t>
  </si>
  <si>
    <t>77</t>
  </si>
  <si>
    <t xml:space="preserve">FRECUENCIA DE CONSUMO ANUAL </t>
  </si>
  <si>
    <t>PRECIO</t>
  </si>
  <si>
    <t>INGRESO MENSUAL</t>
  </si>
  <si>
    <t>SERVICIOS X MES</t>
  </si>
  <si>
    <t>INGRESO PRIMER AÑO</t>
  </si>
  <si>
    <t>IMPORTACIÓN EXCEPCIONAL</t>
  </si>
  <si>
    <t>3.4. ANÁLISIS DE PRECIOS</t>
  </si>
  <si>
    <r>
      <t xml:space="preserve">1.       </t>
    </r>
    <r>
      <rPr>
        <b/>
        <sz val="16"/>
        <color rgb="FF000000"/>
        <rFont val="Tahoma"/>
        <family val="2"/>
      </rPr>
      <t>INVERSIONES: APORTE DE ACCIONISTAS Y FINANCIAMIENTO: PRESUPUESTO DE CAPITAL (INVERSIÓN INICIAL) Y DONDE LO OBTENGO.</t>
    </r>
  </si>
  <si>
    <t>ADMINISTRATIVOS DEL PRIMER AÑO DE FUNCIONAMIENTO, (2022)</t>
  </si>
  <si>
    <t>EXPLICACIÓN DEL CUANTO FINANCIARÁN LOS SOCIOS Y CUÁNTO EL BANCO</t>
  </si>
  <si>
    <t>DEUDA FINANCIADA POR COFIDE A 5 AÑOS CON UNA TEA DEL 28 %</t>
  </si>
  <si>
    <t>Presupuesto de Costos de Producción (Unidades a vender según Presupuesto de Ventas en Unidades)</t>
  </si>
  <si>
    <t>Participación porcentual de cada uno.</t>
  </si>
  <si>
    <t xml:space="preserve"> BALANCE INICIAL AL COMENZAR 2023</t>
  </si>
  <si>
    <t>Activo Corriente - Caja  (CAPITAL DE TRABAJO)</t>
  </si>
  <si>
    <t>Prestación  de servicio A, Servicio B y servicio C de LAES</t>
  </si>
  <si>
    <t>ANÁLISIS DE LA COMPETENCIA Y  COSTOS DE PRODUCCIÓN</t>
  </si>
  <si>
    <t>ANÁLISIS GENÉTICO ONCOLÓGICO</t>
  </si>
  <si>
    <t>ANÁLISIS GENÉTICO DIABETES</t>
  </si>
  <si>
    <t>SERVICIOS A+B</t>
  </si>
  <si>
    <t>SERVICIOS C</t>
  </si>
  <si>
    <t>PRECIO DE VENTA DE LA EMPRESA</t>
  </si>
  <si>
    <t>PRESUPUESTO DE INVERSIONES</t>
  </si>
  <si>
    <t>FÓRMULA DE ANUALIDAD</t>
  </si>
  <si>
    <t xml:space="preserve"> PUNTO 9 DEL ÍNDICE</t>
  </si>
  <si>
    <t>SEGÚN EL CÁLCULO CONSERVADOR DE LA DEMANDA, EL QUE SE INDICÓ EN EL ESTUDIO DE MERCADO, ESTA EMPRESA PODRÍA VENDER AL MES HASTA  71 SERVICIOS</t>
  </si>
  <si>
    <t>ESTABLECIMOS COMO PUNTO DE PARTIDA EL NÚMERO DE POSIBLE DEMANDA ANUAL</t>
  </si>
  <si>
    <t>CALCULO DE LOS COSTOS DE PRODUCCIÓN UNITARIOS</t>
  </si>
  <si>
    <t>SEGÚN LEGISLACIÓN PYME</t>
  </si>
  <si>
    <t>PROYECTAMOS LAS VENTAS,  EN UNIDADES Y EN INGRESOS,   A 4 AÑOS MÁS.</t>
  </si>
  <si>
    <t>PRESUPUESTO DE GASTOS OPERATIVOS AÑO 2023 PROYECTADO AL 2027</t>
  </si>
  <si>
    <t>ANÁLISIS</t>
  </si>
  <si>
    <t>RÉGIMEN PYME</t>
  </si>
  <si>
    <t>LISTA DE PRECIOS LAES</t>
  </si>
  <si>
    <t>SERVICIO</t>
  </si>
  <si>
    <t>ANÁLISIS GENÉTICO ESPECIALIZADO ONCOLOGÍA</t>
  </si>
  <si>
    <t>PEN</t>
  </si>
  <si>
    <t>ANÁLISIS GENÉTICO ESPECIALIZADO ENDOCRINOLOGÍA</t>
  </si>
  <si>
    <t>GESTIÓN DE IMPORTACIÓN EXCEPCIONAL*</t>
  </si>
  <si>
    <t>*No incluye costo del medicamento ni gastos operativos propio de la importación.</t>
  </si>
  <si>
    <t>**No incluye IGV.</t>
  </si>
  <si>
    <t>*** Los pagos se realizan de manera adelantada para poder solicitar el servicio.</t>
  </si>
  <si>
    <t>FRECUENCIA DE CONSUMO  SERVICIOS A+B DE ACUERDO CON LAS ENCUESTAS</t>
  </si>
  <si>
    <t>FRECUENCIA DE CONSUMO SERVICIO C  POR PACIENTE</t>
  </si>
  <si>
    <t>COSTO DE VENTAS DEL S. ONCOLOGICO</t>
  </si>
  <si>
    <t>(En el supuesto caso que la empresa sólo brinde el servicio oncológico)</t>
  </si>
  <si>
    <t>(En el supuesto caso que  la empresa sólo brinde el s. endocrino)</t>
  </si>
  <si>
    <t>(En el supuesto caso que la empresa sólo brinde el servicio de importación)</t>
  </si>
  <si>
    <t>Desarrollo del Punto de Equilibrio con 3 servicios</t>
  </si>
  <si>
    <t>PLAN DE VENTAS CUANTITATIVO PARA EL 2023</t>
  </si>
  <si>
    <t>Dado que  la empresa vende 3 productos, esta es la mejor combinación que permite a la empresa llegar al Punto de Equilibrio.</t>
  </si>
  <si>
    <t xml:space="preserve">RECIÉN AHORA PODEMOS CALCULAR EL WACC. </t>
  </si>
  <si>
    <t>S. IMPORTACION</t>
  </si>
  <si>
    <t>Vamos a considerar una tasa de crecimiento del precio de venta del servicio endocrino según la competencia.</t>
  </si>
  <si>
    <t>Vamos a considerar una tasa de crecimiento del precio de venta del servicio de importación según productos sustitutos.</t>
  </si>
  <si>
    <t>Vamos a considerar una tasa de crecimiento del precio de venta del servicio oncológico según la competencia.</t>
  </si>
  <si>
    <t>Servicios oncológico a brindar (Acorde con las ventas)</t>
  </si>
  <si>
    <t>Crecimiento del Costo de Ventas del servicio endocrino(INFLACIÓN)</t>
  </si>
  <si>
    <t xml:space="preserve">SERVICIO DE IMPORTACIÓN </t>
  </si>
  <si>
    <t>Presupuesto de Costos de Ventas en Unidades</t>
  </si>
  <si>
    <t>Presupuesto de Costos de Ventas en soles</t>
  </si>
  <si>
    <t>ESCENARIO OPTIMISTA</t>
  </si>
  <si>
    <t>Vamos a considerar un incremento de servicios por el  Market Share para el servicio oncológico</t>
  </si>
  <si>
    <t>Vamos a considerar un incremento de servicios por el Market Share para el servicio endocrino</t>
  </si>
  <si>
    <t>ESCENARIO OPTIMISTA
EVALUACIÓN ECONÓMICA 
( TODO EL PRESUPUESTO DE CAPITAL ASUMIDO POR EL ACCIONISTA - SIN DEUDA )</t>
  </si>
  <si>
    <t>EVALUACIÓN ECONÓMICA - ESCENARIO OPTIMISTA</t>
  </si>
  <si>
    <t>SUPUESTOS O MATRIZ  DE VARIACIÓN DE FACTORES PARA CADA ESCENARIO: OPTIMISTA</t>
  </si>
  <si>
    <t>EVALUACIÓN FINANCIERA - ESCENARIO OPTIMISTA</t>
  </si>
  <si>
    <t>ESCENARIO PESIMISTA</t>
  </si>
  <si>
    <t>SUPUESTOS O MATRIZ  DE VARIACIÓN DE FACTORES PARA CADA ESCENARIO: PESIMISTA</t>
  </si>
  <si>
    <t>ESCENARIO PESIMISTA
EVALUACIÓN ECONÓMICA 
( TODO EL PRESUPUESTO DE CAPITAL ASUMIDO POR EL ACCIONISTA - SIN DEUDA )</t>
  </si>
  <si>
    <t>EVALUACIÓN ECONÓMICA - ESCENARIO PESIMISTA</t>
  </si>
  <si>
    <t>EVALUACIÓN FINANCIERA - ESCENARIO PESIMISTA</t>
  </si>
  <si>
    <t>EVALUACIÓN ECONÓMICA</t>
  </si>
  <si>
    <t>EVALUACIÓN FINANCIERA</t>
  </si>
  <si>
    <t>TIR</t>
  </si>
  <si>
    <t>R/C</t>
  </si>
  <si>
    <t>PRI</t>
  </si>
  <si>
    <t>0,6,14</t>
  </si>
  <si>
    <t>0,3,29</t>
  </si>
  <si>
    <t xml:space="preserve"> PRECIO DE VENTA SERVICIO C</t>
  </si>
  <si>
    <t>PRECIO DE VENTA SERVICIOS A Y B</t>
  </si>
  <si>
    <t>ANÁLISIS DE DEPRECIACIÓN POR ITEM</t>
  </si>
  <si>
    <t xml:space="preserve"> PRESUPUESTO DE INVERSIONES</t>
  </si>
  <si>
    <t>EXPLICACIÓN DE LAS DIFERENTES FUENTES DE FINANCIAMIENTO</t>
  </si>
  <si>
    <t>CUANTO FINANCIARÁN LOS SOCIOS Y CUÁNTO EL BANCO</t>
  </si>
  <si>
    <t xml:space="preserve"> PREPARACIÓN DE  LOS 4 PRINCIPALES PRESUPUESTOS, PRIMERO EL QUE CORRESPONDE AL PRIMER AÑO DE FUNCIONAMIENTO (2023)</t>
  </si>
  <si>
    <t xml:space="preserve">LUEGO PROYECTAREMOS 4 AÑOS MÁS USANDO LAS VARIABLES DE LA MATRIZ QUE LUEGO ANALIZAREMOS </t>
  </si>
  <si>
    <t xml:space="preserve">PRESUPUESTO DE INGRESO POR VENTAS (PRECIO POR CANTIDAD) PARA EL PRIMER AÑO DE FUNCIONAMIENTO. </t>
  </si>
  <si>
    <t>CALCULAMOS EL PUNTO DE EQUILIBRIO</t>
  </si>
  <si>
    <t xml:space="preserve"> CÁLCULO DEL PUNTO DE EQUILIBRIO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</si>
</sst>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4">
    <numFmt numFmtId="43" formatCode="_-* #,##0.00_-;\-* #,##0.00_-;_-* &quot;-&quot;??_-;_-@_-"/>
    <numFmt numFmtId="164" formatCode="&quot;S/&quot;#,##0.00;[Red]\-&quot;S/&quot;#,##0.00"/>
    <numFmt numFmtId="165" formatCode="_-* #,##0.00\ _€_-;\-* #,##0.00\ _€_-;_-* &quot;-&quot;??\ _€_-;_-@"/>
    <numFmt numFmtId="166" formatCode="_ * #,##0.00_ ;_ * \-#,##0.00_ ;_ * &quot;-&quot;??_ ;_ @_ "/>
    <numFmt numFmtId="167" formatCode="yyyy\.m"/>
    <numFmt numFmtId="168" formatCode="_ * #,##0_ ;_ * \-#,##0_ ;_ * &quot;-&quot;??_ ;_ @_ "/>
    <numFmt numFmtId="169" formatCode="_-* #,##0_-;\-* #,##0_-;_-* &quot;-&quot;??_-;_-@"/>
    <numFmt numFmtId="170" formatCode="_-&quot;S/.&quot;* #,##0.00_-;\-&quot;S/.&quot;* #,##0.00_-;_-&quot;S/.&quot;* &quot;-&quot;??_-;_-@"/>
    <numFmt numFmtId="171" formatCode="_-* #,##0\ _€_-;\-* #,##0\ _€_-;_-* &quot;-&quot;??\ _€_-;_-@"/>
    <numFmt numFmtId="172" formatCode="0.0000%"/>
    <numFmt numFmtId="173" formatCode="_-* #,##0.00_-;\-* #,##0.00_-;_-* &quot;-&quot;??_-;_-@"/>
    <numFmt numFmtId="174" formatCode="0.00000%"/>
    <numFmt numFmtId="177" formatCode="0.000"/>
    <numFmt numFmtId="178" formatCode="_-* #,##0.00\ _€_-;\-* #,##0.00\ _€_-;_-* &quot;-&quot;??\ _€_-;_-@_-"/>
    <numFmt numFmtId="179" formatCode="_-* #,##0\ _€_-;\-* #,##0\ _€_-;_-* &quot;-&quot;??\ _€_-;_-@_-"/>
    <numFmt numFmtId="180" formatCode="_-* #,##0_-;\-* #,##0_-;_-* &quot;-&quot;??_-;_-@_-"/>
    <numFmt numFmtId="181" formatCode="0.0000"/>
    <numFmt numFmtId="182" formatCode="_-* #,##0.0000\ _€_-;\-* #,##0.0000\ _€_-;_-* &quot;-&quot;??\ _€_-;_-@_-"/>
    <numFmt numFmtId="183" formatCode="0.00000"/>
    <numFmt numFmtId="184" formatCode="0.000%"/>
    <numFmt numFmtId="185" formatCode="0.0000000"/>
    <numFmt numFmtId="186" formatCode="0.000000%"/>
    <numFmt numFmtId="187" formatCode="0.0%"/>
    <numFmt numFmtId="188" formatCode="0.0"/>
  </numFmts>
  <fonts count="65">
    <font>
      <sz val="11"/>
      <color theme="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ont>
    <font>
      <b/>
      <sz val="10"/>
      <color rgb="FFFFFFFF"/>
      <name val="Arial"/>
    </font>
    <font>
      <sz val="11"/>
      <name val="Calibri"/>
    </font>
    <font>
      <b/>
      <sz val="9"/>
      <color rgb="FFFFFFFF"/>
      <name val="Arial"/>
    </font>
    <font>
      <b/>
      <sz val="11"/>
      <color theme="1"/>
      <name val="Calibri"/>
    </font>
    <font>
      <b/>
      <sz val="11"/>
      <color rgb="FFFFFFFF"/>
      <name val="Calibri"/>
    </font>
    <font>
      <sz val="11"/>
      <color rgb="FF000000"/>
      <name val="Calibri"/>
    </font>
    <font>
      <u/>
      <sz val="11"/>
      <color rgb="FF3367D6"/>
      <name val="Roboto"/>
    </font>
    <font>
      <b/>
      <sz val="11"/>
      <color rgb="FF000000"/>
      <name val="Calibri"/>
    </font>
    <font>
      <b/>
      <sz val="24"/>
      <color theme="1"/>
      <name val="Calibri"/>
    </font>
    <font>
      <b/>
      <sz val="18"/>
      <color theme="1"/>
      <name val="Calibri"/>
    </font>
    <font>
      <b/>
      <sz val="26"/>
      <color theme="1"/>
      <name val="Calibri"/>
    </font>
    <font>
      <b/>
      <sz val="20"/>
      <color theme="1"/>
      <name val="Calibri"/>
    </font>
    <font>
      <sz val="14"/>
      <color theme="1"/>
      <name val="Calibri"/>
    </font>
    <font>
      <sz val="20"/>
      <color theme="1"/>
      <name val="Calibri"/>
    </font>
    <font>
      <b/>
      <sz val="16"/>
      <color theme="1"/>
      <name val="Calibri"/>
    </font>
    <font>
      <b/>
      <sz val="11"/>
      <color theme="1"/>
      <name val="Arial"/>
    </font>
    <font>
      <sz val="16"/>
      <color theme="1"/>
      <name val="Calibri"/>
    </font>
    <font>
      <b/>
      <sz val="14"/>
      <color theme="1"/>
      <name val="Calibri"/>
    </font>
    <font>
      <sz val="11"/>
      <color theme="0"/>
      <name val="Calibri"/>
    </font>
    <font>
      <sz val="12"/>
      <color theme="1"/>
      <name val="Calibri"/>
    </font>
    <font>
      <b/>
      <sz val="12"/>
      <color theme="1"/>
      <name val="Calibri"/>
    </font>
    <font>
      <sz val="11"/>
      <color theme="1"/>
      <name val="Calibri"/>
    </font>
    <font>
      <sz val="16"/>
      <color theme="1"/>
      <name val="Calibri"/>
      <family val="2"/>
    </font>
    <font>
      <b/>
      <sz val="16"/>
      <color theme="1"/>
      <name val="Calibri"/>
      <family val="2"/>
    </font>
    <font>
      <b/>
      <sz val="18"/>
      <color theme="1"/>
      <name val="Calibri"/>
      <family val="2"/>
    </font>
    <font>
      <b/>
      <sz val="16"/>
      <color rgb="FF000000"/>
      <name val="Times New Roman"/>
      <family val="1"/>
    </font>
    <font>
      <b/>
      <sz val="16"/>
      <color rgb="FF000000"/>
      <name val="Tahoma"/>
      <family val="2"/>
    </font>
    <font>
      <sz val="11"/>
      <name val="Calibri"/>
      <family val="2"/>
    </font>
    <font>
      <b/>
      <sz val="20"/>
      <color theme="1"/>
      <name val="Calibri"/>
      <family val="2"/>
    </font>
    <font>
      <sz val="20"/>
      <color theme="1"/>
      <name val="Calibri"/>
      <family val="2"/>
    </font>
    <font>
      <sz val="18"/>
      <color theme="1"/>
      <name val="Calibri"/>
      <family val="2"/>
    </font>
    <font>
      <sz val="16"/>
      <color theme="1"/>
      <name val="Calibri"/>
      <family val="2"/>
      <scheme val="minor"/>
    </font>
    <font>
      <b/>
      <sz val="16"/>
      <color theme="1"/>
      <name val="Calibri"/>
      <family val="2"/>
      <scheme val="minor"/>
    </font>
    <font>
      <b/>
      <sz val="18"/>
      <color theme="1"/>
      <name val="Calibri"/>
      <family val="2"/>
      <scheme val="minor"/>
    </font>
    <font>
      <sz val="18"/>
      <color theme="1"/>
      <name val="Calibri"/>
      <family val="2"/>
      <scheme val="minor"/>
    </font>
    <font>
      <b/>
      <sz val="18"/>
      <name val="Calibri"/>
      <family val="2"/>
      <scheme val="minor"/>
    </font>
    <font>
      <b/>
      <sz val="20"/>
      <color theme="1"/>
      <name val="Calibri"/>
      <family val="2"/>
      <scheme val="minor"/>
    </font>
    <font>
      <b/>
      <sz val="26"/>
      <name val="Calibri"/>
      <family val="2"/>
      <scheme val="minor"/>
    </font>
    <font>
      <b/>
      <sz val="26"/>
      <color theme="1"/>
      <name val="Calibri"/>
      <family val="2"/>
      <scheme val="minor"/>
    </font>
    <font>
      <b/>
      <sz val="14"/>
      <color theme="1"/>
      <name val="Calibri"/>
      <family val="2"/>
      <scheme val="minor"/>
    </font>
    <font>
      <sz val="14"/>
      <color theme="1"/>
      <name val="Calibri"/>
      <family val="2"/>
      <scheme val="minor"/>
    </font>
    <font>
      <b/>
      <sz val="22"/>
      <color theme="1"/>
      <name val="Calibri"/>
      <family val="2"/>
      <scheme val="minor"/>
    </font>
    <font>
      <b/>
      <sz val="24"/>
      <color theme="1"/>
      <name val="Calibri"/>
      <family val="2"/>
      <scheme val="minor"/>
    </font>
    <font>
      <b/>
      <sz val="12"/>
      <color theme="1"/>
      <name val="Calibri"/>
      <family val="2"/>
      <scheme val="minor"/>
    </font>
    <font>
      <b/>
      <sz val="22"/>
      <color rgb="FFFF0000"/>
      <name val="Calibri"/>
      <family val="2"/>
      <scheme val="minor"/>
    </font>
    <font>
      <b/>
      <sz val="20"/>
      <color rgb="FFFF0000"/>
      <name val="Calibri"/>
      <family val="2"/>
      <scheme val="minor"/>
    </font>
    <font>
      <b/>
      <sz val="18"/>
      <color rgb="FFFF0000"/>
      <name val="Calibri"/>
      <family val="2"/>
      <scheme val="minor"/>
    </font>
    <font>
      <sz val="20"/>
      <color theme="1"/>
      <name val="Calibri"/>
      <family val="2"/>
      <scheme val="minor"/>
    </font>
    <font>
      <sz val="18"/>
      <name val="Calibri"/>
      <family val="2"/>
    </font>
    <font>
      <b/>
      <sz val="14"/>
      <color theme="1"/>
      <name val="Calibri"/>
      <family val="2"/>
    </font>
    <font>
      <b/>
      <sz val="8"/>
      <color theme="1"/>
      <name val="Arial"/>
      <family val="2"/>
    </font>
    <font>
      <sz val="11"/>
      <color theme="1"/>
      <name val="Calibri"/>
      <family val="2"/>
    </font>
    <font>
      <b/>
      <sz val="11"/>
      <color theme="1"/>
      <name val="Calibri"/>
      <family val="2"/>
    </font>
    <font>
      <b/>
      <sz val="12"/>
      <color theme="1"/>
      <name val="Calibri"/>
      <family val="2"/>
    </font>
    <font>
      <b/>
      <sz val="16"/>
      <name val="Calibri"/>
      <family val="2"/>
      <scheme val="minor"/>
    </font>
    <font>
      <b/>
      <sz val="20"/>
      <name val="Calibri"/>
      <family val="2"/>
      <scheme val="minor"/>
    </font>
    <font>
      <b/>
      <sz val="11"/>
      <color theme="1"/>
      <name val="Calibri"/>
      <family val="2"/>
      <scheme val="minor"/>
    </font>
    <font>
      <b/>
      <sz val="9"/>
      <color theme="1"/>
      <name val="Calibri"/>
      <family val="2"/>
    </font>
    <font>
      <sz val="10"/>
      <color theme="1"/>
      <name val="Calibri"/>
      <family val="2"/>
      <scheme val="minor"/>
    </font>
  </fonts>
  <fills count="47">
    <fill>
      <patternFill patternType="none"/>
    </fill>
    <fill>
      <patternFill patternType="gray125"/>
    </fill>
    <fill>
      <patternFill patternType="solid">
        <fgColor rgb="FF002060"/>
        <bgColor rgb="FF002060"/>
      </patternFill>
    </fill>
    <fill>
      <patternFill patternType="solid">
        <fgColor rgb="FFFFFF00"/>
        <bgColor rgb="FFFFFF00"/>
      </patternFill>
    </fill>
    <fill>
      <patternFill patternType="solid">
        <fgColor rgb="FF1F497D"/>
        <bgColor rgb="FF1F497D"/>
      </patternFill>
    </fill>
    <fill>
      <patternFill patternType="solid">
        <fgColor rgb="FF9BBB59"/>
        <bgColor rgb="FF9BBB59"/>
      </patternFill>
    </fill>
    <fill>
      <patternFill patternType="solid">
        <fgColor rgb="FFFFFFFF"/>
        <bgColor rgb="FFFFFFFF"/>
      </patternFill>
    </fill>
    <fill>
      <patternFill patternType="solid">
        <fgColor rgb="FFC0504D"/>
        <bgColor rgb="FFC0504D"/>
      </patternFill>
    </fill>
    <fill>
      <patternFill patternType="solid">
        <fgColor theme="5"/>
        <bgColor theme="5"/>
      </patternFill>
    </fill>
    <fill>
      <patternFill patternType="solid">
        <fgColor rgb="FFE69138"/>
        <bgColor rgb="FFE69138"/>
      </patternFill>
    </fill>
    <fill>
      <patternFill patternType="solid">
        <fgColor rgb="FFC27BA0"/>
        <bgColor rgb="FFC27BA0"/>
      </patternFill>
    </fill>
    <fill>
      <patternFill patternType="solid">
        <fgColor theme="0"/>
        <bgColor theme="0"/>
      </patternFill>
    </fill>
    <fill>
      <patternFill patternType="solid">
        <fgColor rgb="FFE06666"/>
        <bgColor rgb="FFE06666"/>
      </patternFill>
    </fill>
    <fill>
      <patternFill patternType="solid">
        <fgColor rgb="FFF79646"/>
        <bgColor rgb="FFF79646"/>
      </patternFill>
    </fill>
    <fill>
      <patternFill patternType="solid">
        <fgColor rgb="FFFBE4D5"/>
        <bgColor rgb="FFFBE4D5"/>
      </patternFill>
    </fill>
    <fill>
      <patternFill patternType="solid">
        <fgColor rgb="FFC5E0B3"/>
        <bgColor rgb="FFC5E0B3"/>
      </patternFill>
    </fill>
    <fill>
      <patternFill patternType="solid">
        <fgColor rgb="FF9CC2E5"/>
        <bgColor rgb="FF9CC2E5"/>
      </patternFill>
    </fill>
    <fill>
      <patternFill patternType="solid">
        <fgColor rgb="FFFFC000"/>
        <bgColor rgb="FFFFC000"/>
      </patternFill>
    </fill>
    <fill>
      <patternFill patternType="solid">
        <fgColor rgb="FFDEEAF6"/>
        <bgColor rgb="FFDEEAF6"/>
      </patternFill>
    </fill>
    <fill>
      <patternFill patternType="solid">
        <fgColor rgb="FFA8D08D"/>
        <bgColor rgb="FFA8D08D"/>
      </patternFill>
    </fill>
    <fill>
      <patternFill patternType="solid">
        <fgColor rgb="FFE2EFD9"/>
        <bgColor rgb="FFE2EFD9"/>
      </patternFill>
    </fill>
    <fill>
      <patternFill patternType="solid">
        <fgColor rgb="FFD9E2F3"/>
        <bgColor rgb="FFD9E2F3"/>
      </patternFill>
    </fill>
    <fill>
      <patternFill patternType="solid">
        <fgColor rgb="FFF7CAAC"/>
        <bgColor rgb="FFF7CAAC"/>
      </patternFill>
    </fill>
    <fill>
      <patternFill patternType="solid">
        <fgColor rgb="FF00FFFF"/>
        <bgColor rgb="FF00FFFF"/>
      </patternFill>
    </fill>
    <fill>
      <patternFill patternType="solid">
        <fgColor rgb="FFFEF2CB"/>
        <bgColor rgb="FFFEF2CB"/>
      </patternFill>
    </fill>
    <fill>
      <patternFill patternType="solid">
        <fgColor rgb="FFBDD6EE"/>
        <bgColor rgb="FFBDD6EE"/>
      </patternFill>
    </fill>
    <fill>
      <patternFill patternType="solid">
        <fgColor rgb="FFB4C6E7"/>
        <bgColor rgb="FFB4C6E7"/>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rgb="FF00FFFF"/>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2"/>
        <bgColor indexed="64"/>
      </patternFill>
    </fill>
    <fill>
      <patternFill patternType="solid">
        <fgColor theme="2" tint="-9.9978637043366805E-2"/>
        <bgColor rgb="FFFFFF00"/>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14999847407452621"/>
        <bgColor indexed="64"/>
      </patternFill>
    </fill>
  </fills>
  <borders count="8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rgb="FFCCCCCC"/>
      </left>
      <right/>
      <top/>
      <bottom style="medium">
        <color rgb="FFCCCCCC"/>
      </bottom>
      <diagonal/>
    </border>
    <border>
      <left/>
      <right style="medium">
        <color rgb="FFCCCCCC"/>
      </right>
      <top/>
      <bottom style="medium">
        <color rgb="FFCCCCC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top/>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bottom/>
      <diagonal/>
    </border>
    <border>
      <left style="thin">
        <color rgb="FF000000"/>
      </left>
      <right style="thin">
        <color rgb="FF000000"/>
      </right>
      <top/>
      <bottom/>
      <diagonal/>
    </border>
    <border>
      <left/>
      <right/>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style="medium">
        <color rgb="FF000000"/>
      </right>
      <top/>
      <bottom/>
      <diagonal/>
    </border>
  </borders>
  <cellStyleXfs count="11">
    <xf numFmtId="0" fontId="0" fillId="0" borderId="0"/>
    <xf numFmtId="0" fontId="27" fillId="0" borderId="43"/>
    <xf numFmtId="0" fontId="4" fillId="0" borderId="43"/>
    <xf numFmtId="9" fontId="4" fillId="0" borderId="43" applyFont="0" applyFill="0" applyBorder="0" applyAlignment="0" applyProtection="0"/>
    <xf numFmtId="178" fontId="4" fillId="0" borderId="43" applyFont="0" applyFill="0" applyBorder="0" applyAlignment="0" applyProtection="0"/>
    <xf numFmtId="0" fontId="3" fillId="0" borderId="43"/>
    <xf numFmtId="0" fontId="2" fillId="0" borderId="43"/>
    <xf numFmtId="178" fontId="2" fillId="0" borderId="43" applyFont="0" applyFill="0" applyBorder="0" applyAlignment="0" applyProtection="0"/>
    <xf numFmtId="9" fontId="2" fillId="0" borderId="43" applyFont="0" applyFill="0" applyBorder="0" applyAlignment="0" applyProtection="0"/>
    <xf numFmtId="0" fontId="1" fillId="0" borderId="43"/>
    <xf numFmtId="9" fontId="27" fillId="0" borderId="0" applyFont="0" applyFill="0" applyBorder="0" applyAlignment="0" applyProtection="0"/>
  </cellStyleXfs>
  <cellXfs count="1373">
    <xf numFmtId="0" fontId="0" fillId="0" borderId="0" xfId="0" applyFont="1" applyAlignment="1"/>
    <xf numFmtId="0" fontId="0" fillId="0" borderId="0" xfId="0" applyFont="1"/>
    <xf numFmtId="0" fontId="5" fillId="0" borderId="1" xfId="0" applyFont="1" applyBorder="1" applyAlignment="1">
      <alignment vertical="center"/>
    </xf>
    <xf numFmtId="0" fontId="5" fillId="0" borderId="1" xfId="0" applyFont="1" applyBorder="1" applyAlignment="1">
      <alignment wrapText="1"/>
    </xf>
    <xf numFmtId="0" fontId="5" fillId="0" borderId="2" xfId="0" applyFont="1" applyBorder="1" applyAlignment="1">
      <alignment wrapText="1"/>
    </xf>
    <xf numFmtId="0" fontId="5" fillId="0" borderId="5" xfId="0" applyFont="1" applyBorder="1" applyAlignment="1">
      <alignment wrapText="1"/>
    </xf>
    <xf numFmtId="0" fontId="5" fillId="0" borderId="6" xfId="0" applyFont="1" applyBorder="1" applyAlignment="1">
      <alignment wrapText="1"/>
    </xf>
    <xf numFmtId="0" fontId="5" fillId="0" borderId="7" xfId="0" applyFont="1" applyBorder="1" applyAlignment="1">
      <alignment horizontal="right" wrapText="1"/>
    </xf>
    <xf numFmtId="0" fontId="5" fillId="0" borderId="7" xfId="0" applyFont="1" applyBorder="1" applyAlignment="1">
      <alignment wrapText="1"/>
    </xf>
    <xf numFmtId="0" fontId="5" fillId="0" borderId="1" xfId="0" applyFont="1" applyBorder="1" applyAlignment="1">
      <alignment horizontal="right" wrapText="1"/>
    </xf>
    <xf numFmtId="9" fontId="5" fillId="0" borderId="7" xfId="0" applyNumberFormat="1" applyFont="1" applyBorder="1" applyAlignment="1">
      <alignment horizontal="right" wrapText="1"/>
    </xf>
    <xf numFmtId="9" fontId="5" fillId="3" borderId="7" xfId="0" applyNumberFormat="1" applyFont="1" applyFill="1" applyBorder="1" applyAlignment="1">
      <alignment horizontal="right" wrapText="1"/>
    </xf>
    <xf numFmtId="0" fontId="8" fillId="2" borderId="2" xfId="0" applyFont="1" applyFill="1" applyBorder="1" applyAlignment="1">
      <alignment horizontal="center" wrapText="1"/>
    </xf>
    <xf numFmtId="0" fontId="8" fillId="2" borderId="6" xfId="0" applyFont="1" applyFill="1" applyBorder="1" applyAlignment="1">
      <alignment horizontal="center" wrapText="1"/>
    </xf>
    <xf numFmtId="0" fontId="8" fillId="2" borderId="7" xfId="0" applyFont="1" applyFill="1" applyBorder="1" applyAlignment="1">
      <alignment horizontal="center" wrapText="1"/>
    </xf>
    <xf numFmtId="0" fontId="5" fillId="3" borderId="7" xfId="0" applyFont="1" applyFill="1" applyBorder="1" applyAlignment="1">
      <alignment horizontal="right" wrapText="1"/>
    </xf>
    <xf numFmtId="0" fontId="9" fillId="0" borderId="0" xfId="0" applyFont="1"/>
    <xf numFmtId="0" fontId="10" fillId="4" borderId="15" xfId="0" applyFont="1" applyFill="1" applyBorder="1" applyAlignment="1">
      <alignment horizontal="center"/>
    </xf>
    <xf numFmtId="0" fontId="10" fillId="4" borderId="15" xfId="0" applyFont="1" applyFill="1" applyBorder="1" applyAlignment="1">
      <alignment horizontal="center" wrapText="1"/>
    </xf>
    <xf numFmtId="0" fontId="11" fillId="0" borderId="16" xfId="0" applyFont="1" applyBorder="1"/>
    <xf numFmtId="0" fontId="11" fillId="0" borderId="17" xfId="0" applyFont="1" applyBorder="1"/>
    <xf numFmtId="0" fontId="0" fillId="0" borderId="16" xfId="0" applyFont="1" applyBorder="1"/>
    <xf numFmtId="0" fontId="11" fillId="6" borderId="16" xfId="0" applyFont="1" applyFill="1" applyBorder="1" applyAlignment="1">
      <alignment horizontal="center"/>
    </xf>
    <xf numFmtId="0" fontId="11" fillId="6" borderId="18" xfId="0" applyFont="1" applyFill="1" applyBorder="1" applyAlignment="1">
      <alignment horizontal="center"/>
    </xf>
    <xf numFmtId="0" fontId="11" fillId="0" borderId="19" xfId="0" applyFont="1" applyBorder="1" applyAlignment="1">
      <alignment horizontal="right"/>
    </xf>
    <xf numFmtId="0" fontId="11" fillId="0" borderId="20" xfId="0" applyFont="1" applyBorder="1" applyAlignment="1">
      <alignment horizontal="right"/>
    </xf>
    <xf numFmtId="0" fontId="0" fillId="0" borderId="16" xfId="0" applyFont="1" applyBorder="1" applyAlignment="1">
      <alignment wrapText="1"/>
    </xf>
    <xf numFmtId="0" fontId="11" fillId="6" borderId="16" xfId="0" applyFont="1" applyFill="1" applyBorder="1" applyAlignment="1">
      <alignment horizontal="left"/>
    </xf>
    <xf numFmtId="0" fontId="11" fillId="0" borderId="0" xfId="0" applyFont="1"/>
    <xf numFmtId="0" fontId="11" fillId="0" borderId="0" xfId="0" applyFont="1" applyAlignment="1">
      <alignment horizontal="right"/>
    </xf>
    <xf numFmtId="0" fontId="11" fillId="6" borderId="18" xfId="0" applyFont="1" applyFill="1" applyBorder="1" applyAlignment="1">
      <alignment horizontal="left"/>
    </xf>
    <xf numFmtId="0" fontId="11" fillId="6" borderId="21" xfId="0" applyFont="1" applyFill="1" applyBorder="1"/>
    <xf numFmtId="0" fontId="11" fillId="8" borderId="22" xfId="0" applyFont="1" applyFill="1" applyBorder="1" applyAlignment="1">
      <alignment horizontal="center"/>
    </xf>
    <xf numFmtId="0" fontId="11" fillId="9" borderId="18" xfId="0" applyFont="1" applyFill="1" applyBorder="1" applyAlignment="1">
      <alignment horizontal="center"/>
    </xf>
    <xf numFmtId="0" fontId="12" fillId="6" borderId="21" xfId="0" applyFont="1" applyFill="1" applyBorder="1" applyAlignment="1">
      <alignment horizontal="left"/>
    </xf>
    <xf numFmtId="0" fontId="11" fillId="6" borderId="18" xfId="0" applyFont="1" applyFill="1" applyBorder="1" applyAlignment="1">
      <alignment horizontal="left" wrapText="1"/>
    </xf>
    <xf numFmtId="0" fontId="11" fillId="11" borderId="18" xfId="0" applyFont="1" applyFill="1" applyBorder="1" applyAlignment="1">
      <alignment horizontal="left"/>
    </xf>
    <xf numFmtId="0" fontId="11" fillId="6" borderId="23" xfId="0" applyFont="1" applyFill="1" applyBorder="1" applyAlignment="1">
      <alignment horizontal="left"/>
    </xf>
    <xf numFmtId="0" fontId="11" fillId="6" borderId="22" xfId="0" applyFont="1" applyFill="1" applyBorder="1" applyAlignment="1">
      <alignment horizontal="center"/>
    </xf>
    <xf numFmtId="0" fontId="11" fillId="13" borderId="22" xfId="0" applyFont="1" applyFill="1" applyBorder="1" applyAlignment="1">
      <alignment horizontal="center"/>
    </xf>
    <xf numFmtId="0" fontId="13" fillId="13" borderId="22" xfId="0" applyFont="1" applyFill="1" applyBorder="1" applyAlignment="1">
      <alignment horizontal="center"/>
    </xf>
    <xf numFmtId="0" fontId="11" fillId="0" borderId="0" xfId="0" applyFont="1" applyAlignment="1">
      <alignment horizontal="center"/>
    </xf>
    <xf numFmtId="0" fontId="15" fillId="3" borderId="16" xfId="0" applyFont="1" applyFill="1" applyBorder="1"/>
    <xf numFmtId="165" fontId="15" fillId="3" borderId="16" xfId="0" applyNumberFormat="1" applyFont="1" applyFill="1" applyBorder="1" applyAlignment="1">
      <alignment horizontal="center"/>
    </xf>
    <xf numFmtId="10" fontId="0" fillId="0" borderId="0" xfId="0" applyNumberFormat="1" applyFont="1"/>
    <xf numFmtId="0" fontId="15" fillId="3" borderId="16" xfId="0" applyFont="1" applyFill="1" applyBorder="1" applyAlignment="1">
      <alignment horizontal="center"/>
    </xf>
    <xf numFmtId="166" fontId="15" fillId="3" borderId="16" xfId="0" applyNumberFormat="1" applyFont="1" applyFill="1" applyBorder="1" applyAlignment="1">
      <alignment horizontal="center"/>
    </xf>
    <xf numFmtId="167" fontId="0" fillId="0" borderId="0" xfId="0" applyNumberFormat="1" applyFont="1"/>
    <xf numFmtId="168" fontId="15" fillId="3" borderId="16" xfId="0" applyNumberFormat="1" applyFont="1" applyFill="1" applyBorder="1" applyAlignment="1">
      <alignment horizontal="center"/>
    </xf>
    <xf numFmtId="0" fontId="15" fillId="3" borderId="16" xfId="0" applyFont="1" applyFill="1" applyBorder="1" applyAlignment="1">
      <alignment vertical="center"/>
    </xf>
    <xf numFmtId="168" fontId="16" fillId="16" borderId="16" xfId="0" applyNumberFormat="1" applyFont="1" applyFill="1" applyBorder="1" applyAlignment="1">
      <alignment horizontal="center" vertical="center"/>
    </xf>
    <xf numFmtId="0" fontId="17" fillId="16" borderId="16" xfId="0" applyFont="1" applyFill="1" applyBorder="1" applyAlignment="1">
      <alignment horizontal="center" wrapText="1"/>
    </xf>
    <xf numFmtId="10" fontId="17" fillId="3" borderId="16" xfId="0" applyNumberFormat="1" applyFont="1" applyFill="1" applyBorder="1" applyAlignment="1">
      <alignment horizontal="center" vertical="center"/>
    </xf>
    <xf numFmtId="169" fontId="16" fillId="16" borderId="16" xfId="0" applyNumberFormat="1" applyFont="1" applyFill="1" applyBorder="1" applyAlignment="1">
      <alignment horizontal="center" vertical="center"/>
    </xf>
    <xf numFmtId="0" fontId="17" fillId="3" borderId="16" xfId="0" applyFont="1" applyFill="1" applyBorder="1" applyAlignment="1">
      <alignment horizontal="center" vertical="center" wrapText="1"/>
    </xf>
    <xf numFmtId="0" fontId="15" fillId="0" borderId="16" xfId="0" applyFont="1" applyBorder="1" applyAlignment="1">
      <alignment horizontal="center" wrapText="1"/>
    </xf>
    <xf numFmtId="0" fontId="15" fillId="0" borderId="16" xfId="0" applyFont="1" applyBorder="1" applyAlignment="1">
      <alignment horizontal="center"/>
    </xf>
    <xf numFmtId="170" fontId="15" fillId="0" borderId="16" xfId="0" applyNumberFormat="1" applyFont="1" applyBorder="1" applyAlignment="1">
      <alignment horizontal="center"/>
    </xf>
    <xf numFmtId="170" fontId="15" fillId="0" borderId="16" xfId="0" applyNumberFormat="1" applyFont="1" applyBorder="1" applyAlignment="1">
      <alignment horizontal="right"/>
    </xf>
    <xf numFmtId="0" fontId="15" fillId="0" borderId="26" xfId="0" applyFont="1" applyBorder="1" applyAlignment="1">
      <alignment horizontal="center" wrapText="1"/>
    </xf>
    <xf numFmtId="170" fontId="15" fillId="0" borderId="26" xfId="0" applyNumberFormat="1" applyFont="1" applyBorder="1" applyAlignment="1">
      <alignment horizontal="center"/>
    </xf>
    <xf numFmtId="0" fontId="15" fillId="17" borderId="16" xfId="0" applyFont="1" applyFill="1" applyBorder="1" applyAlignment="1">
      <alignment horizontal="center" wrapText="1"/>
    </xf>
    <xf numFmtId="170" fontId="15" fillId="17" borderId="16" xfId="0" applyNumberFormat="1" applyFont="1" applyFill="1" applyBorder="1" applyAlignment="1">
      <alignment horizontal="center"/>
    </xf>
    <xf numFmtId="0" fontId="18" fillId="0" borderId="0" xfId="0" applyFont="1"/>
    <xf numFmtId="0" fontId="14" fillId="18" borderId="16" xfId="0" applyFont="1" applyFill="1" applyBorder="1"/>
    <xf numFmtId="0" fontId="17" fillId="16" borderId="22" xfId="0" applyFont="1" applyFill="1" applyBorder="1" applyAlignment="1">
      <alignment horizontal="center" wrapText="1"/>
    </xf>
    <xf numFmtId="0" fontId="19" fillId="0" borderId="19" xfId="0" applyFont="1" applyBorder="1" applyAlignment="1">
      <alignment horizontal="center"/>
    </xf>
    <xf numFmtId="9" fontId="14" fillId="3" borderId="16" xfId="0" applyNumberFormat="1" applyFont="1" applyFill="1" applyBorder="1" applyAlignment="1">
      <alignment horizontal="center"/>
    </xf>
    <xf numFmtId="0" fontId="14" fillId="3" borderId="16" xfId="0" applyFont="1" applyFill="1" applyBorder="1" applyAlignment="1">
      <alignment horizontal="center"/>
    </xf>
    <xf numFmtId="171" fontId="15" fillId="0" borderId="16" xfId="0" applyNumberFormat="1" applyFont="1" applyBorder="1" applyAlignment="1">
      <alignment horizontal="center"/>
    </xf>
    <xf numFmtId="165" fontId="14" fillId="3" borderId="16" xfId="0" applyNumberFormat="1" applyFont="1" applyFill="1" applyBorder="1" applyAlignment="1">
      <alignment horizontal="center"/>
    </xf>
    <xf numFmtId="0" fontId="0" fillId="3" borderId="16" xfId="0" applyFont="1" applyFill="1" applyBorder="1"/>
    <xf numFmtId="165" fontId="9" fillId="3" borderId="16" xfId="0" applyNumberFormat="1" applyFont="1" applyFill="1" applyBorder="1" applyAlignment="1">
      <alignment horizontal="center" wrapText="1"/>
    </xf>
    <xf numFmtId="0" fontId="9" fillId="3" borderId="16" xfId="0" applyFont="1" applyFill="1" applyBorder="1" applyAlignment="1">
      <alignment horizontal="center" wrapText="1"/>
    </xf>
    <xf numFmtId="169" fontId="9" fillId="3" borderId="16" xfId="0" applyNumberFormat="1" applyFont="1" applyFill="1" applyBorder="1" applyAlignment="1">
      <alignment horizontal="center"/>
    </xf>
    <xf numFmtId="171" fontId="20" fillId="3" borderId="16" xfId="0" applyNumberFormat="1" applyFont="1" applyFill="1" applyBorder="1" applyAlignment="1">
      <alignment horizontal="center"/>
    </xf>
    <xf numFmtId="10" fontId="15" fillId="3" borderId="16" xfId="0" applyNumberFormat="1" applyFont="1" applyFill="1" applyBorder="1" applyAlignment="1">
      <alignment horizontal="center"/>
    </xf>
    <xf numFmtId="0" fontId="15" fillId="3" borderId="16" xfId="0" applyFont="1" applyFill="1" applyBorder="1" applyAlignment="1">
      <alignment horizontal="center" vertical="center"/>
    </xf>
    <xf numFmtId="0" fontId="21" fillId="19" borderId="16" xfId="0" applyFont="1" applyFill="1" applyBorder="1" applyAlignment="1">
      <alignment horizontal="center" vertical="center" wrapText="1"/>
    </xf>
    <xf numFmtId="0" fontId="0" fillId="15" borderId="16" xfId="0" applyFont="1" applyFill="1" applyBorder="1"/>
    <xf numFmtId="165" fontId="20" fillId="3" borderId="16" xfId="0" applyNumberFormat="1" applyFont="1" applyFill="1" applyBorder="1" applyAlignment="1">
      <alignment horizontal="center"/>
    </xf>
    <xf numFmtId="0" fontId="22" fillId="0" borderId="0" xfId="0" applyFont="1"/>
    <xf numFmtId="172" fontId="23" fillId="3" borderId="16" xfId="0" applyNumberFormat="1" applyFont="1" applyFill="1" applyBorder="1" applyAlignment="1">
      <alignment horizontal="center"/>
    </xf>
    <xf numFmtId="10" fontId="23" fillId="3" borderId="14" xfId="0" applyNumberFormat="1" applyFont="1" applyFill="1" applyBorder="1" applyAlignment="1">
      <alignment horizontal="center"/>
    </xf>
    <xf numFmtId="9" fontId="20" fillId="3" borderId="16" xfId="0" applyNumberFormat="1" applyFont="1" applyFill="1" applyBorder="1" applyAlignment="1">
      <alignment horizontal="center"/>
    </xf>
    <xf numFmtId="0" fontId="0" fillId="15" borderId="16" xfId="0" applyFont="1" applyFill="1" applyBorder="1" applyAlignment="1">
      <alignment wrapText="1"/>
    </xf>
    <xf numFmtId="171" fontId="20" fillId="3" borderId="28" xfId="0" applyNumberFormat="1" applyFont="1" applyFill="1" applyBorder="1" applyAlignment="1">
      <alignment horizontal="center"/>
    </xf>
    <xf numFmtId="9" fontId="20" fillId="3" borderId="28" xfId="0" applyNumberFormat="1" applyFont="1" applyFill="1" applyBorder="1" applyAlignment="1">
      <alignment horizontal="center"/>
    </xf>
    <xf numFmtId="171" fontId="22" fillId="0" borderId="0" xfId="0" applyNumberFormat="1" applyFont="1"/>
    <xf numFmtId="0" fontId="24" fillId="0" borderId="0" xfId="0" applyFont="1"/>
    <xf numFmtId="2" fontId="0" fillId="0" borderId="16" xfId="0" applyNumberFormat="1" applyFont="1" applyBorder="1"/>
    <xf numFmtId="2" fontId="0" fillId="0" borderId="0" xfId="0" applyNumberFormat="1" applyFont="1"/>
    <xf numFmtId="0" fontId="25" fillId="0" borderId="0" xfId="0" applyFont="1"/>
    <xf numFmtId="10" fontId="0" fillId="3" borderId="16" xfId="0" applyNumberFormat="1" applyFont="1" applyFill="1" applyBorder="1"/>
    <xf numFmtId="0" fontId="23" fillId="17" borderId="16" xfId="0" applyFont="1" applyFill="1" applyBorder="1" applyAlignment="1">
      <alignment horizontal="center" wrapText="1"/>
    </xf>
    <xf numFmtId="0" fontId="23" fillId="0" borderId="16" xfId="0" applyFont="1" applyBorder="1" applyAlignment="1">
      <alignment horizontal="center" wrapText="1"/>
    </xf>
    <xf numFmtId="0" fontId="23" fillId="0" borderId="16" xfId="0" applyFont="1" applyBorder="1" applyAlignment="1">
      <alignment horizontal="center"/>
    </xf>
    <xf numFmtId="170" fontId="23" fillId="0" borderId="16" xfId="0" applyNumberFormat="1" applyFont="1" applyBorder="1" applyAlignment="1">
      <alignment horizontal="right"/>
    </xf>
    <xf numFmtId="170" fontId="23" fillId="0" borderId="16" xfId="0" applyNumberFormat="1" applyFont="1" applyBorder="1" applyAlignment="1">
      <alignment horizontal="center"/>
    </xf>
    <xf numFmtId="170" fontId="23" fillId="17" borderId="16" xfId="0" applyNumberFormat="1" applyFont="1" applyFill="1" applyBorder="1" applyAlignment="1">
      <alignment horizontal="center"/>
    </xf>
    <xf numFmtId="0" fontId="20" fillId="18" borderId="16" xfId="0" applyFont="1" applyFill="1" applyBorder="1" applyAlignment="1">
      <alignment horizontal="center" wrapText="1"/>
    </xf>
    <xf numFmtId="0" fontId="20" fillId="3" borderId="16" xfId="0" applyFont="1" applyFill="1" applyBorder="1" applyAlignment="1">
      <alignment horizontal="center"/>
    </xf>
    <xf numFmtId="171" fontId="20" fillId="0" borderId="16" xfId="0" applyNumberFormat="1" applyFont="1" applyBorder="1" applyAlignment="1">
      <alignment horizontal="center"/>
    </xf>
    <xf numFmtId="0" fontId="22" fillId="3" borderId="16" xfId="0" applyFont="1" applyFill="1" applyBorder="1"/>
    <xf numFmtId="169" fontId="26" fillId="14" borderId="16" xfId="0" applyNumberFormat="1" applyFont="1" applyFill="1" applyBorder="1" applyAlignment="1">
      <alignment horizontal="right"/>
    </xf>
    <xf numFmtId="0" fontId="26" fillId="3" borderId="16" xfId="0" applyFont="1" applyFill="1" applyBorder="1"/>
    <xf numFmtId="169" fontId="26" fillId="3" borderId="16" xfId="0" applyNumberFormat="1" applyFont="1" applyFill="1" applyBorder="1" applyAlignment="1">
      <alignment horizontal="right"/>
    </xf>
    <xf numFmtId="0" fontId="26" fillId="3" borderId="16" xfId="0" applyFont="1" applyFill="1" applyBorder="1" applyAlignment="1">
      <alignment horizontal="center"/>
    </xf>
    <xf numFmtId="0" fontId="25" fillId="0" borderId="16" xfId="0" applyFont="1" applyBorder="1"/>
    <xf numFmtId="0" fontId="25" fillId="3" borderId="16" xfId="0" applyFont="1" applyFill="1" applyBorder="1"/>
    <xf numFmtId="165" fontId="26" fillId="0" borderId="16" xfId="0" applyNumberFormat="1" applyFont="1" applyBorder="1" applyAlignment="1">
      <alignment horizontal="center"/>
    </xf>
    <xf numFmtId="165" fontId="26" fillId="18" borderId="16" xfId="0" applyNumberFormat="1" applyFont="1" applyFill="1" applyBorder="1" applyAlignment="1">
      <alignment horizontal="center"/>
    </xf>
    <xf numFmtId="0" fontId="26" fillId="18" borderId="16" xfId="0" applyFont="1" applyFill="1" applyBorder="1" applyAlignment="1">
      <alignment horizontal="center"/>
    </xf>
    <xf numFmtId="165" fontId="26" fillId="0" borderId="16" xfId="0" applyNumberFormat="1" applyFont="1" applyBorder="1"/>
    <xf numFmtId="171" fontId="26" fillId="0" borderId="16" xfId="0" applyNumberFormat="1" applyFont="1" applyBorder="1" applyAlignment="1">
      <alignment horizontal="center"/>
    </xf>
    <xf numFmtId="169" fontId="26" fillId="0" borderId="16" xfId="0" applyNumberFormat="1" applyFont="1" applyBorder="1" applyAlignment="1">
      <alignment horizontal="center"/>
    </xf>
    <xf numFmtId="173" fontId="26" fillId="0" borderId="16" xfId="0" applyNumberFormat="1" applyFont="1" applyBorder="1" applyAlignment="1">
      <alignment horizontal="center"/>
    </xf>
    <xf numFmtId="165" fontId="26" fillId="20" borderId="16" xfId="0" applyNumberFormat="1" applyFont="1" applyFill="1" applyBorder="1" applyAlignment="1">
      <alignment horizontal="center"/>
    </xf>
    <xf numFmtId="165" fontId="26" fillId="3" borderId="16" xfId="0" applyNumberFormat="1" applyFont="1" applyFill="1" applyBorder="1" applyAlignment="1">
      <alignment horizontal="center"/>
    </xf>
    <xf numFmtId="0" fontId="26" fillId="3" borderId="16" xfId="0" applyFont="1" applyFill="1" applyBorder="1" applyAlignment="1">
      <alignment horizontal="center" wrapText="1"/>
    </xf>
    <xf numFmtId="173" fontId="26" fillId="3" borderId="16" xfId="0" applyNumberFormat="1" applyFont="1" applyFill="1" applyBorder="1" applyAlignment="1">
      <alignment horizontal="right"/>
    </xf>
    <xf numFmtId="173" fontId="26" fillId="14" borderId="16" xfId="0" applyNumberFormat="1" applyFont="1" applyFill="1" applyBorder="1" applyAlignment="1">
      <alignment horizontal="right"/>
    </xf>
    <xf numFmtId="0" fontId="0" fillId="21" borderId="16" xfId="0" applyFont="1" applyFill="1" applyBorder="1" applyAlignment="1">
      <alignment horizontal="center"/>
    </xf>
    <xf numFmtId="0" fontId="0" fillId="21" borderId="16" xfId="0" applyFont="1" applyFill="1" applyBorder="1" applyAlignment="1">
      <alignment horizontal="left"/>
    </xf>
    <xf numFmtId="0" fontId="0" fillId="0" borderId="16" xfId="0" applyFont="1" applyBorder="1" applyAlignment="1">
      <alignment horizontal="center"/>
    </xf>
    <xf numFmtId="0" fontId="28" fillId="0" borderId="43" xfId="1" applyFont="1" applyAlignment="1">
      <alignment wrapText="1"/>
    </xf>
    <xf numFmtId="0" fontId="29" fillId="11" borderId="43" xfId="1" applyFont="1" applyFill="1" applyAlignment="1">
      <alignment horizontal="center" vertical="center" wrapText="1"/>
    </xf>
    <xf numFmtId="171" fontId="29" fillId="0" borderId="43" xfId="1" applyNumberFormat="1" applyFont="1" applyAlignment="1">
      <alignment horizontal="center" vertical="center" wrapText="1"/>
    </xf>
    <xf numFmtId="174" fontId="29" fillId="11" borderId="43" xfId="1" applyNumberFormat="1" applyFont="1" applyFill="1" applyAlignment="1">
      <alignment vertical="center" wrapText="1"/>
    </xf>
    <xf numFmtId="0" fontId="29" fillId="11" borderId="43" xfId="1" applyFont="1" applyFill="1" applyAlignment="1">
      <alignment horizontal="center" wrapText="1"/>
    </xf>
    <xf numFmtId="0" fontId="28" fillId="11" borderId="43" xfId="1" applyFont="1" applyFill="1" applyAlignment="1">
      <alignment wrapText="1"/>
    </xf>
    <xf numFmtId="0" fontId="0" fillId="0" borderId="43" xfId="1" applyFont="1"/>
    <xf numFmtId="0" fontId="34" fillId="3" borderId="16" xfId="1" applyFont="1" applyFill="1" applyBorder="1" applyAlignment="1">
      <alignment horizontal="center" wrapText="1"/>
    </xf>
    <xf numFmtId="173" fontId="34" fillId="3" borderId="16" xfId="1" applyNumberFormat="1" applyFont="1" applyFill="1" applyBorder="1" applyAlignment="1">
      <alignment horizontal="center" wrapText="1"/>
    </xf>
    <xf numFmtId="173" fontId="34" fillId="14" borderId="16" xfId="1" applyNumberFormat="1" applyFont="1" applyFill="1" applyBorder="1" applyAlignment="1">
      <alignment horizontal="center" vertical="center" wrapText="1"/>
    </xf>
    <xf numFmtId="173" fontId="34" fillId="23" borderId="16" xfId="1" applyNumberFormat="1" applyFont="1" applyFill="1" applyBorder="1" applyAlignment="1">
      <alignment horizontal="center" vertical="center" wrapText="1"/>
    </xf>
    <xf numFmtId="173" fontId="34" fillId="3" borderId="16" xfId="1" applyNumberFormat="1" applyFont="1" applyFill="1" applyBorder="1" applyAlignment="1">
      <alignment horizontal="center" vertical="center" wrapText="1"/>
    </xf>
    <xf numFmtId="173" fontId="34" fillId="17" borderId="16" xfId="1" applyNumberFormat="1" applyFont="1" applyFill="1" applyBorder="1" applyAlignment="1">
      <alignment horizontal="center" vertical="center" wrapText="1"/>
    </xf>
    <xf numFmtId="9" fontId="34" fillId="24" borderId="16" xfId="1" applyNumberFormat="1" applyFont="1" applyFill="1" applyBorder="1" applyAlignment="1">
      <alignment horizontal="center" vertical="center" wrapText="1"/>
    </xf>
    <xf numFmtId="173" fontId="34" fillId="24" borderId="16" xfId="1" applyNumberFormat="1" applyFont="1" applyFill="1" applyBorder="1" applyAlignment="1">
      <alignment horizontal="center" vertical="center" wrapText="1"/>
    </xf>
    <xf numFmtId="0" fontId="0" fillId="27" borderId="44" xfId="1" applyFont="1" applyFill="1" applyBorder="1"/>
    <xf numFmtId="0" fontId="0" fillId="27" borderId="43" xfId="1" applyFont="1" applyFill="1"/>
    <xf numFmtId="9" fontId="35" fillId="24" borderId="16" xfId="1" applyNumberFormat="1" applyFont="1" applyFill="1" applyBorder="1" applyAlignment="1">
      <alignment horizontal="center" vertical="center" wrapText="1"/>
    </xf>
    <xf numFmtId="173" fontId="35" fillId="24" borderId="16" xfId="1" applyNumberFormat="1" applyFont="1" applyFill="1" applyBorder="1" applyAlignment="1">
      <alignment horizontal="center" vertical="center" wrapText="1"/>
    </xf>
    <xf numFmtId="9" fontId="34" fillId="14" borderId="16" xfId="1" applyNumberFormat="1" applyFont="1" applyFill="1" applyBorder="1" applyAlignment="1">
      <alignment horizontal="center" vertical="center" wrapText="1"/>
    </xf>
    <xf numFmtId="9" fontId="35" fillId="25" borderId="16" xfId="1" applyNumberFormat="1" applyFont="1" applyFill="1" applyBorder="1" applyAlignment="1">
      <alignment horizontal="center" vertical="center" wrapText="1"/>
    </xf>
    <xf numFmtId="173" fontId="35" fillId="25" borderId="16" xfId="1" applyNumberFormat="1" applyFont="1" applyFill="1" applyBorder="1" applyAlignment="1">
      <alignment horizontal="center" vertical="center" wrapText="1"/>
    </xf>
    <xf numFmtId="9" fontId="34" fillId="17" borderId="16" xfId="1" applyNumberFormat="1" applyFont="1" applyFill="1" applyBorder="1" applyAlignment="1">
      <alignment horizontal="center" vertical="center" wrapText="1"/>
    </xf>
    <xf numFmtId="173" fontId="34" fillId="15" borderId="16" xfId="1" applyNumberFormat="1" applyFont="1" applyFill="1" applyBorder="1" applyAlignment="1">
      <alignment horizontal="center" vertical="center" wrapText="1"/>
    </xf>
    <xf numFmtId="9" fontId="34" fillId="3" borderId="16" xfId="1" applyNumberFormat="1" applyFont="1" applyFill="1" applyBorder="1" applyAlignment="1">
      <alignment horizontal="center" vertical="center" wrapText="1"/>
    </xf>
    <xf numFmtId="173" fontId="34" fillId="22" borderId="16" xfId="1" applyNumberFormat="1" applyFont="1" applyFill="1" applyBorder="1" applyAlignment="1">
      <alignment horizontal="center" vertical="center" wrapText="1"/>
    </xf>
    <xf numFmtId="173" fontId="35" fillId="0" borderId="16" xfId="1" applyNumberFormat="1" applyFont="1" applyBorder="1" applyAlignment="1">
      <alignment horizontal="center" vertical="center" wrapText="1"/>
    </xf>
    <xf numFmtId="173" fontId="34" fillId="11" borderId="43" xfId="1" applyNumberFormat="1" applyFont="1" applyFill="1" applyAlignment="1">
      <alignment horizontal="center" vertical="center" wrapText="1"/>
    </xf>
    <xf numFmtId="173" fontId="34" fillId="3" borderId="17" xfId="1" applyNumberFormat="1" applyFont="1" applyFill="1" applyBorder="1" applyAlignment="1">
      <alignment horizontal="center" vertical="center" wrapText="1"/>
    </xf>
    <xf numFmtId="0" fontId="34" fillId="0" borderId="43" xfId="1" applyFont="1" applyAlignment="1">
      <alignment horizontal="center" vertical="center" wrapText="1"/>
    </xf>
    <xf numFmtId="0" fontId="34" fillId="15" borderId="16" xfId="1" applyFont="1" applyFill="1" applyBorder="1" applyAlignment="1">
      <alignment horizontal="center" vertical="center" wrapText="1"/>
    </xf>
    <xf numFmtId="166" fontId="34" fillId="15" borderId="16" xfId="1" applyNumberFormat="1" applyFont="1" applyFill="1" applyBorder="1" applyAlignment="1">
      <alignment horizontal="center" vertical="center" wrapText="1"/>
    </xf>
    <xf numFmtId="0" fontId="29" fillId="11" borderId="43" xfId="1" applyFont="1" applyFill="1" applyAlignment="1">
      <alignment wrapText="1"/>
    </xf>
    <xf numFmtId="0" fontId="30" fillId="21" borderId="16" xfId="1" applyFont="1" applyFill="1" applyBorder="1" applyAlignment="1">
      <alignment horizontal="center" vertical="center" wrapText="1"/>
    </xf>
    <xf numFmtId="0" fontId="30" fillId="3" borderId="16" xfId="1" applyFont="1" applyFill="1" applyBorder="1" applyAlignment="1">
      <alignment horizontal="center" vertical="center" wrapText="1"/>
    </xf>
    <xf numFmtId="0" fontId="30" fillId="11" borderId="43" xfId="1" applyFont="1" applyFill="1" applyAlignment="1">
      <alignment wrapText="1"/>
    </xf>
    <xf numFmtId="165" fontId="30" fillId="26" borderId="16" xfId="1" applyNumberFormat="1" applyFont="1" applyFill="1" applyBorder="1" applyAlignment="1">
      <alignment vertical="center" wrapText="1"/>
    </xf>
    <xf numFmtId="165" fontId="30" fillId="3" borderId="16" xfId="1" applyNumberFormat="1" applyFont="1" applyFill="1" applyBorder="1" applyAlignment="1">
      <alignment wrapText="1"/>
    </xf>
    <xf numFmtId="165" fontId="29" fillId="11" borderId="43" xfId="1" applyNumberFormat="1" applyFont="1" applyFill="1" applyAlignment="1">
      <alignment wrapText="1"/>
    </xf>
    <xf numFmtId="0" fontId="30" fillId="23" borderId="16" xfId="1" applyFont="1" applyFill="1" applyBorder="1" applyAlignment="1">
      <alignment horizontal="center" vertical="center" wrapText="1"/>
    </xf>
    <xf numFmtId="9" fontId="30" fillId="3" borderId="16" xfId="1" applyNumberFormat="1" applyFont="1" applyFill="1" applyBorder="1" applyAlignment="1">
      <alignment horizontal="center" vertical="center" wrapText="1"/>
    </xf>
    <xf numFmtId="173" fontId="30" fillId="3" borderId="16" xfId="1" applyNumberFormat="1" applyFont="1" applyFill="1" applyBorder="1" applyAlignment="1">
      <alignment horizontal="center" vertical="center" wrapText="1"/>
    </xf>
    <xf numFmtId="0" fontId="30" fillId="24" borderId="16" xfId="1" applyFont="1" applyFill="1" applyBorder="1" applyAlignment="1">
      <alignment horizontal="center" vertical="center" wrapText="1"/>
    </xf>
    <xf numFmtId="172" fontId="30" fillId="23" borderId="16" xfId="1" applyNumberFormat="1" applyFont="1" applyFill="1" applyBorder="1" applyAlignment="1">
      <alignment horizontal="center" vertical="center" wrapText="1"/>
    </xf>
    <xf numFmtId="0" fontId="30" fillId="3" borderId="16" xfId="1" applyFont="1" applyFill="1" applyBorder="1" applyAlignment="1">
      <alignment horizontal="center" wrapText="1"/>
    </xf>
    <xf numFmtId="9" fontId="30" fillId="3" borderId="16" xfId="1" applyNumberFormat="1" applyFont="1" applyFill="1" applyBorder="1" applyAlignment="1">
      <alignment horizontal="center" wrapText="1"/>
    </xf>
    <xf numFmtId="173" fontId="30" fillId="3" borderId="16" xfId="1" applyNumberFormat="1" applyFont="1" applyFill="1" applyBorder="1" applyAlignment="1">
      <alignment wrapText="1"/>
    </xf>
    <xf numFmtId="0" fontId="30" fillId="24" borderId="16" xfId="1" applyFont="1" applyFill="1" applyBorder="1" applyAlignment="1">
      <alignment horizontal="center" wrapText="1"/>
    </xf>
    <xf numFmtId="10" fontId="34" fillId="21" borderId="16" xfId="1" applyNumberFormat="1" applyFont="1" applyFill="1" applyBorder="1" applyAlignment="1">
      <alignment horizontal="center" wrapText="1"/>
    </xf>
    <xf numFmtId="0" fontId="34" fillId="21" borderId="16" xfId="1" applyFont="1" applyFill="1" applyBorder="1" applyAlignment="1">
      <alignment horizontal="center" wrapText="1"/>
    </xf>
    <xf numFmtId="0" fontId="30" fillId="3" borderId="16" xfId="1" applyFont="1" applyFill="1" applyBorder="1" applyAlignment="1">
      <alignment wrapText="1"/>
    </xf>
    <xf numFmtId="0" fontId="36" fillId="11" borderId="43" xfId="1" applyFont="1" applyFill="1" applyAlignment="1">
      <alignment wrapText="1"/>
    </xf>
    <xf numFmtId="172" fontId="30" fillId="3" borderId="16" xfId="1" applyNumberFormat="1" applyFont="1" applyFill="1" applyBorder="1" applyAlignment="1">
      <alignment horizontal="center" wrapText="1"/>
    </xf>
    <xf numFmtId="164" fontId="28" fillId="0" borderId="43" xfId="1" applyNumberFormat="1" applyFont="1" applyAlignment="1">
      <alignment wrapText="1"/>
    </xf>
    <xf numFmtId="0" fontId="29" fillId="0" borderId="43" xfId="1" applyFont="1" applyAlignment="1">
      <alignment wrapText="1"/>
    </xf>
    <xf numFmtId="0" fontId="29" fillId="21" borderId="43" xfId="1" applyFont="1" applyFill="1" applyAlignment="1">
      <alignment horizontal="center" wrapText="1"/>
    </xf>
    <xf numFmtId="0" fontId="29" fillId="3" borderId="24" xfId="1" applyFont="1" applyFill="1" applyBorder="1" applyAlignment="1">
      <alignment horizontal="center" wrapText="1"/>
    </xf>
    <xf numFmtId="173" fontId="29" fillId="3" borderId="16" xfId="1" applyNumberFormat="1" applyFont="1" applyFill="1" applyBorder="1" applyAlignment="1">
      <alignment horizontal="center" wrapText="1"/>
    </xf>
    <xf numFmtId="173" fontId="29" fillId="3" borderId="16" xfId="1" applyNumberFormat="1" applyFont="1" applyFill="1" applyBorder="1" applyAlignment="1">
      <alignment wrapText="1"/>
    </xf>
    <xf numFmtId="173" fontId="29" fillId="14" borderId="17" xfId="1" applyNumberFormat="1" applyFont="1" applyFill="1" applyBorder="1" applyAlignment="1">
      <alignment horizontal="center" wrapText="1"/>
    </xf>
    <xf numFmtId="0" fontId="29" fillId="3" borderId="16" xfId="1" applyFont="1" applyFill="1" applyBorder="1" applyAlignment="1">
      <alignment horizontal="center" wrapText="1"/>
    </xf>
    <xf numFmtId="0" fontId="29" fillId="3" borderId="16" xfId="1" applyFont="1" applyFill="1" applyBorder="1" applyAlignment="1">
      <alignment wrapText="1"/>
    </xf>
    <xf numFmtId="0" fontId="30" fillId="0" borderId="43" xfId="1" applyFont="1" applyAlignment="1">
      <alignment wrapText="1"/>
    </xf>
    <xf numFmtId="0" fontId="30" fillId="0" borderId="43" xfId="1" applyFont="1" applyAlignment="1">
      <alignment horizontal="center" wrapText="1"/>
    </xf>
    <xf numFmtId="0" fontId="29" fillId="3" borderId="16" xfId="1" applyFont="1" applyFill="1" applyBorder="1" applyAlignment="1">
      <alignment horizontal="center" vertical="center" wrapText="1"/>
    </xf>
    <xf numFmtId="173" fontId="30" fillId="21" borderId="16" xfId="1" applyNumberFormat="1" applyFont="1" applyFill="1" applyBorder="1" applyAlignment="1">
      <alignment horizontal="center" vertical="center" wrapText="1"/>
    </xf>
    <xf numFmtId="173" fontId="29" fillId="3" borderId="16" xfId="1" applyNumberFormat="1" applyFont="1" applyFill="1" applyBorder="1" applyAlignment="1">
      <alignment horizontal="center" vertical="center" wrapText="1"/>
    </xf>
    <xf numFmtId="0" fontId="37" fillId="0" borderId="43" xfId="2" applyFont="1" applyAlignment="1">
      <alignment wrapText="1"/>
    </xf>
    <xf numFmtId="0" fontId="37" fillId="28" borderId="43" xfId="2" applyFont="1" applyFill="1" applyAlignment="1">
      <alignment wrapText="1"/>
    </xf>
    <xf numFmtId="0" fontId="38" fillId="28" borderId="43" xfId="2" applyFont="1" applyFill="1" applyAlignment="1">
      <alignment horizontal="center" wrapText="1"/>
    </xf>
    <xf numFmtId="0" fontId="38" fillId="28" borderId="43" xfId="2" applyFont="1" applyFill="1" applyAlignment="1">
      <alignment horizontal="center" vertical="center" wrapText="1"/>
    </xf>
    <xf numFmtId="0" fontId="39" fillId="0" borderId="43" xfId="2" applyFont="1" applyAlignment="1">
      <alignment wrapText="1"/>
    </xf>
    <xf numFmtId="0" fontId="40" fillId="0" borderId="43" xfId="2" applyFont="1" applyAlignment="1">
      <alignment wrapText="1"/>
    </xf>
    <xf numFmtId="0" fontId="40" fillId="28" borderId="43" xfId="2" applyFont="1" applyFill="1" applyAlignment="1">
      <alignment wrapText="1"/>
    </xf>
    <xf numFmtId="0" fontId="39" fillId="28" borderId="43" xfId="2" applyFont="1" applyFill="1" applyAlignment="1">
      <alignment horizontal="center" vertical="center" wrapText="1"/>
    </xf>
    <xf numFmtId="0" fontId="39" fillId="28" borderId="43" xfId="2" applyFont="1" applyFill="1" applyAlignment="1">
      <alignment wrapText="1"/>
    </xf>
    <xf numFmtId="0" fontId="39" fillId="27" borderId="45" xfId="2" applyFont="1" applyFill="1" applyBorder="1" applyAlignment="1">
      <alignment horizontal="center" vertical="center" wrapText="1"/>
    </xf>
    <xf numFmtId="0" fontId="39" fillId="0" borderId="45" xfId="2" applyFont="1" applyBorder="1" applyAlignment="1">
      <alignment horizontal="center" vertical="center" wrapText="1"/>
    </xf>
    <xf numFmtId="0" fontId="39" fillId="0" borderId="45" xfId="2" applyFont="1" applyBorder="1" applyAlignment="1">
      <alignment wrapText="1"/>
    </xf>
    <xf numFmtId="0" fontId="39" fillId="0" borderId="45" xfId="2" applyFont="1" applyBorder="1" applyAlignment="1">
      <alignment horizontal="center" wrapText="1"/>
    </xf>
    <xf numFmtId="178" fontId="39" fillId="0" borderId="45" xfId="4" applyFont="1" applyBorder="1" applyAlignment="1">
      <alignment horizontal="center" wrapText="1"/>
    </xf>
    <xf numFmtId="0" fontId="39" fillId="28" borderId="45" xfId="2" applyFont="1" applyFill="1" applyBorder="1" applyAlignment="1">
      <alignment wrapText="1"/>
    </xf>
    <xf numFmtId="0" fontId="38" fillId="28" borderId="43" xfId="2" applyFont="1" applyFill="1" applyAlignment="1">
      <alignment wrapText="1"/>
    </xf>
    <xf numFmtId="179" fontId="38" fillId="0" borderId="43" xfId="4" applyNumberFormat="1" applyFont="1" applyBorder="1" applyAlignment="1">
      <alignment horizontal="center" vertical="center" wrapText="1"/>
    </xf>
    <xf numFmtId="178" fontId="38" fillId="27" borderId="45" xfId="4" applyFont="1" applyFill="1" applyBorder="1" applyAlignment="1">
      <alignment horizontal="center" vertical="center" wrapText="1"/>
    </xf>
    <xf numFmtId="178" fontId="38" fillId="27" borderId="45" xfId="4" applyFont="1" applyFill="1" applyBorder="1" applyAlignment="1">
      <alignment wrapText="1"/>
    </xf>
    <xf numFmtId="178" fontId="39" fillId="27" borderId="45" xfId="4" applyFont="1" applyFill="1" applyBorder="1" applyAlignment="1">
      <alignment vertical="center" wrapText="1"/>
    </xf>
    <xf numFmtId="178" fontId="38" fillId="27" borderId="45" xfId="4" applyFont="1" applyFill="1" applyBorder="1" applyAlignment="1">
      <alignment vertical="center" wrapText="1"/>
    </xf>
    <xf numFmtId="178" fontId="39" fillId="27" borderId="45" xfId="4" applyFont="1" applyFill="1" applyBorder="1" applyAlignment="1">
      <alignment horizontal="center" vertical="center" wrapText="1"/>
    </xf>
    <xf numFmtId="178" fontId="38" fillId="28" borderId="43" xfId="4" applyFont="1" applyFill="1" applyBorder="1" applyAlignment="1">
      <alignment wrapText="1"/>
    </xf>
    <xf numFmtId="0" fontId="38" fillId="0" borderId="43" xfId="2" applyFont="1" applyAlignment="1">
      <alignment wrapText="1"/>
    </xf>
    <xf numFmtId="0" fontId="38" fillId="30" borderId="45" xfId="2" applyFont="1" applyFill="1" applyBorder="1" applyAlignment="1">
      <alignment horizontal="center" vertical="center" wrapText="1"/>
    </xf>
    <xf numFmtId="0" fontId="38" fillId="27" borderId="45" xfId="2" applyFont="1" applyFill="1" applyBorder="1" applyAlignment="1">
      <alignment horizontal="center" vertical="center" wrapText="1"/>
    </xf>
    <xf numFmtId="0" fontId="38" fillId="27" borderId="45" xfId="2" applyFont="1" applyFill="1" applyBorder="1" applyAlignment="1">
      <alignment wrapText="1"/>
    </xf>
    <xf numFmtId="178" fontId="39" fillId="27" borderId="45" xfId="2" applyNumberFormat="1" applyFont="1" applyFill="1" applyBorder="1" applyAlignment="1">
      <alignment wrapText="1"/>
    </xf>
    <xf numFmtId="0" fontId="38" fillId="35" borderId="45" xfId="2" applyFont="1" applyFill="1" applyBorder="1" applyAlignment="1">
      <alignment horizontal="center" vertical="center" wrapText="1"/>
    </xf>
    <xf numFmtId="0" fontId="39" fillId="33" borderId="45" xfId="2" applyFont="1" applyFill="1" applyBorder="1" applyAlignment="1">
      <alignment horizontal="center" vertical="center" wrapText="1"/>
    </xf>
    <xf numFmtId="0" fontId="39" fillId="27" borderId="45" xfId="2" applyFont="1" applyFill="1" applyBorder="1" applyAlignment="1">
      <alignment wrapText="1"/>
    </xf>
    <xf numFmtId="0" fontId="39" fillId="33" borderId="45" xfId="2" applyFont="1" applyFill="1" applyBorder="1" applyAlignment="1">
      <alignment horizontal="center" wrapText="1"/>
    </xf>
    <xf numFmtId="0" fontId="38" fillId="27" borderId="45" xfId="2" applyFont="1" applyFill="1" applyBorder="1" applyAlignment="1">
      <alignment horizontal="center" wrapText="1"/>
    </xf>
    <xf numFmtId="172" fontId="38" fillId="27" borderId="45" xfId="2" applyNumberFormat="1" applyFont="1" applyFill="1" applyBorder="1" applyAlignment="1">
      <alignment horizontal="center" wrapText="1"/>
    </xf>
    <xf numFmtId="0" fontId="38" fillId="27" borderId="46" xfId="2" applyFont="1" applyFill="1" applyBorder="1" applyAlignment="1">
      <alignment horizontal="center" wrapText="1"/>
    </xf>
    <xf numFmtId="0" fontId="38" fillId="33" borderId="45" xfId="2" applyFont="1" applyFill="1" applyBorder="1" applyAlignment="1">
      <alignment horizontal="center" vertical="center" wrapText="1"/>
    </xf>
    <xf numFmtId="0" fontId="37" fillId="36" borderId="43" xfId="2" applyFont="1" applyFill="1" applyAlignment="1">
      <alignment wrapText="1"/>
    </xf>
    <xf numFmtId="43" fontId="38" fillId="0" borderId="43" xfId="2" applyNumberFormat="1" applyFont="1" applyAlignment="1">
      <alignment wrapText="1"/>
    </xf>
    <xf numFmtId="0" fontId="38" fillId="27" borderId="46" xfId="2" applyFont="1" applyFill="1" applyBorder="1" applyAlignment="1">
      <alignment wrapText="1"/>
    </xf>
    <xf numFmtId="0" fontId="42" fillId="29" borderId="45" xfId="2" applyFont="1" applyFill="1" applyBorder="1" applyAlignment="1">
      <alignment horizontal="center" vertical="center" wrapText="1"/>
    </xf>
    <xf numFmtId="0" fontId="38" fillId="33" borderId="45" xfId="2" applyFont="1" applyFill="1" applyBorder="1" applyAlignment="1">
      <alignment horizontal="center" wrapText="1"/>
    </xf>
    <xf numFmtId="0" fontId="38" fillId="27" borderId="43" xfId="2" applyFont="1" applyFill="1" applyAlignment="1">
      <alignment wrapText="1"/>
    </xf>
    <xf numFmtId="166" fontId="44" fillId="35" borderId="43" xfId="2" applyNumberFormat="1" applyFont="1" applyFill="1" applyAlignment="1">
      <alignment horizontal="center" vertical="center" wrapText="1"/>
    </xf>
    <xf numFmtId="0" fontId="45" fillId="27" borderId="43" xfId="2" applyFont="1" applyFill="1" applyAlignment="1">
      <alignment horizontal="center" vertical="center" wrapText="1"/>
    </xf>
    <xf numFmtId="168" fontId="37" fillId="28" borderId="43" xfId="2" applyNumberFormat="1" applyFont="1" applyFill="1" applyAlignment="1">
      <alignment wrapText="1"/>
    </xf>
    <xf numFmtId="0" fontId="45" fillId="27" borderId="45" xfId="2" applyFont="1" applyFill="1" applyBorder="1" applyAlignment="1">
      <alignment horizontal="center" vertical="center" wrapText="1"/>
    </xf>
    <xf numFmtId="168" fontId="39" fillId="27" borderId="45" xfId="2" applyNumberFormat="1" applyFont="1" applyFill="1" applyBorder="1" applyAlignment="1">
      <alignment horizontal="center" vertical="center"/>
    </xf>
    <xf numFmtId="178" fontId="39" fillId="27" borderId="45" xfId="2" applyNumberFormat="1" applyFont="1" applyFill="1" applyBorder="1" applyAlignment="1">
      <alignment horizontal="center" vertical="center"/>
    </xf>
    <xf numFmtId="180" fontId="39" fillId="27" borderId="45" xfId="2" applyNumberFormat="1" applyFont="1" applyFill="1" applyBorder="1" applyAlignment="1">
      <alignment horizontal="center" vertical="center"/>
    </xf>
    <xf numFmtId="0" fontId="39" fillId="27" borderId="45" xfId="2" applyFont="1" applyFill="1" applyBorder="1" applyAlignment="1">
      <alignment horizontal="center" vertical="center"/>
    </xf>
    <xf numFmtId="0" fontId="46" fillId="0" borderId="43" xfId="2" applyFont="1" applyAlignment="1">
      <alignment wrapText="1"/>
    </xf>
    <xf numFmtId="0" fontId="38" fillId="0" borderId="45" xfId="2" applyFont="1" applyBorder="1" applyAlignment="1">
      <alignment horizontal="center" wrapText="1"/>
    </xf>
    <xf numFmtId="0" fontId="38" fillId="0" borderId="45" xfId="2" applyFont="1" applyBorder="1" applyAlignment="1">
      <alignment horizontal="center" vertical="center" wrapText="1"/>
    </xf>
    <xf numFmtId="9" fontId="37" fillId="35" borderId="45" xfId="2" applyNumberFormat="1" applyFont="1" applyFill="1" applyBorder="1" applyAlignment="1">
      <alignment horizontal="center" wrapText="1"/>
    </xf>
    <xf numFmtId="178" fontId="39" fillId="0" borderId="45" xfId="2" applyNumberFormat="1" applyFont="1" applyBorder="1" applyAlignment="1">
      <alignment horizontal="center" wrapText="1"/>
    </xf>
    <xf numFmtId="4" fontId="38" fillId="27" borderId="46" xfId="2" applyNumberFormat="1" applyFont="1" applyFill="1" applyBorder="1" applyAlignment="1">
      <alignment horizontal="right" wrapText="1"/>
    </xf>
    <xf numFmtId="4" fontId="38" fillId="27" borderId="45" xfId="2" applyNumberFormat="1" applyFont="1" applyFill="1" applyBorder="1" applyAlignment="1">
      <alignment wrapText="1"/>
    </xf>
    <xf numFmtId="178" fontId="38" fillId="27" borderId="45" xfId="2" applyNumberFormat="1" applyFont="1" applyFill="1" applyBorder="1" applyAlignment="1">
      <alignment horizontal="right" wrapText="1"/>
    </xf>
    <xf numFmtId="178" fontId="38" fillId="27" borderId="45" xfId="4" applyFont="1" applyFill="1" applyBorder="1" applyAlignment="1">
      <alignment horizontal="center" wrapText="1"/>
    </xf>
    <xf numFmtId="0" fontId="38" fillId="35" borderId="45" xfId="2" applyFont="1" applyFill="1" applyBorder="1" applyAlignment="1">
      <alignment horizontal="center" wrapText="1"/>
    </xf>
    <xf numFmtId="181" fontId="38" fillId="35" borderId="45" xfId="2" applyNumberFormat="1" applyFont="1" applyFill="1" applyBorder="1" applyAlignment="1">
      <alignment horizontal="center" wrapText="1"/>
    </xf>
    <xf numFmtId="4" fontId="38" fillId="27" borderId="45" xfId="2" applyNumberFormat="1" applyFont="1" applyFill="1" applyBorder="1" applyAlignment="1">
      <alignment horizontal="right" wrapText="1"/>
    </xf>
    <xf numFmtId="178" fontId="39" fillId="35" borderId="59" xfId="2" applyNumberFormat="1" applyFont="1" applyFill="1" applyBorder="1" applyAlignment="1">
      <alignment horizontal="center" wrapText="1"/>
    </xf>
    <xf numFmtId="43" fontId="37" fillId="0" borderId="43" xfId="2" applyNumberFormat="1" applyFont="1" applyAlignment="1">
      <alignment wrapText="1"/>
    </xf>
    <xf numFmtId="178" fontId="38" fillId="27" borderId="45" xfId="2" applyNumberFormat="1" applyFont="1" applyFill="1" applyBorder="1" applyAlignment="1">
      <alignment horizontal="center" wrapText="1"/>
    </xf>
    <xf numFmtId="178" fontId="47" fillId="27" borderId="45" xfId="4" applyFont="1" applyFill="1" applyBorder="1" applyAlignment="1">
      <alignment horizontal="center" wrapText="1"/>
    </xf>
    <xf numFmtId="178" fontId="38" fillId="35" borderId="45" xfId="2" applyNumberFormat="1" applyFont="1" applyFill="1" applyBorder="1" applyAlignment="1">
      <alignment horizontal="center" wrapText="1"/>
    </xf>
    <xf numFmtId="0" fontId="39" fillId="0" borderId="50" xfId="2" applyFont="1" applyBorder="1" applyAlignment="1">
      <alignment horizontal="center" wrapText="1"/>
    </xf>
    <xf numFmtId="178" fontId="38" fillId="35" borderId="50" xfId="2" applyNumberFormat="1" applyFont="1" applyFill="1" applyBorder="1" applyAlignment="1">
      <alignment horizontal="center" wrapText="1"/>
    </xf>
    <xf numFmtId="178" fontId="39" fillId="0" borderId="45" xfId="2" applyNumberFormat="1" applyFont="1" applyBorder="1" applyAlignment="1">
      <alignment horizontal="center" vertical="center" wrapText="1"/>
    </xf>
    <xf numFmtId="178" fontId="39" fillId="27" borderId="45" xfId="4" applyFont="1" applyFill="1" applyBorder="1" applyAlignment="1">
      <alignment horizontal="center" wrapText="1"/>
    </xf>
    <xf numFmtId="178" fontId="39" fillId="27" borderId="45" xfId="2" applyNumberFormat="1" applyFont="1" applyFill="1" applyBorder="1" applyAlignment="1">
      <alignment horizontal="center" wrapText="1"/>
    </xf>
    <xf numFmtId="178" fontId="38" fillId="0" borderId="43" xfId="2" applyNumberFormat="1" applyFont="1" applyAlignment="1">
      <alignment horizontal="center" wrapText="1"/>
    </xf>
    <xf numFmtId="178" fontId="39" fillId="35" borderId="45" xfId="2" applyNumberFormat="1" applyFont="1" applyFill="1" applyBorder="1" applyAlignment="1">
      <alignment horizontal="center" wrapText="1"/>
    </xf>
    <xf numFmtId="0" fontId="39" fillId="0" borderId="46" xfId="2" applyFont="1" applyBorder="1" applyAlignment="1">
      <alignment wrapText="1"/>
    </xf>
    <xf numFmtId="0" fontId="39" fillId="0" borderId="59" xfId="2" applyFont="1" applyBorder="1" applyAlignment="1">
      <alignment wrapText="1"/>
    </xf>
    <xf numFmtId="178" fontId="39" fillId="27" borderId="43" xfId="4" applyFont="1" applyFill="1" applyAlignment="1">
      <alignment wrapText="1"/>
    </xf>
    <xf numFmtId="178" fontId="39" fillId="27" borderId="45" xfId="4" applyFont="1" applyFill="1" applyBorder="1" applyAlignment="1">
      <alignment horizontal="right" wrapText="1"/>
    </xf>
    <xf numFmtId="178" fontId="39" fillId="35" borderId="45" xfId="4" applyFont="1" applyFill="1" applyBorder="1" applyAlignment="1">
      <alignment horizontal="right" wrapText="1"/>
    </xf>
    <xf numFmtId="178" fontId="39" fillId="35" borderId="45" xfId="4" applyFont="1" applyFill="1" applyBorder="1" applyAlignment="1">
      <alignment horizontal="center" wrapText="1"/>
    </xf>
    <xf numFmtId="0" fontId="38" fillId="28" borderId="43" xfId="2" applyFont="1" applyFill="1" applyAlignment="1">
      <alignment horizontal="right" wrapText="1"/>
    </xf>
    <xf numFmtId="178" fontId="38" fillId="28" borderId="43" xfId="4" applyFont="1" applyFill="1" applyBorder="1" applyAlignment="1">
      <alignment horizontal="center" wrapText="1"/>
    </xf>
    <xf numFmtId="178" fontId="37" fillId="28" borderId="43" xfId="4" applyFont="1" applyFill="1" applyAlignment="1">
      <alignment wrapText="1"/>
    </xf>
    <xf numFmtId="0" fontId="38" fillId="29" borderId="45" xfId="2" applyFont="1" applyFill="1" applyBorder="1" applyAlignment="1">
      <alignment horizontal="center" vertical="center" wrapText="1"/>
    </xf>
    <xf numFmtId="0" fontId="39" fillId="27" borderId="45" xfId="2" applyFont="1" applyFill="1" applyBorder="1" applyAlignment="1">
      <alignment horizontal="center" wrapText="1"/>
    </xf>
    <xf numFmtId="178" fontId="39" fillId="27" borderId="45" xfId="2" applyNumberFormat="1" applyFont="1" applyFill="1" applyBorder="1" applyAlignment="1">
      <alignment horizontal="center" vertical="center" wrapText="1"/>
    </xf>
    <xf numFmtId="0" fontId="37" fillId="27" borderId="43" xfId="2" applyFont="1" applyFill="1" applyAlignment="1">
      <alignment wrapText="1"/>
    </xf>
    <xf numFmtId="0" fontId="38" fillId="34" borderId="45" xfId="2" applyFont="1" applyFill="1" applyBorder="1" applyAlignment="1">
      <alignment horizontal="center" vertical="center" wrapText="1"/>
    </xf>
    <xf numFmtId="179" fontId="38" fillId="0" borderId="50" xfId="4" applyNumberFormat="1" applyFont="1" applyBorder="1" applyAlignment="1">
      <alignment horizontal="center" vertical="center" wrapText="1"/>
    </xf>
    <xf numFmtId="179" fontId="38" fillId="0" borderId="45" xfId="4" applyNumberFormat="1" applyFont="1" applyBorder="1" applyAlignment="1">
      <alignment horizontal="center" vertical="center" wrapText="1"/>
    </xf>
    <xf numFmtId="182" fontId="38" fillId="27" borderId="45" xfId="2" applyNumberFormat="1" applyFont="1" applyFill="1" applyBorder="1" applyAlignment="1">
      <alignment vertical="center" wrapText="1"/>
    </xf>
    <xf numFmtId="178" fontId="38" fillId="27" borderId="45" xfId="2" applyNumberFormat="1" applyFont="1" applyFill="1" applyBorder="1" applyAlignment="1">
      <alignment vertical="center" wrapText="1"/>
    </xf>
    <xf numFmtId="178" fontId="48" fillId="35" borderId="45" xfId="2" applyNumberFormat="1" applyFont="1" applyFill="1" applyBorder="1" applyAlignment="1">
      <alignment vertical="center" wrapText="1"/>
    </xf>
    <xf numFmtId="0" fontId="49" fillId="27" borderId="45" xfId="2" applyFont="1" applyFill="1" applyBorder="1" applyAlignment="1">
      <alignment horizontal="center" vertical="center" wrapText="1"/>
    </xf>
    <xf numFmtId="178" fontId="48" fillId="35" borderId="45" xfId="2" applyNumberFormat="1" applyFont="1" applyFill="1" applyBorder="1" applyAlignment="1">
      <alignment wrapText="1"/>
    </xf>
    <xf numFmtId="178" fontId="39" fillId="0" borderId="45" xfId="4" applyFont="1" applyBorder="1" applyAlignment="1">
      <alignment horizontal="center" vertical="center" wrapText="1"/>
    </xf>
    <xf numFmtId="178" fontId="38" fillId="0" borderId="45" xfId="4" applyFont="1" applyBorder="1" applyAlignment="1">
      <alignment horizontal="center" vertical="center" wrapText="1"/>
    </xf>
    <xf numFmtId="4" fontId="39" fillId="0" borderId="45" xfId="4" applyNumberFormat="1" applyFont="1" applyBorder="1" applyAlignment="1">
      <alignment horizontal="right" vertical="center" wrapText="1"/>
    </xf>
    <xf numFmtId="2" fontId="38" fillId="0" borderId="45" xfId="4" applyNumberFormat="1" applyFont="1" applyBorder="1" applyAlignment="1">
      <alignment horizontal="right" vertical="center" wrapText="1"/>
    </xf>
    <xf numFmtId="178" fontId="39" fillId="35" borderId="45" xfId="2" applyNumberFormat="1" applyFont="1" applyFill="1" applyBorder="1" applyAlignment="1">
      <alignment horizontal="center" vertical="center" wrapText="1"/>
    </xf>
    <xf numFmtId="178" fontId="38" fillId="0" borderId="45" xfId="2" applyNumberFormat="1" applyFont="1" applyBorder="1" applyAlignment="1">
      <alignment horizontal="center" vertical="center" wrapText="1"/>
    </xf>
    <xf numFmtId="2" fontId="39" fillId="35" borderId="45" xfId="2" applyNumberFormat="1" applyFont="1" applyFill="1" applyBorder="1" applyAlignment="1">
      <alignment horizontal="right" vertical="center" wrapText="1"/>
    </xf>
    <xf numFmtId="2" fontId="38" fillId="0" borderId="45" xfId="2" applyNumberFormat="1" applyFont="1" applyBorder="1" applyAlignment="1">
      <alignment horizontal="right" vertical="center" wrapText="1"/>
    </xf>
    <xf numFmtId="0" fontId="38" fillId="0" borderId="45" xfId="2" applyFont="1" applyBorder="1" applyAlignment="1">
      <alignment wrapText="1"/>
    </xf>
    <xf numFmtId="178" fontId="38" fillId="0" borderId="45" xfId="2" applyNumberFormat="1" applyFont="1" applyBorder="1" applyAlignment="1">
      <alignment horizontal="center" wrapText="1"/>
    </xf>
    <xf numFmtId="178" fontId="38" fillId="0" borderId="45" xfId="4" applyFont="1" applyBorder="1" applyAlignment="1">
      <alignment horizontal="center" wrapText="1"/>
    </xf>
    <xf numFmtId="2" fontId="38" fillId="0" borderId="45" xfId="2" applyNumberFormat="1" applyFont="1" applyBorder="1" applyAlignment="1">
      <alignment wrapText="1"/>
    </xf>
    <xf numFmtId="2" fontId="38" fillId="0" borderId="45" xfId="2" applyNumberFormat="1" applyFont="1" applyBorder="1" applyAlignment="1">
      <alignment horizontal="right" wrapText="1"/>
    </xf>
    <xf numFmtId="2" fontId="38" fillId="0" borderId="45" xfId="4" applyNumberFormat="1" applyFont="1" applyBorder="1" applyAlignment="1">
      <alignment horizontal="right" wrapText="1"/>
    </xf>
    <xf numFmtId="179" fontId="39" fillId="27" borderId="45" xfId="4" applyNumberFormat="1" applyFont="1" applyFill="1" applyBorder="1" applyAlignment="1">
      <alignment horizontal="center" wrapText="1"/>
    </xf>
    <xf numFmtId="0" fontId="40" fillId="0" borderId="45" xfId="2" applyFont="1" applyBorder="1" applyAlignment="1">
      <alignment wrapText="1"/>
    </xf>
    <xf numFmtId="0" fontId="40" fillId="27" borderId="45" xfId="2" applyFont="1" applyFill="1" applyBorder="1" applyAlignment="1">
      <alignment wrapText="1"/>
    </xf>
    <xf numFmtId="179" fontId="39" fillId="27" borderId="45" xfId="4" applyNumberFormat="1" applyFont="1" applyFill="1" applyBorder="1" applyAlignment="1">
      <alignment horizontal="center" vertical="center" wrapText="1"/>
    </xf>
    <xf numFmtId="178" fontId="39" fillId="27" borderId="45" xfId="2" applyNumberFormat="1" applyFont="1" applyFill="1" applyBorder="1" applyAlignment="1">
      <alignment horizontal="right" wrapText="1"/>
    </xf>
    <xf numFmtId="2" fontId="39" fillId="27" borderId="45" xfId="2" applyNumberFormat="1" applyFont="1" applyFill="1" applyBorder="1" applyAlignment="1">
      <alignment horizontal="right" wrapText="1"/>
    </xf>
    <xf numFmtId="2" fontId="39" fillId="27" borderId="45" xfId="4" applyNumberFormat="1" applyFont="1" applyFill="1" applyBorder="1" applyAlignment="1">
      <alignment horizontal="right" wrapText="1"/>
    </xf>
    <xf numFmtId="0" fontId="42" fillId="33" borderId="60" xfId="2" applyFont="1" applyFill="1" applyBorder="1" applyAlignment="1">
      <alignment horizontal="center" vertical="center" wrapText="1"/>
    </xf>
    <xf numFmtId="0" fontId="38" fillId="33" borderId="46" xfId="2" applyFont="1" applyFill="1" applyBorder="1" applyAlignment="1">
      <alignment horizontal="center" vertical="center" wrapText="1"/>
    </xf>
    <xf numFmtId="0" fontId="37" fillId="0" borderId="45" xfId="2" applyFont="1" applyBorder="1" applyAlignment="1">
      <alignment wrapText="1"/>
    </xf>
    <xf numFmtId="0" fontId="39" fillId="0" borderId="45" xfId="2" applyFont="1" applyBorder="1" applyAlignment="1">
      <alignment vertical="center" wrapText="1"/>
    </xf>
    <xf numFmtId="178" fontId="39" fillId="0" borderId="45" xfId="4" applyFont="1" applyBorder="1" applyAlignment="1">
      <alignment wrapText="1"/>
    </xf>
    <xf numFmtId="178" fontId="39" fillId="0" borderId="45" xfId="2" applyNumberFormat="1" applyFont="1" applyBorder="1" applyAlignment="1">
      <alignment wrapText="1"/>
    </xf>
    <xf numFmtId="178" fontId="38" fillId="0" borderId="45" xfId="2" applyNumberFormat="1" applyFont="1" applyBorder="1" applyAlignment="1">
      <alignment wrapText="1"/>
    </xf>
    <xf numFmtId="178" fontId="39" fillId="30" borderId="45" xfId="2" applyNumberFormat="1" applyFont="1" applyFill="1" applyBorder="1" applyAlignment="1">
      <alignment wrapText="1"/>
    </xf>
    <xf numFmtId="166" fontId="38" fillId="0" borderId="45" xfId="2" applyNumberFormat="1" applyFont="1" applyBorder="1" applyAlignment="1">
      <alignment wrapText="1"/>
    </xf>
    <xf numFmtId="178" fontId="39" fillId="0" borderId="45" xfId="4" applyFont="1" applyBorder="1" applyAlignment="1">
      <alignment vertical="center" wrapText="1"/>
    </xf>
    <xf numFmtId="10" fontId="38" fillId="0" borderId="43" xfId="2" applyNumberFormat="1" applyFont="1" applyAlignment="1">
      <alignment wrapText="1"/>
    </xf>
    <xf numFmtId="166" fontId="39" fillId="0" borderId="45" xfId="2" applyNumberFormat="1" applyFont="1" applyBorder="1" applyAlignment="1">
      <alignment horizontal="left" wrapText="1"/>
    </xf>
    <xf numFmtId="178" fontId="39" fillId="27" borderId="45" xfId="2" applyNumberFormat="1" applyFont="1" applyFill="1" applyBorder="1" applyAlignment="1">
      <alignment vertical="center" wrapText="1"/>
    </xf>
    <xf numFmtId="178" fontId="39" fillId="30" borderId="45" xfId="2" applyNumberFormat="1" applyFont="1" applyFill="1" applyBorder="1" applyAlignment="1">
      <alignment vertical="center" wrapText="1"/>
    </xf>
    <xf numFmtId="166" fontId="38" fillId="27" borderId="45" xfId="2" applyNumberFormat="1" applyFont="1" applyFill="1" applyBorder="1" applyAlignment="1">
      <alignment vertical="center" wrapText="1"/>
    </xf>
    <xf numFmtId="166" fontId="39" fillId="27" borderId="45" xfId="2" applyNumberFormat="1" applyFont="1" applyFill="1" applyBorder="1" applyAlignment="1">
      <alignment wrapText="1"/>
    </xf>
    <xf numFmtId="178" fontId="38" fillId="27" borderId="45" xfId="2" applyNumberFormat="1" applyFont="1" applyFill="1" applyBorder="1" applyAlignment="1">
      <alignment wrapText="1"/>
    </xf>
    <xf numFmtId="166" fontId="38" fillId="27" borderId="45" xfId="2" applyNumberFormat="1" applyFont="1" applyFill="1" applyBorder="1" applyAlignment="1">
      <alignment wrapText="1"/>
    </xf>
    <xf numFmtId="166" fontId="39" fillId="27" borderId="45" xfId="2" applyNumberFormat="1" applyFont="1" applyFill="1" applyBorder="1" applyAlignment="1">
      <alignment horizontal="center" vertical="center" wrapText="1"/>
    </xf>
    <xf numFmtId="166" fontId="38" fillId="27" borderId="45" xfId="2" applyNumberFormat="1" applyFont="1" applyFill="1" applyBorder="1" applyAlignment="1">
      <alignment horizontal="center" vertical="center" wrapText="1"/>
    </xf>
    <xf numFmtId="166" fontId="38" fillId="28" borderId="43" xfId="2" applyNumberFormat="1" applyFont="1" applyFill="1" applyAlignment="1">
      <alignment horizontal="center" vertical="center" wrapText="1"/>
    </xf>
    <xf numFmtId="0" fontId="42" fillId="35" borderId="61" xfId="2" applyFont="1" applyFill="1" applyBorder="1" applyAlignment="1">
      <alignment horizontal="center" wrapText="1"/>
    </xf>
    <xf numFmtId="178" fontId="39" fillId="27" borderId="60" xfId="4" applyFont="1" applyFill="1" applyBorder="1" applyAlignment="1">
      <alignment horizontal="center" wrapText="1"/>
    </xf>
    <xf numFmtId="0" fontId="40" fillId="27" borderId="43" xfId="2" applyFont="1" applyFill="1" applyAlignment="1">
      <alignment wrapText="1"/>
    </xf>
    <xf numFmtId="178" fontId="39" fillId="28" borderId="45" xfId="4" applyFont="1" applyFill="1" applyBorder="1" applyAlignment="1">
      <alignment horizontal="center" vertical="center" wrapText="1"/>
    </xf>
    <xf numFmtId="178" fontId="38" fillId="0" borderId="45" xfId="4" applyFont="1" applyBorder="1" applyAlignment="1">
      <alignment wrapText="1"/>
    </xf>
    <xf numFmtId="178" fontId="39" fillId="27" borderId="46" xfId="4" applyFont="1" applyFill="1" applyBorder="1" applyAlignment="1">
      <alignment horizontal="center" wrapText="1"/>
    </xf>
    <xf numFmtId="178" fontId="39" fillId="27" borderId="61" xfId="2" applyNumberFormat="1" applyFont="1" applyFill="1" applyBorder="1" applyAlignment="1">
      <alignment wrapText="1"/>
    </xf>
    <xf numFmtId="0" fontId="40" fillId="0" borderId="50" xfId="2" applyFont="1" applyBorder="1" applyAlignment="1">
      <alignment wrapText="1"/>
    </xf>
    <xf numFmtId="0" fontId="40" fillId="0" borderId="59" xfId="2" applyFont="1" applyBorder="1" applyAlignment="1">
      <alignment wrapText="1"/>
    </xf>
    <xf numFmtId="0" fontId="39" fillId="0" borderId="50" xfId="4" applyNumberFormat="1" applyFont="1" applyBorder="1" applyAlignment="1">
      <alignment vertical="center" wrapText="1"/>
    </xf>
    <xf numFmtId="43" fontId="39" fillId="0" borderId="45" xfId="2" applyNumberFormat="1" applyFont="1" applyBorder="1" applyAlignment="1">
      <alignment horizontal="right" wrapText="1"/>
    </xf>
    <xf numFmtId="0" fontId="39" fillId="0" borderId="50" xfId="2" applyFont="1" applyBorder="1" applyAlignment="1">
      <alignment vertical="center" wrapText="1"/>
    </xf>
    <xf numFmtId="178" fontId="39" fillId="0" borderId="45" xfId="2" applyNumberFormat="1" applyFont="1" applyBorder="1" applyAlignment="1">
      <alignment vertical="center" wrapText="1"/>
    </xf>
    <xf numFmtId="178" fontId="38" fillId="0" borderId="45" xfId="2" applyNumberFormat="1" applyFont="1" applyBorder="1" applyAlignment="1">
      <alignment vertical="center" wrapText="1"/>
    </xf>
    <xf numFmtId="0" fontId="38" fillId="0" borderId="45" xfId="2" applyFont="1" applyBorder="1" applyAlignment="1">
      <alignment horizontal="left" wrapText="1"/>
    </xf>
    <xf numFmtId="2" fontId="38" fillId="0" borderId="45" xfId="4" applyNumberFormat="1" applyFont="1" applyBorder="1" applyAlignment="1">
      <alignment wrapText="1"/>
    </xf>
    <xf numFmtId="0" fontId="38" fillId="28" borderId="45" xfId="2" applyFont="1" applyFill="1" applyBorder="1" applyAlignment="1">
      <alignment wrapText="1"/>
    </xf>
    <xf numFmtId="178" fontId="38" fillId="28" borderId="45" xfId="4" applyFont="1" applyFill="1" applyBorder="1" applyAlignment="1">
      <alignment wrapText="1"/>
    </xf>
    <xf numFmtId="9" fontId="38" fillId="0" borderId="45" xfId="4" applyNumberFormat="1" applyFont="1" applyBorder="1" applyAlignment="1">
      <alignment horizontal="center" vertical="center" wrapText="1"/>
    </xf>
    <xf numFmtId="172" fontId="42" fillId="35" borderId="45" xfId="2" applyNumberFormat="1" applyFont="1" applyFill="1" applyBorder="1" applyAlignment="1">
      <alignment horizontal="center" wrapText="1"/>
    </xf>
    <xf numFmtId="10" fontId="42" fillId="35" borderId="45" xfId="3" applyNumberFormat="1" applyFont="1" applyFill="1" applyBorder="1" applyAlignment="1">
      <alignment horizontal="center" wrapText="1"/>
    </xf>
    <xf numFmtId="0" fontId="38" fillId="0" borderId="45" xfId="2" applyFont="1" applyBorder="1" applyAlignment="1">
      <alignment vertical="center" wrapText="1"/>
    </xf>
    <xf numFmtId="178" fontId="42" fillId="0" borderId="45" xfId="4" applyFont="1" applyBorder="1" applyAlignment="1">
      <alignment wrapText="1"/>
    </xf>
    <xf numFmtId="178" fontId="42" fillId="0" borderId="45" xfId="4" applyFont="1" applyBorder="1" applyAlignment="1">
      <alignment vertical="center" wrapText="1"/>
    </xf>
    <xf numFmtId="178" fontId="42" fillId="27" borderId="45" xfId="4" applyFont="1" applyFill="1" applyBorder="1" applyAlignment="1">
      <alignment wrapText="1"/>
    </xf>
    <xf numFmtId="178" fontId="39" fillId="27" borderId="45" xfId="4" applyFont="1" applyFill="1" applyBorder="1" applyAlignment="1">
      <alignment wrapText="1"/>
    </xf>
    <xf numFmtId="178" fontId="42" fillId="35" borderId="45" xfId="4" applyFont="1" applyFill="1" applyBorder="1" applyAlignment="1">
      <alignment vertical="center" wrapText="1"/>
    </xf>
    <xf numFmtId="0" fontId="38" fillId="27" borderId="45" xfId="2" applyFont="1" applyFill="1" applyBorder="1" applyAlignment="1">
      <alignment vertical="center" wrapText="1"/>
    </xf>
    <xf numFmtId="178" fontId="37" fillId="0" borderId="45" xfId="4" applyFont="1" applyFill="1" applyBorder="1" applyAlignment="1">
      <alignment wrapText="1"/>
    </xf>
    <xf numFmtId="0" fontId="37" fillId="0" borderId="45" xfId="2" applyFont="1" applyBorder="1" applyAlignment="1">
      <alignment horizontal="center" wrapText="1"/>
    </xf>
    <xf numFmtId="166" fontId="47" fillId="27" borderId="45" xfId="2" applyNumberFormat="1" applyFont="1" applyFill="1" applyBorder="1" applyAlignment="1">
      <alignment horizontal="center" vertical="center" wrapText="1"/>
    </xf>
    <xf numFmtId="178" fontId="47" fillId="27" borderId="45" xfId="4" applyFont="1" applyFill="1" applyBorder="1" applyAlignment="1">
      <alignment horizontal="center" vertical="center" wrapText="1"/>
    </xf>
    <xf numFmtId="166" fontId="42" fillId="35" borderId="45" xfId="2" applyNumberFormat="1" applyFont="1" applyFill="1" applyBorder="1" applyAlignment="1">
      <alignment horizontal="center" vertical="center" wrapText="1"/>
    </xf>
    <xf numFmtId="178" fontId="47" fillId="27" borderId="45" xfId="4" applyFont="1" applyFill="1" applyBorder="1" applyAlignment="1">
      <alignment vertical="center" wrapText="1"/>
    </xf>
    <xf numFmtId="166" fontId="38" fillId="0" borderId="45" xfId="2" applyNumberFormat="1" applyFont="1" applyBorder="1" applyAlignment="1">
      <alignment horizontal="center" vertical="center" wrapText="1"/>
    </xf>
    <xf numFmtId="2" fontId="47" fillId="27" borderId="45" xfId="2" applyNumberFormat="1" applyFont="1" applyFill="1" applyBorder="1" applyAlignment="1">
      <alignment horizontal="right" vertical="center" wrapText="1"/>
    </xf>
    <xf numFmtId="0" fontId="37" fillId="35" borderId="45" xfId="2" applyFont="1" applyFill="1" applyBorder="1" applyAlignment="1">
      <alignment horizontal="center" wrapText="1"/>
    </xf>
    <xf numFmtId="166" fontId="37" fillId="0" borderId="45" xfId="2" applyNumberFormat="1" applyFont="1" applyBorder="1" applyAlignment="1">
      <alignment horizontal="center" wrapText="1"/>
    </xf>
    <xf numFmtId="178" fontId="37" fillId="0" borderId="45" xfId="4" applyFont="1" applyBorder="1" applyAlignment="1">
      <alignment horizontal="center" wrapText="1"/>
    </xf>
    <xf numFmtId="0" fontId="42" fillId="0" borderId="45" xfId="2" applyFont="1" applyBorder="1" applyAlignment="1">
      <alignment horizontal="center" vertical="center" wrapText="1"/>
    </xf>
    <xf numFmtId="166" fontId="47" fillId="35" borderId="45" xfId="2" applyNumberFormat="1" applyFont="1" applyFill="1" applyBorder="1" applyAlignment="1">
      <alignment horizontal="center" vertical="center" wrapText="1"/>
    </xf>
    <xf numFmtId="178" fontId="47" fillId="37" borderId="45" xfId="4" applyFont="1" applyFill="1" applyBorder="1" applyAlignment="1">
      <alignment horizontal="center" vertical="center" wrapText="1"/>
    </xf>
    <xf numFmtId="178" fontId="47" fillId="35" borderId="45" xfId="4" applyFont="1" applyFill="1" applyBorder="1" applyAlignment="1">
      <alignment horizontal="center" vertical="center" wrapText="1"/>
    </xf>
    <xf numFmtId="166" fontId="47" fillId="37" borderId="45" xfId="2" applyNumberFormat="1" applyFont="1" applyFill="1" applyBorder="1" applyAlignment="1">
      <alignment horizontal="center" vertical="center" wrapText="1"/>
    </xf>
    <xf numFmtId="0" fontId="38" fillId="28" borderId="45" xfId="2" applyFont="1" applyFill="1" applyBorder="1" applyAlignment="1">
      <alignment vertical="center" wrapText="1"/>
    </xf>
    <xf numFmtId="0" fontId="47" fillId="35" borderId="45" xfId="2" applyFont="1" applyFill="1" applyBorder="1" applyAlignment="1">
      <alignment horizontal="center" wrapText="1"/>
    </xf>
    <xf numFmtId="0" fontId="47" fillId="35" borderId="46" xfId="2" applyFont="1" applyFill="1" applyBorder="1" applyAlignment="1">
      <alignment horizontal="center" vertical="center" wrapText="1"/>
    </xf>
    <xf numFmtId="0" fontId="47" fillId="35" borderId="45" xfId="2" applyFont="1" applyFill="1" applyBorder="1" applyAlignment="1">
      <alignment horizontal="center" vertical="center" wrapText="1"/>
    </xf>
    <xf numFmtId="0" fontId="38" fillId="27" borderId="55" xfId="2" applyFont="1" applyFill="1" applyBorder="1" applyAlignment="1">
      <alignment horizontal="center" vertical="center" wrapText="1"/>
    </xf>
    <xf numFmtId="0" fontId="38" fillId="27" borderId="65" xfId="2" applyFont="1" applyFill="1" applyBorder="1" applyAlignment="1">
      <alignment horizontal="center" vertical="center" wrapText="1"/>
    </xf>
    <xf numFmtId="0" fontId="38" fillId="28" borderId="43" xfId="2" applyFont="1" applyFill="1" applyAlignment="1">
      <alignment vertical="center" wrapText="1"/>
    </xf>
    <xf numFmtId="166" fontId="38" fillId="0" borderId="45" xfId="2" applyNumberFormat="1" applyFont="1" applyBorder="1" applyAlignment="1">
      <alignment horizontal="center" wrapText="1"/>
    </xf>
    <xf numFmtId="0" fontId="47" fillId="27" borderId="45" xfId="2" applyFont="1" applyFill="1" applyBorder="1" applyAlignment="1">
      <alignment wrapText="1"/>
    </xf>
    <xf numFmtId="0" fontId="48" fillId="27" borderId="45" xfId="2" applyFont="1" applyFill="1" applyBorder="1" applyAlignment="1">
      <alignment horizontal="center" wrapText="1"/>
    </xf>
    <xf numFmtId="166" fontId="48" fillId="37" borderId="45" xfId="2" applyNumberFormat="1" applyFont="1" applyFill="1" applyBorder="1" applyAlignment="1">
      <alignment horizontal="center" wrapText="1"/>
    </xf>
    <xf numFmtId="166" fontId="48" fillId="35" borderId="45" xfId="2" applyNumberFormat="1" applyFont="1" applyFill="1" applyBorder="1" applyAlignment="1">
      <alignment horizontal="center" wrapText="1"/>
    </xf>
    <xf numFmtId="166" fontId="48" fillId="28" borderId="43" xfId="2" applyNumberFormat="1" applyFont="1" applyFill="1" applyAlignment="1">
      <alignment horizontal="center" wrapText="1"/>
    </xf>
    <xf numFmtId="166" fontId="48" fillId="35" borderId="50" xfId="2" applyNumberFormat="1" applyFont="1" applyFill="1" applyBorder="1" applyAlignment="1">
      <alignment horizontal="center" wrapText="1"/>
    </xf>
    <xf numFmtId="166" fontId="48" fillId="37" borderId="45" xfId="2" applyNumberFormat="1" applyFont="1" applyFill="1" applyBorder="1" applyAlignment="1">
      <alignment horizontal="center" vertical="center" wrapText="1"/>
    </xf>
    <xf numFmtId="0" fontId="38" fillId="28" borderId="58" xfId="2" applyFont="1" applyFill="1" applyBorder="1" applyAlignment="1">
      <alignment vertical="center" wrapText="1"/>
    </xf>
    <xf numFmtId="0" fontId="38" fillId="28" borderId="43" xfId="4" applyNumberFormat="1" applyFont="1" applyFill="1" applyBorder="1" applyAlignment="1">
      <alignment horizontal="center" wrapText="1"/>
    </xf>
    <xf numFmtId="0" fontId="42" fillId="35" borderId="45" xfId="2" applyFont="1" applyFill="1" applyBorder="1" applyAlignment="1">
      <alignment horizontal="center" vertical="center" wrapText="1"/>
    </xf>
    <xf numFmtId="0" fontId="45" fillId="35" borderId="50" xfId="2" applyFont="1" applyFill="1" applyBorder="1" applyAlignment="1">
      <alignment horizontal="center" vertical="center" wrapText="1"/>
    </xf>
    <xf numFmtId="0" fontId="47" fillId="34" borderId="45" xfId="2" applyFont="1" applyFill="1" applyBorder="1" applyAlignment="1">
      <alignment horizontal="center" vertical="center" wrapText="1"/>
    </xf>
    <xf numFmtId="0" fontId="39" fillId="38" borderId="50" xfId="2" applyFont="1" applyFill="1" applyBorder="1" applyAlignment="1">
      <alignment horizontal="center" vertical="center" wrapText="1"/>
    </xf>
    <xf numFmtId="0" fontId="39" fillId="38" borderId="45" xfId="2" applyFont="1" applyFill="1" applyBorder="1" applyAlignment="1">
      <alignment horizontal="center" vertical="center" wrapText="1"/>
    </xf>
    <xf numFmtId="0" fontId="39" fillId="27" borderId="50" xfId="2" applyFont="1" applyFill="1" applyBorder="1" applyAlignment="1">
      <alignment horizontal="center" vertical="center" wrapText="1"/>
    </xf>
    <xf numFmtId="10" fontId="39" fillId="27" borderId="45" xfId="3" applyNumberFormat="1" applyFont="1" applyFill="1" applyBorder="1" applyAlignment="1">
      <alignment horizontal="center" vertical="center" wrapText="1"/>
    </xf>
    <xf numFmtId="0" fontId="41" fillId="35" borderId="45" xfId="2" applyFont="1" applyFill="1" applyBorder="1" applyAlignment="1">
      <alignment horizontal="center" vertical="center" wrapText="1"/>
    </xf>
    <xf numFmtId="0" fontId="38" fillId="28" borderId="46" xfId="2" applyFont="1" applyFill="1" applyBorder="1" applyAlignment="1">
      <alignment horizontal="center" vertical="center" wrapText="1"/>
    </xf>
    <xf numFmtId="0" fontId="38" fillId="28" borderId="49" xfId="2" applyFont="1" applyFill="1" applyBorder="1" applyAlignment="1">
      <alignment horizontal="center" vertical="center" wrapText="1"/>
    </xf>
    <xf numFmtId="0" fontId="38" fillId="28" borderId="50" xfId="2" applyFont="1" applyFill="1" applyBorder="1" applyAlignment="1">
      <alignment horizontal="center" vertical="center" wrapText="1"/>
    </xf>
    <xf numFmtId="0" fontId="39" fillId="28" borderId="50" xfId="2" applyFont="1" applyFill="1" applyBorder="1" applyAlignment="1">
      <alignment horizontal="center" vertical="center" wrapText="1"/>
    </xf>
    <xf numFmtId="0" fontId="39" fillId="32" borderId="45" xfId="2" applyFont="1" applyFill="1" applyBorder="1" applyAlignment="1">
      <alignment horizontal="center" vertical="center" wrapText="1"/>
    </xf>
    <xf numFmtId="0" fontId="47" fillId="0" borderId="43" xfId="2" applyFont="1" applyAlignment="1">
      <alignment horizontal="center" vertical="center" wrapText="1"/>
    </xf>
    <xf numFmtId="0" fontId="39" fillId="35" borderId="45" xfId="2" applyFont="1" applyFill="1" applyBorder="1" applyAlignment="1">
      <alignment horizontal="center" vertical="center" wrapText="1"/>
    </xf>
    <xf numFmtId="177" fontId="39" fillId="35" borderId="45" xfId="2" applyNumberFormat="1" applyFont="1" applyFill="1" applyBorder="1" applyAlignment="1">
      <alignment horizontal="center" vertical="center" wrapText="1"/>
    </xf>
    <xf numFmtId="0" fontId="38" fillId="27" borderId="50" xfId="2" applyFont="1" applyFill="1" applyBorder="1" applyAlignment="1">
      <alignment horizontal="center" vertical="center" wrapText="1"/>
    </xf>
    <xf numFmtId="10" fontId="38" fillId="27" borderId="45" xfId="3" applyNumberFormat="1" applyFont="1" applyFill="1" applyBorder="1" applyAlignment="1">
      <alignment horizontal="center" vertical="center" wrapText="1"/>
    </xf>
    <xf numFmtId="0" fontId="38" fillId="32" borderId="45" xfId="2" applyFont="1" applyFill="1" applyBorder="1" applyAlignment="1">
      <alignment horizontal="center" vertical="center" wrapText="1"/>
    </xf>
    <xf numFmtId="181" fontId="38" fillId="35" borderId="45" xfId="2" applyNumberFormat="1" applyFont="1" applyFill="1" applyBorder="1" applyAlignment="1">
      <alignment horizontal="center" vertical="center" wrapText="1"/>
    </xf>
    <xf numFmtId="0" fontId="38" fillId="39" borderId="45" xfId="2" applyFont="1" applyFill="1" applyBorder="1" applyAlignment="1">
      <alignment horizontal="center" wrapText="1"/>
    </xf>
    <xf numFmtId="182" fontId="38" fillId="30" borderId="45" xfId="4" applyNumberFormat="1" applyFont="1" applyFill="1" applyBorder="1" applyAlignment="1">
      <alignment horizontal="center" vertical="center" wrapText="1"/>
    </xf>
    <xf numFmtId="182" fontId="38" fillId="30" borderId="45" xfId="4" applyNumberFormat="1" applyFont="1" applyFill="1" applyBorder="1" applyAlignment="1">
      <alignment horizontal="center" wrapText="1"/>
    </xf>
    <xf numFmtId="0" fontId="45" fillId="30" borderId="45" xfId="2" applyFont="1" applyFill="1" applyBorder="1" applyAlignment="1">
      <alignment horizontal="center" vertical="center" wrapText="1"/>
    </xf>
    <xf numFmtId="183" fontId="38" fillId="30" borderId="45" xfId="2" applyNumberFormat="1" applyFont="1" applyFill="1" applyBorder="1" applyAlignment="1">
      <alignment horizontal="center" vertical="center" wrapText="1"/>
    </xf>
    <xf numFmtId="183" fontId="38" fillId="28" borderId="43" xfId="2" applyNumberFormat="1" applyFont="1" applyFill="1" applyAlignment="1">
      <alignment horizontal="center" wrapText="1"/>
    </xf>
    <xf numFmtId="178" fontId="38" fillId="30" borderId="45" xfId="2" applyNumberFormat="1" applyFont="1" applyFill="1" applyBorder="1" applyAlignment="1">
      <alignment horizontal="center" vertical="center" wrapText="1"/>
    </xf>
    <xf numFmtId="0" fontId="45" fillId="0" borderId="43" xfId="2" applyFont="1" applyAlignment="1">
      <alignment wrapText="1"/>
    </xf>
    <xf numFmtId="178" fontId="45" fillId="0" borderId="43" xfId="2" applyNumberFormat="1" applyFont="1" applyAlignment="1">
      <alignment horizontal="center" wrapText="1"/>
    </xf>
    <xf numFmtId="0" fontId="45" fillId="28" borderId="43" xfId="2" applyFont="1" applyFill="1" applyAlignment="1">
      <alignment wrapText="1"/>
    </xf>
    <xf numFmtId="178" fontId="38" fillId="28" borderId="59" xfId="2" applyNumberFormat="1" applyFont="1" applyFill="1" applyBorder="1" applyAlignment="1">
      <alignment horizontal="center" vertical="center" wrapText="1"/>
    </xf>
    <xf numFmtId="178" fontId="38" fillId="28" borderId="45" xfId="2" applyNumberFormat="1" applyFont="1" applyFill="1" applyBorder="1" applyAlignment="1">
      <alignment horizontal="center" vertical="center" wrapText="1"/>
    </xf>
    <xf numFmtId="0" fontId="38" fillId="34" borderId="45" xfId="2" applyFont="1" applyFill="1" applyBorder="1" applyAlignment="1">
      <alignment horizontal="center" wrapText="1"/>
    </xf>
    <xf numFmtId="0" fontId="38" fillId="28" borderId="45" xfId="2" applyFont="1" applyFill="1" applyBorder="1" applyAlignment="1">
      <alignment horizontal="center" wrapText="1"/>
    </xf>
    <xf numFmtId="178" fontId="38" fillId="28" borderId="45" xfId="2" applyNumberFormat="1" applyFont="1" applyFill="1" applyBorder="1" applyAlignment="1">
      <alignment vertical="center" wrapText="1"/>
    </xf>
    <xf numFmtId="178" fontId="38" fillId="30" borderId="45" xfId="2" applyNumberFormat="1" applyFont="1" applyFill="1" applyBorder="1" applyAlignment="1">
      <alignment vertical="center" wrapText="1"/>
    </xf>
    <xf numFmtId="2" fontId="38" fillId="30" borderId="45" xfId="2" applyNumberFormat="1" applyFont="1" applyFill="1" applyBorder="1" applyAlignment="1">
      <alignment horizontal="center" vertical="center" wrapText="1"/>
    </xf>
    <xf numFmtId="2" fontId="38" fillId="0" borderId="45" xfId="2" applyNumberFormat="1" applyFont="1" applyBorder="1" applyAlignment="1">
      <alignment horizontal="center" vertical="center" wrapText="1"/>
    </xf>
    <xf numFmtId="0" fontId="42" fillId="28" borderId="43" xfId="2" applyFont="1" applyFill="1" applyAlignment="1">
      <alignment vertical="center" wrapText="1"/>
    </xf>
    <xf numFmtId="0" fontId="39" fillId="37" borderId="43" xfId="2" applyFont="1" applyFill="1" applyAlignment="1">
      <alignment horizontal="center" vertical="center" wrapText="1"/>
    </xf>
    <xf numFmtId="0" fontId="39" fillId="37" borderId="45" xfId="2" applyFont="1" applyFill="1" applyBorder="1" applyAlignment="1">
      <alignment horizontal="center" vertical="center" wrapText="1"/>
    </xf>
    <xf numFmtId="181" fontId="37" fillId="0" borderId="43" xfId="2" applyNumberFormat="1" applyFont="1" applyAlignment="1">
      <alignment wrapText="1"/>
    </xf>
    <xf numFmtId="9" fontId="37" fillId="0" borderId="43" xfId="2" applyNumberFormat="1" applyFont="1" applyAlignment="1">
      <alignment wrapText="1"/>
    </xf>
    <xf numFmtId="0" fontId="49" fillId="27" borderId="47" xfId="2" applyFont="1" applyFill="1" applyBorder="1" applyAlignment="1">
      <alignment horizontal="center" vertical="center" wrapText="1"/>
    </xf>
    <xf numFmtId="0" fontId="39" fillId="35" borderId="50" xfId="2" applyFont="1" applyFill="1" applyBorder="1" applyAlignment="1">
      <alignment horizontal="center" vertical="center" wrapText="1"/>
    </xf>
    <xf numFmtId="177" fontId="39" fillId="30" borderId="69" xfId="2" applyNumberFormat="1" applyFont="1" applyFill="1" applyBorder="1" applyAlignment="1">
      <alignment horizontal="center" wrapText="1"/>
    </xf>
    <xf numFmtId="166" fontId="39" fillId="27" borderId="50" xfId="2" applyNumberFormat="1" applyFont="1" applyFill="1" applyBorder="1" applyAlignment="1">
      <alignment vertical="center" wrapText="1"/>
    </xf>
    <xf numFmtId="166" fontId="39" fillId="27" borderId="45" xfId="2" applyNumberFormat="1" applyFont="1" applyFill="1" applyBorder="1" applyAlignment="1">
      <alignment vertical="center" wrapText="1"/>
    </xf>
    <xf numFmtId="0" fontId="39" fillId="27" borderId="45" xfId="2" applyFont="1" applyFill="1" applyBorder="1" applyAlignment="1">
      <alignment vertical="center" wrapText="1"/>
    </xf>
    <xf numFmtId="43" fontId="39" fillId="27" borderId="45" xfId="2" applyNumberFormat="1" applyFont="1" applyFill="1" applyBorder="1" applyAlignment="1">
      <alignment vertical="center" wrapText="1"/>
    </xf>
    <xf numFmtId="0" fontId="39" fillId="30" borderId="46" xfId="2" applyFont="1" applyFill="1" applyBorder="1" applyAlignment="1">
      <alignment horizontal="center" vertical="center" wrapText="1"/>
    </xf>
    <xf numFmtId="166" fontId="39" fillId="35" borderId="50" xfId="2" applyNumberFormat="1" applyFont="1" applyFill="1" applyBorder="1" applyAlignment="1">
      <alignment vertical="center" wrapText="1"/>
    </xf>
    <xf numFmtId="166" fontId="39" fillId="35" borderId="45" xfId="2" applyNumberFormat="1" applyFont="1" applyFill="1" applyBorder="1" applyAlignment="1">
      <alignment vertical="center" wrapText="1"/>
    </xf>
    <xf numFmtId="0" fontId="39" fillId="32" borderId="50" xfId="2" applyFont="1" applyFill="1" applyBorder="1" applyAlignment="1">
      <alignment horizontal="center" vertical="center" wrapText="1"/>
    </xf>
    <xf numFmtId="0" fontId="39" fillId="27" borderId="50" xfId="2" applyFont="1" applyFill="1" applyBorder="1" applyAlignment="1">
      <alignment vertical="center" wrapText="1"/>
    </xf>
    <xf numFmtId="0" fontId="40" fillId="27" borderId="45" xfId="2" applyFont="1" applyFill="1" applyBorder="1" applyAlignment="1">
      <alignment vertical="center" wrapText="1"/>
    </xf>
    <xf numFmtId="43" fontId="39" fillId="35" borderId="50" xfId="2" applyNumberFormat="1" applyFont="1" applyFill="1" applyBorder="1" applyAlignment="1">
      <alignment vertical="center" wrapText="1"/>
    </xf>
    <xf numFmtId="43" fontId="39" fillId="35" borderId="45" xfId="2" applyNumberFormat="1" applyFont="1" applyFill="1" applyBorder="1" applyAlignment="1">
      <alignment vertical="center" wrapText="1"/>
    </xf>
    <xf numFmtId="0" fontId="39" fillId="33" borderId="46" xfId="2" applyFont="1" applyFill="1" applyBorder="1" applyAlignment="1">
      <alignment horizontal="center" vertical="center" wrapText="1"/>
    </xf>
    <xf numFmtId="0" fontId="38" fillId="35" borderId="50" xfId="2" applyFont="1" applyFill="1" applyBorder="1" applyAlignment="1">
      <alignment horizontal="center" vertical="center" wrapText="1"/>
    </xf>
    <xf numFmtId="177" fontId="38" fillId="30" borderId="46" xfId="2" applyNumberFormat="1" applyFont="1" applyFill="1" applyBorder="1" applyAlignment="1">
      <alignment horizontal="center" wrapText="1"/>
    </xf>
    <xf numFmtId="178" fontId="38" fillId="27" borderId="50" xfId="2" applyNumberFormat="1" applyFont="1" applyFill="1" applyBorder="1" applyAlignment="1">
      <alignment wrapText="1"/>
    </xf>
    <xf numFmtId="178" fontId="38" fillId="27" borderId="50" xfId="2" applyNumberFormat="1" applyFont="1" applyFill="1" applyBorder="1" applyAlignment="1">
      <alignment vertical="center" wrapText="1"/>
    </xf>
    <xf numFmtId="178" fontId="38" fillId="35" borderId="50" xfId="2" applyNumberFormat="1" applyFont="1" applyFill="1" applyBorder="1" applyAlignment="1">
      <alignment wrapText="1"/>
    </xf>
    <xf numFmtId="178" fontId="38" fillId="35" borderId="45" xfId="2" applyNumberFormat="1" applyFont="1" applyFill="1" applyBorder="1" applyAlignment="1">
      <alignment wrapText="1"/>
    </xf>
    <xf numFmtId="178" fontId="38" fillId="27" borderId="45" xfId="2" applyNumberFormat="1" applyFont="1" applyFill="1" applyBorder="1" applyAlignment="1">
      <alignment horizontal="left" vertical="center" wrapText="1"/>
    </xf>
    <xf numFmtId="178" fontId="38" fillId="35" borderId="50" xfId="2" applyNumberFormat="1" applyFont="1" applyFill="1" applyBorder="1" applyAlignment="1">
      <alignment vertical="center" wrapText="1"/>
    </xf>
    <xf numFmtId="178" fontId="38" fillId="35" borderId="45" xfId="2" applyNumberFormat="1" applyFont="1" applyFill="1" applyBorder="1" applyAlignment="1">
      <alignment vertical="center" wrapText="1"/>
    </xf>
    <xf numFmtId="178" fontId="38" fillId="28" borderId="43" xfId="2" applyNumberFormat="1" applyFont="1" applyFill="1" applyAlignment="1">
      <alignment horizontal="center" vertical="center" wrapText="1"/>
    </xf>
    <xf numFmtId="178" fontId="38" fillId="28" borderId="43" xfId="2" applyNumberFormat="1" applyFont="1" applyFill="1" applyAlignment="1">
      <alignment vertical="center" wrapText="1"/>
    </xf>
    <xf numFmtId="0" fontId="37" fillId="40" borderId="43" xfId="2" applyFont="1" applyFill="1" applyAlignment="1">
      <alignment wrapText="1"/>
    </xf>
    <xf numFmtId="0" fontId="38" fillId="40" borderId="45" xfId="2" applyFont="1" applyFill="1" applyBorder="1" applyAlignment="1">
      <alignment wrapText="1"/>
    </xf>
    <xf numFmtId="0" fontId="38" fillId="40" borderId="43" xfId="2" applyFont="1" applyFill="1" applyAlignment="1">
      <alignment wrapText="1"/>
    </xf>
    <xf numFmtId="0" fontId="39" fillId="31" borderId="45" xfId="2" applyFont="1" applyFill="1" applyBorder="1" applyAlignment="1">
      <alignment horizontal="center" vertical="center" wrapText="1"/>
    </xf>
    <xf numFmtId="0" fontId="41" fillId="31" borderId="45" xfId="2" applyFont="1" applyFill="1" applyBorder="1" applyAlignment="1">
      <alignment horizontal="center" vertical="center" wrapText="1"/>
    </xf>
    <xf numFmtId="0" fontId="39" fillId="34" borderId="45" xfId="2" applyFont="1" applyFill="1" applyBorder="1" applyAlignment="1">
      <alignment horizontal="left" vertical="center" wrapText="1"/>
    </xf>
    <xf numFmtId="0" fontId="39" fillId="34" borderId="45" xfId="2" applyFont="1" applyFill="1" applyBorder="1" applyAlignment="1">
      <alignment horizontal="center" vertical="center" wrapText="1"/>
    </xf>
    <xf numFmtId="0" fontId="39" fillId="0" borderId="43" xfId="2" applyFont="1" applyAlignment="1">
      <alignment horizontal="right" vertical="center" wrapText="1"/>
    </xf>
    <xf numFmtId="0" fontId="39" fillId="0" borderId="50" xfId="2" applyFont="1" applyBorder="1" applyAlignment="1">
      <alignment horizontal="left" vertical="center" wrapText="1"/>
    </xf>
    <xf numFmtId="0" fontId="39" fillId="0" borderId="45" xfId="2" applyFont="1" applyBorder="1" applyAlignment="1">
      <alignment horizontal="left" vertical="center" wrapText="1"/>
    </xf>
    <xf numFmtId="178" fontId="39" fillId="0" borderId="45" xfId="4" applyFont="1" applyBorder="1" applyAlignment="1">
      <alignment horizontal="left" wrapText="1"/>
    </xf>
    <xf numFmtId="178" fontId="40" fillId="0" borderId="43" xfId="4" applyFont="1" applyBorder="1" applyAlignment="1">
      <alignment wrapText="1"/>
    </xf>
    <xf numFmtId="178" fontId="37" fillId="0" borderId="43" xfId="4" applyFont="1" applyBorder="1" applyAlignment="1">
      <alignment wrapText="1"/>
    </xf>
    <xf numFmtId="0" fontId="51" fillId="0" borderId="43" xfId="2" applyFont="1" applyAlignment="1">
      <alignment horizontal="center" vertical="center" wrapText="1"/>
    </xf>
    <xf numFmtId="0" fontId="39" fillId="0" borderId="43" xfId="2" applyFont="1" applyAlignment="1">
      <alignment horizontal="center" vertical="center" wrapText="1"/>
    </xf>
    <xf numFmtId="178" fontId="39" fillId="0" borderId="45" xfId="4" applyFont="1" applyBorder="1" applyAlignment="1">
      <alignment horizontal="left" vertical="center" wrapText="1"/>
    </xf>
    <xf numFmtId="166" fontId="39" fillId="0" borderId="45" xfId="2" applyNumberFormat="1" applyFont="1" applyBorder="1" applyAlignment="1">
      <alignment horizontal="left" vertical="center" wrapText="1"/>
    </xf>
    <xf numFmtId="0" fontId="37" fillId="0" borderId="43" xfId="2" applyFont="1" applyAlignment="1">
      <alignment horizontal="center" wrapText="1"/>
    </xf>
    <xf numFmtId="178" fontId="39" fillId="27" borderId="45" xfId="4" applyFont="1" applyFill="1" applyBorder="1" applyAlignment="1">
      <alignment horizontal="left" wrapText="1"/>
    </xf>
    <xf numFmtId="0" fontId="52" fillId="0" borderId="43" xfId="2" applyFont="1" applyAlignment="1">
      <alignment horizontal="center" wrapText="1"/>
    </xf>
    <xf numFmtId="0" fontId="39" fillId="0" borderId="45" xfId="2" applyFont="1" applyBorder="1" applyAlignment="1">
      <alignment horizontal="left" wrapText="1"/>
    </xf>
    <xf numFmtId="184" fontId="39" fillId="35" borderId="45" xfId="4" applyNumberFormat="1" applyFont="1" applyFill="1" applyBorder="1" applyAlignment="1">
      <alignment horizontal="center" wrapText="1"/>
    </xf>
    <xf numFmtId="178" fontId="39" fillId="27" borderId="45" xfId="4" applyFont="1" applyFill="1" applyBorder="1" applyAlignment="1">
      <alignment horizontal="left" vertical="center" wrapText="1"/>
    </xf>
    <xf numFmtId="0" fontId="42" fillId="27" borderId="45" xfId="2" applyFont="1" applyFill="1" applyBorder="1" applyAlignment="1">
      <alignment horizontal="center" wrapText="1"/>
    </xf>
    <xf numFmtId="0" fontId="39" fillId="0" borderId="50" xfId="2" applyFont="1" applyBorder="1" applyAlignment="1">
      <alignment horizontal="left" wrapText="1"/>
    </xf>
    <xf numFmtId="166" fontId="39" fillId="27" borderId="45" xfId="2" applyNumberFormat="1" applyFont="1" applyFill="1" applyBorder="1" applyAlignment="1">
      <alignment horizontal="left" vertical="center" wrapText="1"/>
    </xf>
    <xf numFmtId="0" fontId="39" fillId="41" borderId="45" xfId="2" applyFont="1" applyFill="1" applyBorder="1" applyAlignment="1">
      <alignment horizontal="left" wrapText="1"/>
    </xf>
    <xf numFmtId="0" fontId="39" fillId="41" borderId="45" xfId="2" applyFont="1" applyFill="1" applyBorder="1" applyAlignment="1">
      <alignment horizontal="center" wrapText="1"/>
    </xf>
    <xf numFmtId="0" fontId="39" fillId="41" borderId="45" xfId="4" applyNumberFormat="1" applyFont="1" applyFill="1" applyBorder="1" applyAlignment="1">
      <alignment horizontal="center" wrapText="1"/>
    </xf>
    <xf numFmtId="178" fontId="39" fillId="40" borderId="45" xfId="2" applyNumberFormat="1" applyFont="1" applyFill="1" applyBorder="1" applyAlignment="1">
      <alignment horizontal="center" vertical="center" wrapText="1"/>
    </xf>
    <xf numFmtId="0" fontId="44" fillId="32" borderId="45" xfId="2" applyFont="1" applyFill="1" applyBorder="1" applyAlignment="1">
      <alignment horizontal="center" vertical="center" wrapText="1"/>
    </xf>
    <xf numFmtId="172" fontId="39" fillId="27" borderId="45" xfId="2" applyNumberFormat="1" applyFont="1" applyFill="1" applyBorder="1" applyAlignment="1">
      <alignment horizontal="center" vertical="center" wrapText="1"/>
    </xf>
    <xf numFmtId="178" fontId="39" fillId="28" borderId="45" xfId="4" applyFont="1" applyFill="1" applyBorder="1" applyAlignment="1">
      <alignment horizontal="left" wrapText="1"/>
    </xf>
    <xf numFmtId="178" fontId="39" fillId="28" borderId="43" xfId="4" applyFont="1" applyFill="1" applyBorder="1" applyAlignment="1">
      <alignment horizontal="left" wrapText="1"/>
    </xf>
    <xf numFmtId="0" fontId="39" fillId="30" borderId="45" xfId="2" applyFont="1" applyFill="1" applyBorder="1" applyAlignment="1">
      <alignment horizontal="center" vertical="center" wrapText="1"/>
    </xf>
    <xf numFmtId="178" fontId="39" fillId="0" borderId="43" xfId="4" applyFont="1" applyAlignment="1">
      <alignment horizontal="left" wrapText="1"/>
    </xf>
    <xf numFmtId="178" fontId="39" fillId="0" borderId="43" xfId="4" applyFont="1" applyAlignment="1">
      <alignment horizontal="left" vertical="center" wrapText="1"/>
    </xf>
    <xf numFmtId="178" fontId="37" fillId="0" borderId="43" xfId="4" applyFont="1" applyAlignment="1">
      <alignment wrapText="1"/>
    </xf>
    <xf numFmtId="172" fontId="39" fillId="0" borderId="45" xfId="2" applyNumberFormat="1" applyFont="1" applyBorder="1" applyAlignment="1">
      <alignment horizontal="center" vertical="center" wrapText="1"/>
    </xf>
    <xf numFmtId="0" fontId="39" fillId="0" borderId="43" xfId="2" applyFont="1" applyAlignment="1">
      <alignment horizontal="left" wrapText="1"/>
    </xf>
    <xf numFmtId="172" fontId="39" fillId="0" borderId="43" xfId="2" applyNumberFormat="1" applyFont="1" applyAlignment="1">
      <alignment horizontal="center" vertical="center" wrapText="1"/>
    </xf>
    <xf numFmtId="2" fontId="39" fillId="27" borderId="45" xfId="2" applyNumberFormat="1" applyFont="1" applyFill="1" applyBorder="1" applyAlignment="1">
      <alignment horizontal="center" vertical="center" wrapText="1"/>
    </xf>
    <xf numFmtId="178" fontId="39" fillId="35" borderId="45" xfId="4" applyFont="1" applyFill="1" applyBorder="1" applyAlignment="1">
      <alignment horizontal="left" vertical="center" wrapText="1"/>
    </xf>
    <xf numFmtId="178" fontId="39" fillId="35" borderId="46" xfId="4" applyFont="1" applyFill="1" applyBorder="1" applyAlignment="1">
      <alignment horizontal="left" vertical="center" wrapText="1"/>
    </xf>
    <xf numFmtId="178" fontId="38" fillId="27" borderId="45" xfId="2" applyNumberFormat="1" applyFont="1" applyFill="1" applyBorder="1" applyAlignment="1">
      <alignment horizontal="center" vertical="center" wrapText="1"/>
    </xf>
    <xf numFmtId="43" fontId="38" fillId="0" borderId="45" xfId="2" applyNumberFormat="1" applyFont="1" applyBorder="1" applyAlignment="1">
      <alignment horizontal="center" vertical="center" wrapText="1"/>
    </xf>
    <xf numFmtId="0" fontId="39" fillId="35" borderId="45" xfId="2" applyFont="1" applyFill="1" applyBorder="1" applyAlignment="1">
      <alignment horizontal="center" wrapText="1"/>
    </xf>
    <xf numFmtId="0" fontId="39" fillId="35" borderId="45" xfId="2" applyFont="1" applyFill="1" applyBorder="1" applyAlignment="1">
      <alignment horizontal="left" wrapText="1"/>
    </xf>
    <xf numFmtId="166" fontId="38" fillId="0" borderId="43" xfId="2" applyNumberFormat="1" applyFont="1" applyAlignment="1">
      <alignment wrapText="1"/>
    </xf>
    <xf numFmtId="178" fontId="38" fillId="0" borderId="43" xfId="4" applyFont="1" applyBorder="1" applyAlignment="1">
      <alignment wrapText="1"/>
    </xf>
    <xf numFmtId="178" fontId="38" fillId="0" borderId="43" xfId="4" applyFont="1" applyAlignment="1">
      <alignment wrapText="1"/>
    </xf>
    <xf numFmtId="0" fontId="44" fillId="33" borderId="45" xfId="2" applyFont="1" applyFill="1" applyBorder="1" applyAlignment="1">
      <alignment horizontal="center" vertical="center" wrapText="1"/>
    </xf>
    <xf numFmtId="0" fontId="42" fillId="27" borderId="45" xfId="2" applyFont="1" applyFill="1" applyBorder="1" applyAlignment="1">
      <alignment horizontal="center" vertical="center" wrapText="1"/>
    </xf>
    <xf numFmtId="166" fontId="42" fillId="27" borderId="45" xfId="2" applyNumberFormat="1" applyFont="1" applyFill="1" applyBorder="1" applyAlignment="1">
      <alignment horizontal="center" vertical="center" wrapText="1"/>
    </xf>
    <xf numFmtId="0" fontId="44" fillId="33" borderId="45" xfId="4" applyNumberFormat="1" applyFont="1" applyFill="1" applyBorder="1" applyAlignment="1">
      <alignment horizontal="center" vertical="center" wrapText="1"/>
    </xf>
    <xf numFmtId="178" fontId="38" fillId="0" borderId="45" xfId="4" applyFont="1" applyBorder="1" applyAlignment="1">
      <alignment vertical="center" wrapText="1"/>
    </xf>
    <xf numFmtId="10" fontId="42" fillId="27" borderId="45" xfId="2" applyNumberFormat="1" applyFont="1" applyFill="1" applyBorder="1" applyAlignment="1">
      <alignment horizontal="center" vertical="center" wrapText="1"/>
    </xf>
    <xf numFmtId="172" fontId="42" fillId="27" borderId="45" xfId="3" applyNumberFormat="1" applyFont="1" applyFill="1" applyBorder="1" applyAlignment="1">
      <alignment horizontal="center" vertical="center" wrapText="1"/>
    </xf>
    <xf numFmtId="185" fontId="38" fillId="27" borderId="45" xfId="2" applyNumberFormat="1" applyFont="1" applyFill="1" applyBorder="1" applyAlignment="1">
      <alignment horizontal="center" wrapText="1"/>
    </xf>
    <xf numFmtId="178" fontId="48" fillId="35" borderId="45" xfId="4" applyFont="1" applyFill="1" applyBorder="1" applyAlignment="1">
      <alignment horizontal="center" wrapText="1"/>
    </xf>
    <xf numFmtId="0" fontId="38" fillId="27" borderId="50" xfId="2" applyFont="1" applyFill="1" applyBorder="1" applyAlignment="1">
      <alignment horizontal="center" wrapText="1"/>
    </xf>
    <xf numFmtId="10" fontId="38" fillId="27" borderId="45" xfId="2" applyNumberFormat="1" applyFont="1" applyFill="1" applyBorder="1" applyAlignment="1">
      <alignment horizontal="center" vertical="center" wrapText="1"/>
    </xf>
    <xf numFmtId="0" fontId="38" fillId="30" borderId="43" xfId="2" applyFont="1" applyFill="1" applyAlignment="1">
      <alignment horizontal="center" vertical="center" wrapText="1"/>
    </xf>
    <xf numFmtId="9" fontId="38" fillId="27" borderId="45" xfId="2" applyNumberFormat="1" applyFont="1" applyFill="1" applyBorder="1" applyAlignment="1">
      <alignment horizontal="center" wrapText="1"/>
    </xf>
    <xf numFmtId="0" fontId="38" fillId="30" borderId="45" xfId="2" applyFont="1" applyFill="1" applyBorder="1" applyAlignment="1">
      <alignment wrapText="1"/>
    </xf>
    <xf numFmtId="178" fontId="38" fillId="30" borderId="45" xfId="4" applyFont="1" applyFill="1" applyBorder="1" applyAlignment="1">
      <alignment wrapText="1"/>
    </xf>
    <xf numFmtId="178" fontId="38" fillId="27" borderId="43" xfId="4" applyFont="1" applyFill="1" applyBorder="1" applyAlignment="1">
      <alignment wrapText="1"/>
    </xf>
    <xf numFmtId="0" fontId="44" fillId="33" borderId="45" xfId="2" applyFont="1" applyFill="1" applyBorder="1" applyAlignment="1">
      <alignment horizontal="center" wrapText="1"/>
    </xf>
    <xf numFmtId="10" fontId="39" fillId="35" borderId="45" xfId="2" applyNumberFormat="1" applyFont="1" applyFill="1" applyBorder="1" applyAlignment="1">
      <alignment horizontal="center" wrapText="1"/>
    </xf>
    <xf numFmtId="184" fontId="39" fillId="35" borderId="45" xfId="2" applyNumberFormat="1" applyFont="1" applyFill="1" applyBorder="1" applyAlignment="1">
      <alignment horizontal="center" wrapText="1"/>
    </xf>
    <xf numFmtId="172" fontId="39" fillId="27" borderId="45" xfId="4" applyNumberFormat="1" applyFont="1" applyFill="1" applyBorder="1" applyAlignment="1">
      <alignment horizontal="center" wrapText="1"/>
    </xf>
    <xf numFmtId="10" fontId="39" fillId="35" borderId="45" xfId="3" applyNumberFormat="1" applyFont="1" applyFill="1" applyBorder="1" applyAlignment="1">
      <alignment horizontal="center" vertical="center" wrapText="1"/>
    </xf>
    <xf numFmtId="184" fontId="39" fillId="27" borderId="45" xfId="2" applyNumberFormat="1" applyFont="1" applyFill="1" applyBorder="1" applyAlignment="1">
      <alignment horizontal="center" wrapText="1"/>
    </xf>
    <xf numFmtId="10" fontId="39" fillId="27" borderId="45" xfId="2" applyNumberFormat="1" applyFont="1" applyFill="1" applyBorder="1" applyAlignment="1">
      <alignment horizontal="center" wrapText="1"/>
    </xf>
    <xf numFmtId="177" fontId="39" fillId="27" borderId="45" xfId="2" applyNumberFormat="1" applyFont="1" applyFill="1" applyBorder="1" applyAlignment="1">
      <alignment horizontal="center" vertical="center" wrapText="1"/>
    </xf>
    <xf numFmtId="184" fontId="39" fillId="35" borderId="45" xfId="2" applyNumberFormat="1" applyFont="1" applyFill="1" applyBorder="1" applyAlignment="1">
      <alignment horizontal="center" vertical="center" wrapText="1"/>
    </xf>
    <xf numFmtId="172" fontId="39" fillId="35" borderId="45" xfId="2" applyNumberFormat="1" applyFont="1" applyFill="1" applyBorder="1" applyAlignment="1">
      <alignment horizontal="center" vertical="center" wrapText="1"/>
    </xf>
    <xf numFmtId="166" fontId="39" fillId="30" borderId="45" xfId="2" applyNumberFormat="1" applyFont="1" applyFill="1" applyBorder="1" applyAlignment="1">
      <alignment vertical="center" wrapText="1"/>
    </xf>
    <xf numFmtId="0" fontId="39" fillId="35" borderId="45" xfId="2" applyFont="1" applyFill="1" applyBorder="1" applyAlignment="1">
      <alignment vertical="center" wrapText="1"/>
    </xf>
    <xf numFmtId="0" fontId="39" fillId="30" borderId="45" xfId="2" applyFont="1" applyFill="1" applyBorder="1" applyAlignment="1">
      <alignment vertical="center" wrapText="1"/>
    </xf>
    <xf numFmtId="0" fontId="40" fillId="0" borderId="43" xfId="2" applyFont="1" applyAlignment="1">
      <alignment vertical="center" wrapText="1"/>
    </xf>
    <xf numFmtId="0" fontId="42" fillId="28" borderId="43" xfId="2" applyFont="1" applyFill="1" applyAlignment="1">
      <alignment wrapText="1"/>
    </xf>
    <xf numFmtId="0" fontId="53" fillId="28" borderId="43" xfId="2" applyFont="1" applyFill="1" applyAlignment="1">
      <alignment wrapText="1"/>
    </xf>
    <xf numFmtId="0" fontId="39" fillId="34" borderId="45" xfId="2" applyFont="1" applyFill="1" applyBorder="1" applyAlignment="1">
      <alignment horizontal="left" wrapText="1"/>
    </xf>
    <xf numFmtId="0" fontId="40" fillId="0" borderId="45" xfId="2" applyFont="1" applyBorder="1" applyAlignment="1">
      <alignment horizontal="left" wrapText="1"/>
    </xf>
    <xf numFmtId="178" fontId="39" fillId="0" borderId="45" xfId="2" applyNumberFormat="1" applyFont="1" applyBorder="1" applyAlignment="1">
      <alignment horizontal="left" vertical="center" wrapText="1"/>
    </xf>
    <xf numFmtId="184" fontId="39" fillId="0" borderId="45" xfId="4" applyNumberFormat="1" applyFont="1" applyBorder="1" applyAlignment="1">
      <alignment horizontal="center" wrapText="1"/>
    </xf>
    <xf numFmtId="0" fontId="38" fillId="28" borderId="45" xfId="2" applyFont="1" applyFill="1" applyBorder="1" applyAlignment="1">
      <alignment horizontal="right" wrapText="1"/>
    </xf>
    <xf numFmtId="0" fontId="38" fillId="28" borderId="45" xfId="2" applyFont="1" applyFill="1" applyBorder="1" applyAlignment="1">
      <alignment horizontal="right" vertical="center" wrapText="1"/>
    </xf>
    <xf numFmtId="178" fontId="39" fillId="35" borderId="45" xfId="4" applyFont="1" applyFill="1" applyBorder="1" applyAlignment="1">
      <alignment horizontal="left" wrapText="1"/>
    </xf>
    <xf numFmtId="178" fontId="39" fillId="35" borderId="45" xfId="2" applyNumberFormat="1" applyFont="1" applyFill="1" applyBorder="1" applyAlignment="1">
      <alignment horizontal="left" vertical="center" wrapText="1"/>
    </xf>
    <xf numFmtId="0" fontId="39" fillId="28" borderId="45" xfId="2" applyFont="1" applyFill="1" applyBorder="1" applyAlignment="1">
      <alignment horizontal="center" vertical="center" wrapText="1"/>
    </xf>
    <xf numFmtId="186" fontId="39" fillId="27" borderId="45" xfId="2" applyNumberFormat="1" applyFont="1" applyFill="1" applyBorder="1" applyAlignment="1">
      <alignment horizontal="center" wrapText="1"/>
    </xf>
    <xf numFmtId="0" fontId="39" fillId="28" borderId="46" xfId="2" applyFont="1" applyFill="1" applyBorder="1" applyAlignment="1">
      <alignment horizontal="left" wrapText="1"/>
    </xf>
    <xf numFmtId="0" fontId="39" fillId="28" borderId="50" xfId="2" applyFont="1" applyFill="1" applyBorder="1" applyAlignment="1">
      <alignment horizontal="left" wrapText="1"/>
    </xf>
    <xf numFmtId="0" fontId="39" fillId="30" borderId="45" xfId="2" applyFont="1" applyFill="1" applyBorder="1" applyAlignment="1">
      <alignment horizontal="center" wrapText="1"/>
    </xf>
    <xf numFmtId="172" fontId="39" fillId="0" borderId="45" xfId="2" applyNumberFormat="1" applyFont="1" applyBorder="1" applyAlignment="1">
      <alignment horizontal="center" wrapText="1"/>
    </xf>
    <xf numFmtId="2" fontId="39" fillId="0" borderId="43" xfId="2" applyNumberFormat="1" applyFont="1" applyAlignment="1">
      <alignment horizontal="center" vertical="center" wrapText="1"/>
    </xf>
    <xf numFmtId="178" fontId="39" fillId="41" borderId="45" xfId="4" applyFont="1" applyFill="1" applyBorder="1" applyAlignment="1">
      <alignment horizontal="left" wrapText="1"/>
    </xf>
    <xf numFmtId="178" fontId="39" fillId="41" borderId="46" xfId="4" applyFont="1" applyFill="1" applyBorder="1" applyAlignment="1">
      <alignment horizontal="left" wrapText="1"/>
    </xf>
    <xf numFmtId="0" fontId="39" fillId="42" borderId="45" xfId="2" applyFont="1" applyFill="1" applyBorder="1" applyAlignment="1">
      <alignment horizontal="center" wrapText="1"/>
    </xf>
    <xf numFmtId="178" fontId="39" fillId="28" borderId="43" xfId="4" applyFont="1" applyFill="1" applyBorder="1" applyAlignment="1">
      <alignment wrapText="1"/>
    </xf>
    <xf numFmtId="0" fontId="39" fillId="28" borderId="43" xfId="2" applyFont="1" applyFill="1"/>
    <xf numFmtId="170" fontId="0" fillId="0" borderId="0" xfId="0" applyNumberFormat="1" applyFont="1"/>
    <xf numFmtId="43" fontId="0" fillId="0" borderId="0" xfId="0" applyNumberFormat="1" applyFont="1"/>
    <xf numFmtId="0" fontId="56" fillId="3" borderId="16" xfId="0" applyFont="1" applyFill="1" applyBorder="1" applyAlignment="1">
      <alignment horizontal="center" wrapText="1"/>
    </xf>
    <xf numFmtId="171" fontId="0" fillId="0" borderId="0" xfId="0" applyNumberFormat="1" applyFont="1"/>
    <xf numFmtId="0" fontId="37" fillId="0" borderId="43" xfId="2" applyFont="1" applyFill="1" applyBorder="1" applyAlignment="1">
      <alignment horizontal="center" vertical="center" wrapText="1"/>
    </xf>
    <xf numFmtId="0" fontId="37" fillId="0" borderId="43" xfId="2" applyFont="1" applyFill="1" applyBorder="1" applyAlignment="1">
      <alignment wrapText="1"/>
    </xf>
    <xf numFmtId="0" fontId="42" fillId="0" borderId="43" xfId="2" applyFont="1" applyFill="1" applyBorder="1" applyAlignment="1">
      <alignment horizontal="center" vertical="center" wrapText="1"/>
    </xf>
    <xf numFmtId="10" fontId="42" fillId="0" borderId="43" xfId="2" applyNumberFormat="1" applyFont="1" applyFill="1" applyBorder="1" applyAlignment="1">
      <alignment horizontal="center" vertical="center" wrapText="1"/>
    </xf>
    <xf numFmtId="10" fontId="42" fillId="0" borderId="43" xfId="3" applyNumberFormat="1" applyFont="1" applyFill="1" applyBorder="1" applyAlignment="1">
      <alignment horizontal="center" vertical="center" wrapText="1"/>
    </xf>
    <xf numFmtId="178" fontId="42" fillId="0" borderId="43" xfId="4" applyFont="1" applyFill="1" applyBorder="1" applyAlignment="1">
      <alignment horizontal="center" vertical="center" wrapText="1"/>
    </xf>
    <xf numFmtId="43" fontId="42" fillId="0" borderId="43" xfId="2" applyNumberFormat="1" applyFont="1" applyFill="1" applyBorder="1" applyAlignment="1">
      <alignment horizontal="center" vertical="center" wrapText="1"/>
    </xf>
    <xf numFmtId="0" fontId="38" fillId="0" borderId="43" xfId="2" applyFont="1" applyFill="1" applyBorder="1" applyAlignment="1">
      <alignment horizontal="center" vertical="center" wrapText="1"/>
    </xf>
    <xf numFmtId="43" fontId="37" fillId="0" borderId="43" xfId="2" applyNumberFormat="1" applyFont="1" applyFill="1" applyBorder="1" applyAlignment="1">
      <alignment wrapText="1"/>
    </xf>
    <xf numFmtId="0" fontId="47" fillId="0" borderId="43" xfId="2" applyFont="1" applyFill="1" applyBorder="1" applyAlignment="1">
      <alignment horizontal="center" vertical="center" wrapText="1"/>
    </xf>
    <xf numFmtId="9" fontId="47" fillId="0" borderId="43" xfId="2" applyNumberFormat="1" applyFont="1" applyFill="1" applyBorder="1" applyAlignment="1">
      <alignment horizontal="center" vertical="center" wrapText="1"/>
    </xf>
    <xf numFmtId="0" fontId="0" fillId="0" borderId="0" xfId="0" applyFont="1" applyAlignment="1"/>
    <xf numFmtId="0" fontId="0" fillId="0" borderId="0" xfId="0" applyFont="1"/>
    <xf numFmtId="0" fontId="38" fillId="27" borderId="45" xfId="2" applyFont="1" applyFill="1" applyBorder="1" applyAlignment="1">
      <alignment horizontal="center" vertical="center" wrapText="1"/>
    </xf>
    <xf numFmtId="0" fontId="38" fillId="35" borderId="45" xfId="2" applyFont="1" applyFill="1" applyBorder="1" applyAlignment="1">
      <alignment horizontal="center" wrapText="1"/>
    </xf>
    <xf numFmtId="0" fontId="39" fillId="27" borderId="50" xfId="2" applyFont="1" applyFill="1" applyBorder="1" applyAlignment="1">
      <alignment horizontal="center" vertical="center" wrapText="1"/>
    </xf>
    <xf numFmtId="0" fontId="39" fillId="0" borderId="45" xfId="2" applyFont="1" applyBorder="1" applyAlignment="1">
      <alignment horizontal="center" vertical="center" wrapText="1"/>
    </xf>
    <xf numFmtId="178" fontId="47" fillId="35" borderId="45" xfId="4" applyFont="1" applyFill="1" applyBorder="1" applyAlignment="1">
      <alignment horizontal="center" vertical="center" wrapText="1"/>
    </xf>
    <xf numFmtId="0" fontId="39" fillId="27" borderId="45" xfId="2" applyFont="1" applyFill="1" applyBorder="1" applyAlignment="1">
      <alignment horizontal="center" vertical="center" wrapText="1"/>
    </xf>
    <xf numFmtId="0" fontId="39" fillId="35" borderId="45" xfId="2" applyFont="1" applyFill="1" applyBorder="1" applyAlignment="1">
      <alignment horizontal="center" vertical="center" wrapText="1"/>
    </xf>
    <xf numFmtId="0" fontId="39" fillId="0" borderId="45" xfId="2" applyFont="1" applyBorder="1" applyAlignment="1">
      <alignment horizontal="center" wrapText="1"/>
    </xf>
    <xf numFmtId="0" fontId="38" fillId="27" borderId="50" xfId="2" applyFont="1" applyFill="1" applyBorder="1" applyAlignment="1">
      <alignment horizontal="center" vertical="center" wrapText="1"/>
    </xf>
    <xf numFmtId="0" fontId="38" fillId="27" borderId="45" xfId="2" applyFont="1" applyFill="1" applyBorder="1" applyAlignment="1">
      <alignment horizontal="center" wrapText="1"/>
    </xf>
    <xf numFmtId="0" fontId="38" fillId="28" borderId="43" xfId="2" applyFont="1" applyFill="1" applyAlignment="1">
      <alignment horizontal="center" wrapText="1"/>
    </xf>
    <xf numFmtId="0" fontId="47" fillId="34" borderId="45" xfId="2" applyFont="1" applyFill="1" applyBorder="1" applyAlignment="1">
      <alignment horizontal="center" vertical="center" wrapText="1"/>
    </xf>
    <xf numFmtId="0" fontId="38" fillId="28" borderId="46" xfId="2" applyFont="1" applyFill="1" applyBorder="1" applyAlignment="1">
      <alignment horizontal="center" vertical="center" wrapText="1"/>
    </xf>
    <xf numFmtId="0" fontId="38" fillId="28" borderId="50" xfId="2" applyFont="1" applyFill="1" applyBorder="1" applyAlignment="1">
      <alignment horizontal="center" vertical="center" wrapText="1"/>
    </xf>
    <xf numFmtId="0" fontId="47" fillId="35" borderId="46" xfId="2" applyFont="1" applyFill="1" applyBorder="1" applyAlignment="1">
      <alignment horizontal="center" vertical="center" wrapText="1"/>
    </xf>
    <xf numFmtId="0" fontId="38" fillId="27" borderId="55" xfId="2" applyFont="1" applyFill="1" applyBorder="1" applyAlignment="1">
      <alignment horizontal="center" vertical="center" wrapText="1"/>
    </xf>
    <xf numFmtId="0" fontId="45" fillId="27" borderId="45" xfId="2" applyFont="1" applyFill="1" applyBorder="1" applyAlignment="1">
      <alignment horizontal="center" vertical="center" wrapText="1"/>
    </xf>
    <xf numFmtId="0" fontId="38" fillId="0" borderId="45" xfId="2" applyFont="1" applyBorder="1" applyAlignment="1">
      <alignment horizontal="center" vertical="center" wrapText="1"/>
    </xf>
    <xf numFmtId="0" fontId="45" fillId="27" borderId="43" xfId="2" applyFont="1" applyFill="1" applyAlignment="1">
      <alignment horizontal="center" vertical="center" wrapText="1"/>
    </xf>
    <xf numFmtId="0" fontId="45" fillId="35" borderId="50" xfId="2" applyFont="1" applyFill="1" applyBorder="1" applyAlignment="1">
      <alignment horizontal="center" vertical="center" wrapText="1"/>
    </xf>
    <xf numFmtId="0" fontId="38" fillId="35" borderId="45" xfId="2" applyFont="1" applyFill="1" applyBorder="1" applyAlignment="1">
      <alignment horizontal="center" vertical="center" wrapText="1"/>
    </xf>
    <xf numFmtId="0" fontId="39" fillId="0" borderId="50" xfId="2" applyFont="1" applyBorder="1" applyAlignment="1">
      <alignment horizontal="left" vertical="center" wrapText="1"/>
    </xf>
    <xf numFmtId="0" fontId="39" fillId="0" borderId="45" xfId="2" applyFont="1" applyBorder="1" applyAlignment="1">
      <alignment horizontal="left" vertical="center" wrapText="1"/>
    </xf>
    <xf numFmtId="0" fontId="39" fillId="0" borderId="45" xfId="2" applyFont="1" applyBorder="1" applyAlignment="1">
      <alignment horizontal="left" wrapText="1"/>
    </xf>
    <xf numFmtId="0" fontId="39" fillId="0" borderId="43" xfId="2" applyFont="1" applyAlignment="1">
      <alignment horizontal="center" vertical="center" wrapText="1"/>
    </xf>
    <xf numFmtId="1" fontId="14" fillId="3" borderId="16" xfId="0" applyNumberFormat="1" applyFont="1" applyFill="1" applyBorder="1" applyAlignment="1">
      <alignment horizontal="center"/>
    </xf>
    <xf numFmtId="0" fontId="0" fillId="15" borderId="14" xfId="0" applyFont="1" applyFill="1" applyBorder="1" applyAlignment="1">
      <alignment horizontal="center" vertical="center" wrapText="1"/>
    </xf>
    <xf numFmtId="0" fontId="58" fillId="3" borderId="14" xfId="0" applyFont="1" applyFill="1" applyBorder="1" applyAlignment="1">
      <alignment horizontal="center" vertical="center" wrapText="1"/>
    </xf>
    <xf numFmtId="187" fontId="20" fillId="3" borderId="16" xfId="0" applyNumberFormat="1" applyFont="1" applyFill="1" applyBorder="1" applyAlignment="1">
      <alignment horizontal="center"/>
    </xf>
    <xf numFmtId="0" fontId="57" fillId="15" borderId="16" xfId="0" applyFont="1" applyFill="1" applyBorder="1" applyAlignment="1">
      <alignment vertical="center" wrapText="1"/>
    </xf>
    <xf numFmtId="0" fontId="59" fillId="3" borderId="16" xfId="0" applyFont="1" applyFill="1" applyBorder="1" applyAlignment="1">
      <alignment horizontal="center"/>
    </xf>
    <xf numFmtId="0" fontId="59" fillId="14" borderId="16" xfId="0" applyFont="1" applyFill="1" applyBorder="1"/>
    <xf numFmtId="171" fontId="14" fillId="3" borderId="16" xfId="0" applyNumberFormat="1" applyFont="1" applyFill="1" applyBorder="1" applyAlignment="1">
      <alignment horizontal="center" vertical="center"/>
    </xf>
    <xf numFmtId="1" fontId="16" fillId="16" borderId="16" xfId="0" applyNumberFormat="1" applyFont="1" applyFill="1" applyBorder="1" applyAlignment="1">
      <alignment horizontal="center" vertical="center"/>
    </xf>
    <xf numFmtId="1" fontId="20" fillId="3" borderId="16" xfId="0" applyNumberFormat="1" applyFont="1" applyFill="1" applyBorder="1" applyAlignment="1">
      <alignment horizontal="center" vertical="center"/>
    </xf>
    <xf numFmtId="0" fontId="29" fillId="18" borderId="16" xfId="0" applyFont="1" applyFill="1" applyBorder="1" applyAlignment="1">
      <alignment horizontal="center" wrapText="1"/>
    </xf>
    <xf numFmtId="171" fontId="29" fillId="3" borderId="16" xfId="0" applyNumberFormat="1" applyFont="1" applyFill="1" applyBorder="1" applyAlignment="1">
      <alignment horizontal="center"/>
    </xf>
    <xf numFmtId="165" fontId="59" fillId="20" borderId="16" xfId="0" applyNumberFormat="1" applyFont="1" applyFill="1" applyBorder="1" applyAlignment="1">
      <alignment horizontal="center" wrapText="1"/>
    </xf>
    <xf numFmtId="165" fontId="59" fillId="20" borderId="16" xfId="0" applyNumberFormat="1" applyFont="1" applyFill="1" applyBorder="1" applyAlignment="1">
      <alignment horizontal="center" vertical="center" wrapText="1"/>
    </xf>
    <xf numFmtId="49" fontId="58" fillId="3" borderId="16" xfId="0" applyNumberFormat="1" applyFont="1" applyFill="1" applyBorder="1" applyAlignment="1">
      <alignment horizontal="center"/>
    </xf>
    <xf numFmtId="0" fontId="58" fillId="3" borderId="16" xfId="0" applyFont="1" applyFill="1" applyBorder="1" applyAlignment="1">
      <alignment horizontal="center" wrapText="1"/>
    </xf>
    <xf numFmtId="171" fontId="9" fillId="3" borderId="16" xfId="0" applyNumberFormat="1" applyFont="1" applyFill="1" applyBorder="1" applyAlignment="1">
      <alignment horizontal="center"/>
    </xf>
    <xf numFmtId="171" fontId="9" fillId="3" borderId="16" xfId="0" applyNumberFormat="1" applyFont="1" applyFill="1" applyBorder="1" applyAlignment="1">
      <alignment horizontal="center" vertical="center"/>
    </xf>
    <xf numFmtId="10" fontId="26" fillId="14" borderId="16" xfId="0" applyNumberFormat="1" applyFont="1" applyFill="1" applyBorder="1" applyAlignment="1">
      <alignment horizontal="right"/>
    </xf>
    <xf numFmtId="10" fontId="26" fillId="3" borderId="16" xfId="0" applyNumberFormat="1" applyFont="1" applyFill="1" applyBorder="1" applyAlignment="1">
      <alignment horizontal="right"/>
    </xf>
    <xf numFmtId="1" fontId="9" fillId="3" borderId="16" xfId="0" applyNumberFormat="1" applyFont="1" applyFill="1" applyBorder="1" applyAlignment="1">
      <alignment horizontal="center"/>
    </xf>
    <xf numFmtId="173" fontId="59" fillId="3" borderId="16" xfId="0" applyNumberFormat="1" applyFont="1" applyFill="1" applyBorder="1" applyAlignment="1">
      <alignment horizontal="center"/>
    </xf>
    <xf numFmtId="0" fontId="59" fillId="43" borderId="16" xfId="0" applyFont="1" applyFill="1" applyBorder="1" applyAlignment="1">
      <alignment horizontal="center"/>
    </xf>
    <xf numFmtId="169" fontId="26" fillId="14" borderId="22" xfId="0" applyNumberFormat="1" applyFont="1" applyFill="1" applyBorder="1" applyAlignment="1">
      <alignment horizontal="right"/>
    </xf>
    <xf numFmtId="173" fontId="26" fillId="14" borderId="22" xfId="0" applyNumberFormat="1" applyFont="1" applyFill="1" applyBorder="1" applyAlignment="1">
      <alignment horizontal="right"/>
    </xf>
    <xf numFmtId="0" fontId="58" fillId="27" borderId="45" xfId="0" applyFont="1" applyFill="1" applyBorder="1" applyAlignment="1">
      <alignment horizontal="center" vertical="center"/>
    </xf>
    <xf numFmtId="165" fontId="59" fillId="0" borderId="16" xfId="0" applyNumberFormat="1" applyFont="1" applyBorder="1"/>
    <xf numFmtId="169" fontId="59" fillId="3" borderId="16" xfId="0" applyNumberFormat="1" applyFont="1" applyFill="1" applyBorder="1" applyAlignment="1">
      <alignment horizontal="center"/>
    </xf>
    <xf numFmtId="0" fontId="0" fillId="0" borderId="43" xfId="0" applyFont="1" applyBorder="1"/>
    <xf numFmtId="0" fontId="37" fillId="28" borderId="0" xfId="0" applyFont="1" applyFill="1" applyAlignment="1">
      <alignment wrapText="1"/>
    </xf>
    <xf numFmtId="0" fontId="37" fillId="0" borderId="0" xfId="0" applyFont="1" applyAlignment="1">
      <alignment wrapText="1"/>
    </xf>
    <xf numFmtId="10" fontId="37" fillId="0" borderId="0" xfId="0" applyNumberFormat="1" applyFont="1" applyAlignment="1">
      <alignment wrapText="1"/>
    </xf>
    <xf numFmtId="178" fontId="39" fillId="27" borderId="45" xfId="7" applyFont="1" applyFill="1" applyBorder="1" applyAlignment="1">
      <alignment horizontal="center" vertical="center" wrapText="1"/>
    </xf>
    <xf numFmtId="178" fontId="39" fillId="27" borderId="45" xfId="7" applyFont="1" applyFill="1" applyBorder="1" applyAlignment="1">
      <alignment horizontal="left" wrapText="1"/>
    </xf>
    <xf numFmtId="178" fontId="39" fillId="27" borderId="45" xfId="7" applyFont="1" applyFill="1" applyBorder="1" applyAlignment="1">
      <alignment vertical="center" wrapText="1"/>
    </xf>
    <xf numFmtId="178" fontId="39" fillId="27" borderId="60" xfId="7" applyFont="1" applyFill="1" applyBorder="1" applyAlignment="1">
      <alignment horizontal="center" wrapText="1"/>
    </xf>
    <xf numFmtId="0" fontId="38" fillId="28" borderId="43" xfId="8" applyNumberFormat="1" applyFont="1" applyFill="1" applyBorder="1" applyAlignment="1">
      <alignment horizontal="center" vertical="center" wrapText="1"/>
    </xf>
    <xf numFmtId="178" fontId="38" fillId="28" borderId="43" xfId="7" applyFont="1" applyFill="1" applyBorder="1" applyAlignment="1">
      <alignment horizontal="center" vertical="center" wrapText="1"/>
    </xf>
    <xf numFmtId="174" fontId="38" fillId="28" borderId="43" xfId="8" applyNumberFormat="1" applyFont="1" applyFill="1" applyBorder="1" applyAlignment="1">
      <alignment vertical="center" wrapText="1"/>
    </xf>
    <xf numFmtId="178" fontId="38" fillId="29" borderId="45" xfId="7" applyFont="1" applyFill="1" applyBorder="1" applyAlignment="1">
      <alignment horizontal="center" vertical="center" wrapText="1"/>
    </xf>
    <xf numFmtId="178" fontId="38" fillId="0" borderId="45" xfId="7" applyFont="1" applyBorder="1" applyAlignment="1">
      <alignment horizontal="center" vertical="center" wrapText="1"/>
    </xf>
    <xf numFmtId="178" fontId="38" fillId="27" borderId="45" xfId="7" applyFont="1" applyFill="1" applyBorder="1" applyAlignment="1">
      <alignment horizontal="center" vertical="center" wrapText="1"/>
    </xf>
    <xf numFmtId="178" fontId="38" fillId="27" borderId="45" xfId="7" applyFont="1" applyFill="1" applyBorder="1" applyAlignment="1">
      <alignment wrapText="1"/>
    </xf>
    <xf numFmtId="179" fontId="38" fillId="0" borderId="43" xfId="7" applyNumberFormat="1" applyFont="1" applyBorder="1" applyAlignment="1">
      <alignment horizontal="center" vertical="center" wrapText="1"/>
    </xf>
    <xf numFmtId="179" fontId="38" fillId="28" borderId="43" xfId="7" applyNumberFormat="1" applyFont="1" applyFill="1" applyBorder="1" applyAlignment="1">
      <alignment horizontal="center" vertical="center" wrapText="1"/>
    </xf>
    <xf numFmtId="178" fontId="38" fillId="30" borderId="46" xfId="7" applyFont="1" applyFill="1" applyBorder="1" applyAlignment="1">
      <alignment horizontal="center" vertical="center" wrapText="1"/>
    </xf>
    <xf numFmtId="178" fontId="38" fillId="32" borderId="45" xfId="7" applyFont="1" applyFill="1" applyBorder="1" applyAlignment="1">
      <alignment horizontal="center" vertical="center" wrapText="1"/>
    </xf>
    <xf numFmtId="178" fontId="38" fillId="27" borderId="45" xfId="7" applyFont="1" applyFill="1" applyBorder="1" applyAlignment="1">
      <alignment vertical="center" wrapText="1"/>
    </xf>
    <xf numFmtId="178" fontId="38" fillId="33" borderId="45" xfId="7" applyFont="1" applyFill="1" applyBorder="1" applyAlignment="1">
      <alignment horizontal="center" vertical="center" wrapText="1"/>
    </xf>
    <xf numFmtId="9" fontId="38" fillId="29" borderId="45" xfId="8" applyFont="1" applyFill="1" applyBorder="1" applyAlignment="1">
      <alignment horizontal="center" vertical="center" wrapText="1"/>
    </xf>
    <xf numFmtId="9" fontId="37" fillId="44" borderId="45" xfId="8" applyFont="1" applyFill="1" applyBorder="1" applyAlignment="1">
      <alignment wrapText="1"/>
    </xf>
    <xf numFmtId="178" fontId="37" fillId="44" borderId="45" xfId="7" applyFont="1" applyFill="1" applyBorder="1" applyAlignment="1">
      <alignment wrapText="1"/>
    </xf>
    <xf numFmtId="178" fontId="38" fillId="29" borderId="45" xfId="7" applyFont="1" applyFill="1" applyBorder="1" applyAlignment="1">
      <alignment horizontal="left" vertical="center" wrapText="1"/>
    </xf>
    <xf numFmtId="9" fontId="38" fillId="32" borderId="45" xfId="8" applyFont="1" applyFill="1" applyBorder="1" applyAlignment="1">
      <alignment horizontal="center" vertical="center" wrapText="1"/>
    </xf>
    <xf numFmtId="178" fontId="38" fillId="32" borderId="45" xfId="7" applyFont="1" applyFill="1" applyBorder="1" applyAlignment="1">
      <alignment horizontal="center" wrapText="1"/>
    </xf>
    <xf numFmtId="9" fontId="37" fillId="33" borderId="45" xfId="8" applyFont="1" applyFill="1" applyBorder="1" applyAlignment="1">
      <alignment vertical="center" wrapText="1"/>
    </xf>
    <xf numFmtId="178" fontId="37" fillId="33" borderId="45" xfId="7" applyFont="1" applyFill="1" applyBorder="1" applyAlignment="1">
      <alignment vertical="center" wrapText="1"/>
    </xf>
    <xf numFmtId="178" fontId="38" fillId="33" borderId="45" xfId="7" applyFont="1" applyFill="1" applyBorder="1" applyAlignment="1">
      <alignment vertical="center" wrapText="1"/>
    </xf>
    <xf numFmtId="178" fontId="38" fillId="27" borderId="45" xfId="7" applyFont="1" applyFill="1" applyBorder="1" applyAlignment="1">
      <alignment vertical="top" wrapText="1"/>
    </xf>
    <xf numFmtId="178" fontId="38" fillId="32" borderId="45" xfId="7" applyFont="1" applyFill="1" applyBorder="1" applyAlignment="1">
      <alignment horizontal="left" vertical="center" wrapText="1"/>
    </xf>
    <xf numFmtId="178" fontId="37" fillId="0" borderId="45" xfId="7" applyFont="1" applyBorder="1" applyAlignment="1">
      <alignment wrapText="1"/>
    </xf>
    <xf numFmtId="178" fontId="38" fillId="28" borderId="43" xfId="7" applyFont="1" applyFill="1" applyBorder="1" applyAlignment="1">
      <alignment wrapText="1"/>
    </xf>
    <xf numFmtId="172" fontId="38" fillId="27" borderId="45" xfId="8" applyNumberFormat="1" applyFont="1" applyFill="1" applyBorder="1" applyAlignment="1">
      <alignment horizontal="center" wrapText="1"/>
    </xf>
    <xf numFmtId="178" fontId="38" fillId="27" borderId="45" xfId="7" applyFont="1" applyFill="1" applyBorder="1" applyAlignment="1">
      <alignment horizontal="center" wrapText="1"/>
    </xf>
    <xf numFmtId="178" fontId="38" fillId="28" borderId="43" xfId="7" applyFont="1" applyFill="1" applyBorder="1" applyAlignment="1">
      <alignment horizontal="center" wrapText="1"/>
    </xf>
    <xf numFmtId="178" fontId="37" fillId="28" borderId="43" xfId="7" applyFont="1" applyFill="1" applyAlignment="1">
      <alignment wrapText="1"/>
    </xf>
    <xf numFmtId="178" fontId="38" fillId="0" borderId="45" xfId="7" applyFont="1" applyBorder="1" applyAlignment="1">
      <alignment wrapText="1"/>
    </xf>
    <xf numFmtId="178" fontId="38" fillId="28" borderId="45" xfId="7" applyFont="1" applyFill="1" applyBorder="1" applyAlignment="1">
      <alignment wrapText="1"/>
    </xf>
    <xf numFmtId="178" fontId="37" fillId="0" borderId="45" xfId="7" applyFont="1" applyFill="1" applyBorder="1" applyAlignment="1">
      <alignment wrapText="1"/>
    </xf>
    <xf numFmtId="178" fontId="37" fillId="0" borderId="45" xfId="7" applyFont="1" applyBorder="1" applyAlignment="1">
      <alignment horizontal="center" wrapText="1"/>
    </xf>
    <xf numFmtId="178" fontId="38" fillId="0" borderId="43" xfId="7" applyFont="1" applyBorder="1" applyAlignment="1">
      <alignment wrapText="1"/>
    </xf>
    <xf numFmtId="178" fontId="38" fillId="30" borderId="45" xfId="7" applyFont="1" applyFill="1" applyBorder="1" applyAlignment="1">
      <alignment wrapText="1"/>
    </xf>
    <xf numFmtId="178" fontId="39" fillId="27" borderId="45" xfId="7" applyFont="1" applyFill="1" applyBorder="1" applyAlignment="1">
      <alignment horizontal="center" wrapText="1"/>
    </xf>
    <xf numFmtId="172" fontId="38" fillId="35" borderId="45" xfId="8" applyNumberFormat="1" applyFont="1" applyFill="1" applyBorder="1" applyAlignment="1">
      <alignment horizontal="center" vertical="center" wrapText="1"/>
    </xf>
    <xf numFmtId="178" fontId="39" fillId="0" borderId="45" xfId="7" applyFont="1" applyBorder="1" applyAlignment="1">
      <alignment horizontal="center" wrapText="1"/>
    </xf>
    <xf numFmtId="178" fontId="39" fillId="0" borderId="45" xfId="7" applyFont="1" applyBorder="1" applyAlignment="1">
      <alignment wrapText="1"/>
    </xf>
    <xf numFmtId="178" fontId="39" fillId="0" borderId="45" xfId="7" applyFont="1" applyBorder="1" applyAlignment="1">
      <alignment vertical="center" wrapText="1"/>
    </xf>
    <xf numFmtId="178" fontId="39" fillId="0" borderId="45" xfId="7" applyFont="1" applyBorder="1" applyAlignment="1">
      <alignment horizontal="left" wrapText="1"/>
    </xf>
    <xf numFmtId="178" fontId="38" fillId="27" borderId="43" xfId="7" applyFont="1" applyFill="1" applyBorder="1" applyAlignment="1">
      <alignment wrapText="1"/>
    </xf>
    <xf numFmtId="178" fontId="42" fillId="27" borderId="45" xfId="7" applyFont="1" applyFill="1" applyBorder="1" applyAlignment="1">
      <alignment wrapText="1"/>
    </xf>
    <xf numFmtId="178" fontId="39" fillId="0" borderId="45" xfId="7" applyFont="1" applyBorder="1" applyAlignment="1">
      <alignment horizontal="left" vertical="center" wrapText="1"/>
    </xf>
    <xf numFmtId="178" fontId="39" fillId="41" borderId="45" xfId="7" applyFont="1" applyFill="1" applyBorder="1" applyAlignment="1">
      <alignment horizontal="left" wrapText="1"/>
    </xf>
    <xf numFmtId="178" fontId="39" fillId="41" borderId="46" xfId="7" applyFont="1" applyFill="1" applyBorder="1" applyAlignment="1">
      <alignment horizontal="left" wrapText="1"/>
    </xf>
    <xf numFmtId="172" fontId="39" fillId="27" borderId="45" xfId="7" applyNumberFormat="1" applyFont="1" applyFill="1" applyBorder="1" applyAlignment="1">
      <alignment horizontal="center" wrapText="1"/>
    </xf>
    <xf numFmtId="178" fontId="39" fillId="27" borderId="45" xfId="7" applyFont="1" applyFill="1" applyBorder="1" applyAlignment="1">
      <alignment horizontal="left" vertical="center" wrapText="1"/>
    </xf>
    <xf numFmtId="178" fontId="39" fillId="0" borderId="45" xfId="7" applyFont="1" applyBorder="1" applyAlignment="1">
      <alignment horizontal="center" vertical="center" wrapText="1"/>
    </xf>
    <xf numFmtId="178" fontId="39" fillId="28" borderId="45" xfId="7" applyFont="1" applyFill="1" applyBorder="1" applyAlignment="1">
      <alignment horizontal="center" vertical="center" wrapText="1"/>
    </xf>
    <xf numFmtId="10" fontId="39" fillId="35" borderId="45" xfId="8" applyNumberFormat="1" applyFont="1" applyFill="1" applyBorder="1" applyAlignment="1">
      <alignment horizontal="center" vertical="center" wrapText="1"/>
    </xf>
    <xf numFmtId="178" fontId="48" fillId="35" borderId="45" xfId="7" applyFont="1" applyFill="1" applyBorder="1" applyAlignment="1">
      <alignment horizontal="center" wrapText="1"/>
    </xf>
    <xf numFmtId="0" fontId="44" fillId="33" borderId="45" xfId="7" applyNumberFormat="1" applyFont="1" applyFill="1" applyBorder="1" applyAlignment="1">
      <alignment horizontal="center" vertical="center" wrapText="1"/>
    </xf>
    <xf numFmtId="178" fontId="39" fillId="35" borderId="45" xfId="7" applyFont="1" applyFill="1" applyBorder="1" applyAlignment="1">
      <alignment horizontal="left" wrapText="1"/>
    </xf>
    <xf numFmtId="174" fontId="39" fillId="28" borderId="43" xfId="8" applyNumberFormat="1" applyFont="1" applyFill="1" applyBorder="1" applyAlignment="1">
      <alignment vertical="center" wrapText="1"/>
    </xf>
    <xf numFmtId="178" fontId="39" fillId="29" borderId="45" xfId="7" applyFont="1" applyFill="1" applyBorder="1" applyAlignment="1">
      <alignment horizontal="center" vertical="center" wrapText="1"/>
    </xf>
    <xf numFmtId="178" fontId="39" fillId="27" borderId="50" xfId="7" applyFont="1" applyFill="1" applyBorder="1" applyAlignment="1">
      <alignment vertical="center" wrapText="1"/>
    </xf>
    <xf numFmtId="178" fontId="39" fillId="45" borderId="45" xfId="7" applyFont="1" applyFill="1" applyBorder="1" applyAlignment="1">
      <alignment horizontal="center" vertical="center" wrapText="1"/>
    </xf>
    <xf numFmtId="9" fontId="39" fillId="27" borderId="45" xfId="7" applyNumberFormat="1" applyFont="1" applyFill="1" applyBorder="1" applyAlignment="1">
      <alignment horizontal="center" vertical="center" wrapText="1"/>
    </xf>
    <xf numFmtId="178" fontId="39" fillId="31" borderId="45" xfId="7" applyFont="1" applyFill="1" applyBorder="1" applyAlignment="1">
      <alignment horizontal="center" vertical="center" wrapText="1"/>
    </xf>
    <xf numFmtId="178" fontId="39" fillId="28" borderId="43" xfId="7" applyFont="1" applyFill="1" applyBorder="1" applyAlignment="1">
      <alignment vertical="center" wrapText="1"/>
    </xf>
    <xf numFmtId="178" fontId="39" fillId="27" borderId="46" xfId="7" applyFont="1" applyFill="1" applyBorder="1" applyAlignment="1">
      <alignment horizontal="center" wrapText="1"/>
    </xf>
    <xf numFmtId="178" fontId="39" fillId="28" borderId="45" xfId="7" applyFont="1" applyFill="1" applyBorder="1" applyAlignment="1">
      <alignment horizontal="left" wrapText="1"/>
    </xf>
    <xf numFmtId="178" fontId="39" fillId="28" borderId="43" xfId="7" applyFont="1" applyFill="1" applyBorder="1" applyAlignment="1">
      <alignment horizontal="left" wrapText="1"/>
    </xf>
    <xf numFmtId="178" fontId="39" fillId="0" borderId="43" xfId="7" applyFont="1" applyAlignment="1">
      <alignment horizontal="left" wrapText="1"/>
    </xf>
    <xf numFmtId="178" fontId="39" fillId="35" borderId="45" xfId="7" applyFont="1" applyFill="1" applyBorder="1" applyAlignment="1">
      <alignment horizontal="left" vertical="center" wrapText="1"/>
    </xf>
    <xf numFmtId="184" fontId="39" fillId="0" borderId="45" xfId="7" applyNumberFormat="1" applyFont="1" applyBorder="1" applyAlignment="1">
      <alignment horizontal="center" wrapText="1"/>
    </xf>
    <xf numFmtId="178" fontId="39" fillId="28" borderId="43" xfId="7" applyFont="1" applyFill="1" applyBorder="1" applyAlignment="1">
      <alignment wrapText="1"/>
    </xf>
    <xf numFmtId="178" fontId="39" fillId="29" borderId="45" xfId="7" applyFont="1" applyFill="1" applyBorder="1" applyAlignment="1">
      <alignment horizontal="left" wrapText="1"/>
    </xf>
    <xf numFmtId="0" fontId="38" fillId="28" borderId="0" xfId="0" applyFont="1" applyFill="1" applyAlignment="1">
      <alignment horizontal="center" wrapText="1"/>
    </xf>
    <xf numFmtId="0" fontId="38" fillId="28" borderId="43" xfId="0" applyFont="1" applyFill="1" applyBorder="1" applyAlignment="1">
      <alignment horizontal="center" vertical="center" wrapText="1"/>
    </xf>
    <xf numFmtId="0" fontId="39" fillId="0" borderId="0" xfId="0" applyFont="1" applyAlignment="1">
      <alignment wrapText="1"/>
    </xf>
    <xf numFmtId="0" fontId="40" fillId="0" borderId="0" xfId="0" applyFont="1" applyAlignment="1">
      <alignment wrapText="1"/>
    </xf>
    <xf numFmtId="0" fontId="40" fillId="28" borderId="0" xfId="0" applyFont="1" applyFill="1" applyAlignment="1">
      <alignment wrapText="1"/>
    </xf>
    <xf numFmtId="0" fontId="39" fillId="28" borderId="43" xfId="0" applyFont="1" applyFill="1" applyBorder="1" applyAlignment="1">
      <alignment horizontal="center" vertical="center" wrapText="1"/>
    </xf>
    <xf numFmtId="0" fontId="40" fillId="0" borderId="43" xfId="0" applyFont="1" applyBorder="1" applyAlignment="1">
      <alignment wrapText="1"/>
    </xf>
    <xf numFmtId="0" fontId="40" fillId="28" borderId="43" xfId="0" applyFont="1" applyFill="1" applyBorder="1" applyAlignment="1">
      <alignment wrapText="1"/>
    </xf>
    <xf numFmtId="0" fontId="40" fillId="0" borderId="43" xfId="0" applyFont="1" applyBorder="1" applyAlignment="1">
      <alignment horizontal="center" vertical="center" wrapText="1"/>
    </xf>
    <xf numFmtId="0" fontId="38" fillId="28" borderId="43" xfId="0" applyFont="1" applyFill="1" applyBorder="1" applyAlignment="1">
      <alignment horizontal="center" wrapText="1"/>
    </xf>
    <xf numFmtId="0" fontId="39" fillId="28" borderId="0" xfId="0" applyFont="1" applyFill="1" applyAlignment="1">
      <alignment wrapText="1"/>
    </xf>
    <xf numFmtId="0" fontId="39" fillId="28" borderId="43" xfId="0" applyFont="1" applyFill="1" applyBorder="1" applyAlignment="1">
      <alignment wrapText="1"/>
    </xf>
    <xf numFmtId="0" fontId="40" fillId="28" borderId="43" xfId="0" applyFont="1" applyFill="1" applyBorder="1" applyAlignment="1">
      <alignment horizontal="center" vertical="center" wrapText="1"/>
    </xf>
    <xf numFmtId="0" fontId="39" fillId="27" borderId="45" xfId="0" applyFont="1" applyFill="1" applyBorder="1" applyAlignment="1">
      <alignment horizontal="center" vertical="center" wrapText="1"/>
    </xf>
    <xf numFmtId="0" fontId="39" fillId="0" borderId="45" xfId="0" applyFont="1" applyBorder="1" applyAlignment="1">
      <alignment horizontal="center" vertical="center" wrapText="1"/>
    </xf>
    <xf numFmtId="0" fontId="39" fillId="0" borderId="45" xfId="0" applyFont="1" applyBorder="1" applyAlignment="1">
      <alignment horizontal="center" wrapText="1"/>
    </xf>
    <xf numFmtId="0" fontId="39" fillId="29" borderId="45" xfId="0" applyFont="1" applyFill="1" applyBorder="1" applyAlignment="1">
      <alignment horizontal="center" vertical="center" wrapText="1"/>
    </xf>
    <xf numFmtId="0" fontId="38" fillId="28" borderId="43" xfId="0" applyFont="1" applyFill="1" applyBorder="1" applyAlignment="1">
      <alignment wrapText="1"/>
    </xf>
    <xf numFmtId="178" fontId="38" fillId="28" borderId="43" xfId="0" applyNumberFormat="1" applyFont="1" applyFill="1" applyBorder="1" applyAlignment="1">
      <alignment wrapText="1"/>
    </xf>
    <xf numFmtId="178" fontId="38" fillId="28" borderId="43" xfId="0" applyNumberFormat="1" applyFont="1" applyFill="1" applyBorder="1" applyAlignment="1">
      <alignment horizontal="center" wrapText="1"/>
    </xf>
    <xf numFmtId="0" fontId="38" fillId="0" borderId="0" xfId="0" applyFont="1" applyAlignment="1">
      <alignment wrapText="1"/>
    </xf>
    <xf numFmtId="0" fontId="39" fillId="0" borderId="0" xfId="0" applyFont="1" applyAlignment="1">
      <alignment vertical="center" wrapText="1"/>
    </xf>
    <xf numFmtId="0" fontId="41" fillId="45" borderId="45" xfId="0" applyFont="1" applyFill="1" applyBorder="1" applyAlignment="1">
      <alignment horizontal="center" vertical="center" wrapText="1"/>
    </xf>
    <xf numFmtId="0" fontId="41" fillId="45" borderId="45" xfId="0" applyFont="1" applyFill="1" applyBorder="1" applyAlignment="1">
      <alignment vertical="center" wrapText="1"/>
    </xf>
    <xf numFmtId="166" fontId="41" fillId="45" borderId="45" xfId="0" applyNumberFormat="1" applyFont="1" applyFill="1" applyBorder="1" applyAlignment="1">
      <alignment vertical="center" wrapText="1"/>
    </xf>
    <xf numFmtId="0" fontId="38" fillId="30" borderId="45" xfId="0" applyFont="1" applyFill="1" applyBorder="1" applyAlignment="1">
      <alignment horizontal="center" vertical="center" wrapText="1"/>
    </xf>
    <xf numFmtId="0" fontId="38" fillId="27" borderId="45" xfId="0" applyFont="1" applyFill="1" applyBorder="1" applyAlignment="1">
      <alignment horizontal="center" vertical="center" wrapText="1"/>
    </xf>
    <xf numFmtId="178" fontId="38" fillId="34" borderId="45" xfId="0" applyNumberFormat="1" applyFont="1" applyFill="1" applyBorder="1" applyAlignment="1">
      <alignment vertical="center" wrapText="1"/>
    </xf>
    <xf numFmtId="0" fontId="38" fillId="27" borderId="45" xfId="0" applyFont="1" applyFill="1" applyBorder="1" applyAlignment="1">
      <alignment wrapText="1"/>
    </xf>
    <xf numFmtId="178" fontId="39" fillId="27" borderId="45" xfId="0" applyNumberFormat="1" applyFont="1" applyFill="1" applyBorder="1" applyAlignment="1">
      <alignment wrapText="1"/>
    </xf>
    <xf numFmtId="0" fontId="38" fillId="30" borderId="46" xfId="0" applyFont="1" applyFill="1" applyBorder="1" applyAlignment="1">
      <alignment horizontal="center" vertical="center" wrapText="1"/>
    </xf>
    <xf numFmtId="0" fontId="38" fillId="35" borderId="45" xfId="0" applyFont="1" applyFill="1" applyBorder="1" applyAlignment="1">
      <alignment horizontal="center" vertical="center" wrapText="1"/>
    </xf>
    <xf numFmtId="9" fontId="39" fillId="27" borderId="45" xfId="0" applyNumberFormat="1" applyFont="1" applyFill="1" applyBorder="1" applyAlignment="1">
      <alignment horizontal="center" vertical="center" wrapText="1"/>
    </xf>
    <xf numFmtId="43" fontId="39" fillId="27" borderId="45" xfId="0" applyNumberFormat="1" applyFont="1" applyFill="1" applyBorder="1" applyAlignment="1">
      <alignment horizontal="center" vertical="center" wrapText="1"/>
    </xf>
    <xf numFmtId="0" fontId="39" fillId="33" borderId="45" xfId="0" applyFont="1" applyFill="1" applyBorder="1" applyAlignment="1">
      <alignment horizontal="center" vertical="center" wrapText="1"/>
    </xf>
    <xf numFmtId="0" fontId="39" fillId="27" borderId="45" xfId="0" applyFont="1" applyFill="1" applyBorder="1" applyAlignment="1">
      <alignment wrapText="1"/>
    </xf>
    <xf numFmtId="9" fontId="39" fillId="27" borderId="45" xfId="0" applyNumberFormat="1" applyFont="1" applyFill="1" applyBorder="1" applyAlignment="1">
      <alignment horizontal="center" wrapText="1"/>
    </xf>
    <xf numFmtId="43" fontId="39" fillId="27" borderId="45" xfId="0" applyNumberFormat="1" applyFont="1" applyFill="1" applyBorder="1" applyAlignment="1">
      <alignment wrapText="1"/>
    </xf>
    <xf numFmtId="0" fontId="39" fillId="33" borderId="45" xfId="0" applyFont="1" applyFill="1" applyBorder="1" applyAlignment="1">
      <alignment horizontal="center" wrapText="1"/>
    </xf>
    <xf numFmtId="0" fontId="38" fillId="30" borderId="45" xfId="0" applyFont="1" applyFill="1" applyBorder="1" applyAlignment="1">
      <alignment horizontal="center" wrapText="1"/>
    </xf>
    <xf numFmtId="0" fontId="38" fillId="27" borderId="45" xfId="0" applyFont="1" applyFill="1" applyBorder="1" applyAlignment="1">
      <alignment horizontal="center" wrapText="1"/>
    </xf>
    <xf numFmtId="172" fontId="38" fillId="27" borderId="45" xfId="0" applyNumberFormat="1" applyFont="1" applyFill="1" applyBorder="1" applyAlignment="1">
      <alignment horizontal="center" wrapText="1"/>
    </xf>
    <xf numFmtId="0" fontId="38" fillId="30" borderId="0" xfId="0" applyFont="1" applyFill="1" applyAlignment="1">
      <alignment horizontal="center" wrapText="1"/>
    </xf>
    <xf numFmtId="0" fontId="38" fillId="27" borderId="46" xfId="0" applyFont="1" applyFill="1" applyBorder="1" applyAlignment="1">
      <alignment horizontal="center" wrapText="1"/>
    </xf>
    <xf numFmtId="43" fontId="38" fillId="27" borderId="45" xfId="0" applyNumberFormat="1" applyFont="1" applyFill="1" applyBorder="1" applyAlignment="1">
      <alignment horizontal="center" wrapText="1"/>
    </xf>
    <xf numFmtId="43" fontId="38" fillId="27" borderId="45" xfId="0" applyNumberFormat="1" applyFont="1" applyFill="1" applyBorder="1" applyAlignment="1">
      <alignment wrapText="1"/>
    </xf>
    <xf numFmtId="43" fontId="38" fillId="29" borderId="50" xfId="0" applyNumberFormat="1" applyFont="1" applyFill="1" applyBorder="1" applyAlignment="1">
      <alignment horizontal="center" wrapText="1"/>
    </xf>
    <xf numFmtId="0" fontId="38" fillId="0" borderId="0" xfId="0" applyFont="1" applyAlignment="1">
      <alignment horizontal="center" wrapText="1"/>
    </xf>
    <xf numFmtId="0" fontId="38" fillId="33" borderId="45" xfId="0" applyFont="1" applyFill="1" applyBorder="1" applyAlignment="1">
      <alignment horizontal="center" vertical="center" wrapText="1"/>
    </xf>
    <xf numFmtId="43" fontId="60" fillId="27" borderId="45" xfId="0" applyNumberFormat="1" applyFont="1" applyFill="1" applyBorder="1" applyAlignment="1">
      <alignment horizontal="center" wrapText="1"/>
    </xf>
    <xf numFmtId="0" fontId="38" fillId="28" borderId="0" xfId="0" applyFont="1" applyFill="1" applyAlignment="1">
      <alignment wrapText="1"/>
    </xf>
    <xf numFmtId="43" fontId="61" fillId="30" borderId="45" xfId="0" applyNumberFormat="1" applyFont="1" applyFill="1" applyBorder="1" applyAlignment="1">
      <alignment horizontal="center" vertical="center" wrapText="1"/>
    </xf>
    <xf numFmtId="43" fontId="38" fillId="27" borderId="45" xfId="0" applyNumberFormat="1" applyFont="1" applyFill="1" applyBorder="1" applyAlignment="1">
      <alignment horizontal="center" vertical="center" wrapText="1"/>
    </xf>
    <xf numFmtId="43" fontId="38" fillId="28" borderId="43" xfId="0" applyNumberFormat="1" applyFont="1" applyFill="1" applyBorder="1" applyAlignment="1">
      <alignment horizontal="center" wrapText="1"/>
    </xf>
    <xf numFmtId="0" fontId="38" fillId="36" borderId="0" xfId="0" applyFont="1" applyFill="1" applyAlignment="1">
      <alignment wrapText="1"/>
    </xf>
    <xf numFmtId="0" fontId="38" fillId="36" borderId="43" xfId="0" applyFont="1" applyFill="1" applyBorder="1" applyAlignment="1">
      <alignment horizontal="center" wrapText="1"/>
    </xf>
    <xf numFmtId="43" fontId="38" fillId="36" borderId="43" xfId="0" applyNumberFormat="1" applyFont="1" applyFill="1" applyBorder="1" applyAlignment="1">
      <alignment horizontal="center" wrapText="1"/>
    </xf>
    <xf numFmtId="0" fontId="37" fillId="36" borderId="0" xfId="0" applyFont="1" applyFill="1" applyAlignment="1">
      <alignment wrapText="1"/>
    </xf>
    <xf numFmtId="43" fontId="38" fillId="0" borderId="0" xfId="0" applyNumberFormat="1" applyFont="1" applyAlignment="1">
      <alignment wrapText="1"/>
    </xf>
    <xf numFmtId="0" fontId="38" fillId="27" borderId="46" xfId="0" applyFont="1" applyFill="1" applyBorder="1" applyAlignment="1">
      <alignment wrapText="1"/>
    </xf>
    <xf numFmtId="0" fontId="42" fillId="29" borderId="45" xfId="0" applyFont="1" applyFill="1" applyBorder="1" applyAlignment="1">
      <alignment horizontal="center" vertical="center" wrapText="1"/>
    </xf>
    <xf numFmtId="0" fontId="37" fillId="28" borderId="43" xfId="0" applyFont="1" applyFill="1" applyBorder="1" applyAlignment="1">
      <alignment wrapText="1"/>
    </xf>
    <xf numFmtId="0" fontId="38" fillId="33" borderId="45" xfId="0" applyFont="1" applyFill="1" applyBorder="1" applyAlignment="1">
      <alignment horizontal="center" wrapText="1"/>
    </xf>
    <xf numFmtId="0" fontId="38" fillId="27" borderId="0" xfId="0" applyFont="1" applyFill="1" applyAlignment="1">
      <alignment wrapText="1"/>
    </xf>
    <xf numFmtId="168" fontId="37" fillId="28" borderId="0" xfId="0" applyNumberFormat="1" applyFont="1" applyFill="1" applyAlignment="1">
      <alignment wrapText="1"/>
    </xf>
    <xf numFmtId="0" fontId="38" fillId="0" borderId="45" xfId="0" applyFont="1" applyBorder="1" applyAlignment="1">
      <alignment horizontal="center" wrapText="1"/>
    </xf>
    <xf numFmtId="0" fontId="38" fillId="0" borderId="45" xfId="0" applyFont="1" applyBorder="1" applyAlignment="1">
      <alignment horizontal="center" vertical="center" wrapText="1"/>
    </xf>
    <xf numFmtId="0" fontId="47" fillId="33" borderId="45" xfId="0" applyFont="1" applyFill="1" applyBorder="1" applyAlignment="1">
      <alignment horizontal="center" wrapText="1"/>
    </xf>
    <xf numFmtId="0" fontId="38" fillId="0" borderId="43" xfId="0" applyFont="1" applyBorder="1" applyAlignment="1">
      <alignment wrapText="1"/>
    </xf>
    <xf numFmtId="178" fontId="38" fillId="0" borderId="43" xfId="0" applyNumberFormat="1" applyFont="1" applyBorder="1" applyAlignment="1">
      <alignment horizontal="center" wrapText="1"/>
    </xf>
    <xf numFmtId="0" fontId="38" fillId="28" borderId="43" xfId="0" applyFont="1" applyFill="1" applyBorder="1" applyAlignment="1">
      <alignment horizontal="right" wrapText="1"/>
    </xf>
    <xf numFmtId="0" fontId="39" fillId="33" borderId="60" xfId="0" applyFont="1" applyFill="1" applyBorder="1" applyAlignment="1">
      <alignment horizontal="center" wrapText="1"/>
    </xf>
    <xf numFmtId="0" fontId="38" fillId="29" borderId="45" xfId="0" applyFont="1" applyFill="1" applyBorder="1" applyAlignment="1">
      <alignment horizontal="center" vertical="center" wrapText="1"/>
    </xf>
    <xf numFmtId="0" fontId="39" fillId="27" borderId="45" xfId="0" applyFont="1" applyFill="1" applyBorder="1" applyAlignment="1">
      <alignment horizontal="center" wrapText="1"/>
    </xf>
    <xf numFmtId="178" fontId="38" fillId="27" borderId="45" xfId="0" applyNumberFormat="1" applyFont="1" applyFill="1" applyBorder="1" applyAlignment="1">
      <alignment vertical="center" wrapText="1"/>
    </xf>
    <xf numFmtId="0" fontId="37" fillId="0" borderId="43" xfId="0" applyFont="1" applyBorder="1" applyAlignment="1">
      <alignment wrapText="1"/>
    </xf>
    <xf numFmtId="178" fontId="39" fillId="35" borderId="45" xfId="0" applyNumberFormat="1" applyFont="1" applyFill="1" applyBorder="1" applyAlignment="1">
      <alignment horizontal="center" vertical="center" wrapText="1"/>
    </xf>
    <xf numFmtId="178" fontId="38" fillId="0" borderId="45" xfId="0" applyNumberFormat="1" applyFont="1" applyBorder="1" applyAlignment="1">
      <alignment horizontal="center" vertical="center" wrapText="1"/>
    </xf>
    <xf numFmtId="0" fontId="38" fillId="0" borderId="45" xfId="0" applyFont="1" applyBorder="1" applyAlignment="1">
      <alignment wrapText="1"/>
    </xf>
    <xf numFmtId="0" fontId="37" fillId="0" borderId="45" xfId="0" applyFont="1" applyBorder="1" applyAlignment="1">
      <alignment wrapText="1"/>
    </xf>
    <xf numFmtId="166" fontId="39" fillId="0" borderId="45" xfId="0" applyNumberFormat="1" applyFont="1" applyBorder="1" applyAlignment="1">
      <alignment horizontal="left" wrapText="1"/>
    </xf>
    <xf numFmtId="178" fontId="39" fillId="27" borderId="45" xfId="0" applyNumberFormat="1" applyFont="1" applyFill="1" applyBorder="1" applyAlignment="1">
      <alignment vertical="center" wrapText="1"/>
    </xf>
    <xf numFmtId="178" fontId="38" fillId="27" borderId="45" xfId="0" applyNumberFormat="1" applyFont="1" applyFill="1" applyBorder="1" applyAlignment="1">
      <alignment wrapText="1"/>
    </xf>
    <xf numFmtId="166" fontId="39" fillId="27" borderId="45" xfId="0" applyNumberFormat="1" applyFont="1" applyFill="1" applyBorder="1" applyAlignment="1">
      <alignment horizontal="center" vertical="center" wrapText="1"/>
    </xf>
    <xf numFmtId="166" fontId="38" fillId="28" borderId="43" xfId="0" applyNumberFormat="1" applyFont="1" applyFill="1" applyBorder="1" applyAlignment="1">
      <alignment horizontal="center" vertical="center" wrapText="1"/>
    </xf>
    <xf numFmtId="0" fontId="42" fillId="33" borderId="60" xfId="0" applyFont="1" applyFill="1" applyBorder="1" applyAlignment="1">
      <alignment horizontal="center" wrapText="1"/>
    </xf>
    <xf numFmtId="0" fontId="42" fillId="35" borderId="61" xfId="0" applyFont="1" applyFill="1" applyBorder="1" applyAlignment="1">
      <alignment horizontal="center" wrapText="1"/>
    </xf>
    <xf numFmtId="0" fontId="40" fillId="27" borderId="0" xfId="0" applyFont="1" applyFill="1" applyAlignment="1">
      <alignment wrapText="1"/>
    </xf>
    <xf numFmtId="178" fontId="38" fillId="0" borderId="45" xfId="0" applyNumberFormat="1" applyFont="1" applyBorder="1" applyAlignment="1">
      <alignment vertical="center" wrapText="1"/>
    </xf>
    <xf numFmtId="178" fontId="39" fillId="27" borderId="61" xfId="0" applyNumberFormat="1" applyFont="1" applyFill="1" applyBorder="1" applyAlignment="1">
      <alignment wrapText="1"/>
    </xf>
    <xf numFmtId="0" fontId="40" fillId="0" borderId="50" xfId="0" applyFont="1" applyBorder="1" applyAlignment="1">
      <alignment wrapText="1"/>
    </xf>
    <xf numFmtId="0" fontId="38" fillId="28" borderId="45" xfId="0" applyFont="1" applyFill="1" applyBorder="1" applyAlignment="1">
      <alignment wrapText="1"/>
    </xf>
    <xf numFmtId="0" fontId="38" fillId="0" borderId="45" xfId="0" applyFont="1" applyBorder="1" applyAlignment="1">
      <alignment vertical="center" wrapText="1"/>
    </xf>
    <xf numFmtId="0" fontId="37" fillId="0" borderId="45" xfId="0" applyFont="1" applyBorder="1" applyAlignment="1">
      <alignment horizontal="center" wrapText="1"/>
    </xf>
    <xf numFmtId="0" fontId="37" fillId="35" borderId="45" xfId="0" applyFont="1" applyFill="1" applyBorder="1" applyAlignment="1">
      <alignment horizontal="center" wrapText="1"/>
    </xf>
    <xf numFmtId="166" fontId="37" fillId="0" borderId="45" xfId="0" applyNumberFormat="1" applyFont="1" applyBorder="1" applyAlignment="1">
      <alignment horizontal="center" wrapText="1"/>
    </xf>
    <xf numFmtId="0" fontId="38" fillId="28" borderId="43" xfId="0" applyFont="1" applyFill="1" applyBorder="1" applyAlignment="1">
      <alignment vertical="center" wrapText="1"/>
    </xf>
    <xf numFmtId="0" fontId="42" fillId="35" borderId="45" xfId="0" applyFont="1" applyFill="1" applyBorder="1" applyAlignment="1">
      <alignment horizontal="center" vertical="center" wrapText="1"/>
    </xf>
    <xf numFmtId="0" fontId="48" fillId="35" borderId="45" xfId="0" applyFont="1" applyFill="1" applyBorder="1" applyAlignment="1">
      <alignment horizontal="center" vertical="center" wrapText="1"/>
    </xf>
    <xf numFmtId="0" fontId="37" fillId="0" borderId="0" xfId="0" applyFont="1" applyAlignment="1">
      <alignment horizontal="center" vertical="center" wrapText="1"/>
    </xf>
    <xf numFmtId="0" fontId="38" fillId="0" borderId="0" xfId="0" applyFont="1" applyAlignment="1">
      <alignment horizontal="center" vertical="center" wrapText="1"/>
    </xf>
    <xf numFmtId="43" fontId="37" fillId="28" borderId="0" xfId="0" applyNumberFormat="1" applyFont="1" applyFill="1" applyAlignment="1">
      <alignment wrapText="1"/>
    </xf>
    <xf numFmtId="0" fontId="47" fillId="0" borderId="0" xfId="0" applyFont="1" applyAlignment="1">
      <alignment horizontal="center" vertical="center" wrapText="1"/>
    </xf>
    <xf numFmtId="0" fontId="39" fillId="35" borderId="45" xfId="0" applyFont="1" applyFill="1" applyBorder="1" applyAlignment="1">
      <alignment horizontal="center" vertical="center" wrapText="1"/>
    </xf>
    <xf numFmtId="9" fontId="47" fillId="0" borderId="0" xfId="0" applyNumberFormat="1" applyFont="1" applyAlignment="1">
      <alignment horizontal="center" vertical="center" wrapText="1"/>
    </xf>
    <xf numFmtId="0" fontId="47" fillId="30" borderId="0" xfId="0" applyFont="1" applyFill="1" applyAlignment="1">
      <alignment horizontal="center" vertical="center" wrapText="1"/>
    </xf>
    <xf numFmtId="0" fontId="38" fillId="39" borderId="45" xfId="0" applyFont="1" applyFill="1" applyBorder="1" applyAlignment="1">
      <alignment horizontal="center" wrapText="1"/>
    </xf>
    <xf numFmtId="183" fontId="38" fillId="28" borderId="0" xfId="0" applyNumberFormat="1" applyFont="1" applyFill="1" applyAlignment="1">
      <alignment horizontal="center" wrapText="1"/>
    </xf>
    <xf numFmtId="0" fontId="45" fillId="0" borderId="0" xfId="0" applyFont="1" applyAlignment="1">
      <alignment wrapText="1"/>
    </xf>
    <xf numFmtId="178" fontId="45" fillId="0" borderId="0" xfId="0" applyNumberFormat="1" applyFont="1" applyAlignment="1">
      <alignment horizontal="center" wrapText="1"/>
    </xf>
    <xf numFmtId="0" fontId="45" fillId="28" borderId="43" xfId="0" applyFont="1" applyFill="1" applyBorder="1" applyAlignment="1">
      <alignment wrapText="1"/>
    </xf>
    <xf numFmtId="178" fontId="38" fillId="28" borderId="59" xfId="0" applyNumberFormat="1" applyFont="1" applyFill="1" applyBorder="1" applyAlignment="1">
      <alignment horizontal="center" vertical="center" wrapText="1"/>
    </xf>
    <xf numFmtId="178" fontId="38" fillId="28" borderId="45" xfId="0" applyNumberFormat="1" applyFont="1" applyFill="1" applyBorder="1" applyAlignment="1">
      <alignment horizontal="center" vertical="center" wrapText="1"/>
    </xf>
    <xf numFmtId="0" fontId="38" fillId="34" borderId="45" xfId="0" applyFont="1" applyFill="1" applyBorder="1" applyAlignment="1">
      <alignment horizontal="center" wrapText="1"/>
    </xf>
    <xf numFmtId="0" fontId="38" fillId="28" borderId="45" xfId="0" applyFont="1" applyFill="1" applyBorder="1" applyAlignment="1">
      <alignment horizontal="center" wrapText="1"/>
    </xf>
    <xf numFmtId="178" fontId="38" fillId="28" borderId="45" xfId="0" applyNumberFormat="1" applyFont="1" applyFill="1" applyBorder="1" applyAlignment="1">
      <alignment vertical="center" wrapText="1"/>
    </xf>
    <xf numFmtId="178" fontId="38" fillId="30" borderId="45" xfId="0" applyNumberFormat="1" applyFont="1" applyFill="1" applyBorder="1" applyAlignment="1">
      <alignment vertical="center" wrapText="1"/>
    </xf>
    <xf numFmtId="2" fontId="38" fillId="30" borderId="45" xfId="0" applyNumberFormat="1" applyFont="1" applyFill="1" applyBorder="1" applyAlignment="1">
      <alignment horizontal="center" vertical="center" wrapText="1"/>
    </xf>
    <xf numFmtId="2" fontId="38" fillId="0" borderId="45" xfId="0" applyNumberFormat="1" applyFont="1" applyBorder="1" applyAlignment="1">
      <alignment horizontal="center" vertical="center" wrapText="1"/>
    </xf>
    <xf numFmtId="0" fontId="42" fillId="28" borderId="43" xfId="0" applyFont="1" applyFill="1" applyBorder="1" applyAlignment="1">
      <alignment vertical="center" wrapText="1"/>
    </xf>
    <xf numFmtId="0" fontId="39" fillId="37" borderId="0" xfId="0" applyFont="1" applyFill="1" applyAlignment="1">
      <alignment horizontal="center" vertical="center" wrapText="1"/>
    </xf>
    <xf numFmtId="0" fontId="39" fillId="37" borderId="45" xfId="0" applyFont="1" applyFill="1" applyBorder="1" applyAlignment="1">
      <alignment horizontal="center" vertical="center" wrapText="1"/>
    </xf>
    <xf numFmtId="181" fontId="37" fillId="0" borderId="0" xfId="0" applyNumberFormat="1" applyFont="1" applyAlignment="1">
      <alignment wrapText="1"/>
    </xf>
    <xf numFmtId="9" fontId="37" fillId="0" borderId="0" xfId="0" applyNumberFormat="1" applyFont="1" applyAlignment="1">
      <alignment wrapText="1"/>
    </xf>
    <xf numFmtId="0" fontId="39" fillId="28" borderId="0" xfId="0" applyFont="1" applyFill="1" applyAlignment="1">
      <alignment horizontal="center" vertical="center" wrapText="1"/>
    </xf>
    <xf numFmtId="0" fontId="49" fillId="27" borderId="47" xfId="0" applyFont="1" applyFill="1" applyBorder="1" applyAlignment="1">
      <alignment horizontal="center" vertical="center" wrapText="1"/>
    </xf>
    <xf numFmtId="0" fontId="39" fillId="35" borderId="50" xfId="0" applyFont="1" applyFill="1" applyBorder="1" applyAlignment="1">
      <alignment horizontal="center" vertical="center" wrapText="1"/>
    </xf>
    <xf numFmtId="177" fontId="39" fillId="30" borderId="69" xfId="0" applyNumberFormat="1" applyFont="1" applyFill="1" applyBorder="1" applyAlignment="1">
      <alignment horizontal="center" wrapText="1"/>
    </xf>
    <xf numFmtId="166" fontId="39" fillId="27" borderId="50" xfId="0" applyNumberFormat="1" applyFont="1" applyFill="1" applyBorder="1" applyAlignment="1">
      <alignment vertical="center" wrapText="1"/>
    </xf>
    <xf numFmtId="166" fontId="39" fillId="27" borderId="45" xfId="0" applyNumberFormat="1" applyFont="1" applyFill="1" applyBorder="1" applyAlignment="1">
      <alignment vertical="center" wrapText="1"/>
    </xf>
    <xf numFmtId="0" fontId="39" fillId="27" borderId="45" xfId="0" applyFont="1" applyFill="1" applyBorder="1" applyAlignment="1">
      <alignment vertical="center" wrapText="1"/>
    </xf>
    <xf numFmtId="43" fontId="39" fillId="27" borderId="45" xfId="0" applyNumberFormat="1" applyFont="1" applyFill="1" applyBorder="1" applyAlignment="1">
      <alignment vertical="center" wrapText="1"/>
    </xf>
    <xf numFmtId="166" fontId="39" fillId="35" borderId="50" xfId="0" applyNumberFormat="1" applyFont="1" applyFill="1" applyBorder="1" applyAlignment="1">
      <alignment vertical="center" wrapText="1"/>
    </xf>
    <xf numFmtId="166" fontId="39" fillId="35" borderId="45" xfId="0" applyNumberFormat="1" applyFont="1" applyFill="1" applyBorder="1" applyAlignment="1">
      <alignment vertical="center" wrapText="1"/>
    </xf>
    <xf numFmtId="0" fontId="39" fillId="32" borderId="50" xfId="0" applyFont="1" applyFill="1" applyBorder="1" applyAlignment="1">
      <alignment horizontal="center" vertical="center" wrapText="1"/>
    </xf>
    <xf numFmtId="0" fontId="39" fillId="27" borderId="50" xfId="0" applyFont="1" applyFill="1" applyBorder="1" applyAlignment="1">
      <alignment vertical="center" wrapText="1"/>
    </xf>
    <xf numFmtId="0" fontId="40" fillId="27" borderId="45" xfId="0" applyFont="1" applyFill="1" applyBorder="1" applyAlignment="1">
      <alignment vertical="center" wrapText="1"/>
    </xf>
    <xf numFmtId="43" fontId="39" fillId="35" borderId="50" xfId="0" applyNumberFormat="1" applyFont="1" applyFill="1" applyBorder="1" applyAlignment="1">
      <alignment vertical="center" wrapText="1"/>
    </xf>
    <xf numFmtId="43" fontId="39" fillId="35" borderId="45" xfId="0" applyNumberFormat="1" applyFont="1" applyFill="1" applyBorder="1" applyAlignment="1">
      <alignment vertical="center" wrapText="1"/>
    </xf>
    <xf numFmtId="0" fontId="39" fillId="33" borderId="46" xfId="0" applyFont="1" applyFill="1" applyBorder="1" applyAlignment="1">
      <alignment horizontal="center" vertical="center" wrapText="1"/>
    </xf>
    <xf numFmtId="0" fontId="38" fillId="35" borderId="50" xfId="0" applyFont="1" applyFill="1" applyBorder="1" applyAlignment="1">
      <alignment horizontal="center" vertical="center" wrapText="1"/>
    </xf>
    <xf numFmtId="177" fontId="38" fillId="30" borderId="46" xfId="0" applyNumberFormat="1" applyFont="1" applyFill="1" applyBorder="1" applyAlignment="1">
      <alignment horizontal="center" wrapText="1"/>
    </xf>
    <xf numFmtId="178" fontId="38" fillId="27" borderId="50" xfId="0" applyNumberFormat="1" applyFont="1" applyFill="1" applyBorder="1" applyAlignment="1">
      <alignment wrapText="1"/>
    </xf>
    <xf numFmtId="178" fontId="38" fillId="27" borderId="50" xfId="0" applyNumberFormat="1" applyFont="1" applyFill="1" applyBorder="1" applyAlignment="1">
      <alignment vertical="center" wrapText="1"/>
    </xf>
    <xf numFmtId="178" fontId="38" fillId="35" borderId="50" xfId="0" applyNumberFormat="1" applyFont="1" applyFill="1" applyBorder="1" applyAlignment="1">
      <alignment vertical="center" wrapText="1"/>
    </xf>
    <xf numFmtId="178" fontId="38" fillId="35" borderId="45" xfId="0" applyNumberFormat="1" applyFont="1" applyFill="1" applyBorder="1" applyAlignment="1">
      <alignment vertical="center" wrapText="1"/>
    </xf>
    <xf numFmtId="178" fontId="38" fillId="28" borderId="0" xfId="0" applyNumberFormat="1" applyFont="1" applyFill="1" applyAlignment="1">
      <alignment horizontal="center" vertical="center" wrapText="1"/>
    </xf>
    <xf numFmtId="178" fontId="38" fillId="28" borderId="43" xfId="0" applyNumberFormat="1" applyFont="1" applyFill="1" applyBorder="1" applyAlignment="1">
      <alignment vertical="center" wrapText="1"/>
    </xf>
    <xf numFmtId="0" fontId="37" fillId="40" borderId="0" xfId="0" applyFont="1" applyFill="1" applyAlignment="1">
      <alignment wrapText="1"/>
    </xf>
    <xf numFmtId="0" fontId="38" fillId="40" borderId="45" xfId="0" applyFont="1" applyFill="1" applyBorder="1" applyAlignment="1">
      <alignment wrapText="1"/>
    </xf>
    <xf numFmtId="0" fontId="38" fillId="40" borderId="0" xfId="0" applyFont="1" applyFill="1" applyAlignment="1">
      <alignment wrapText="1"/>
    </xf>
    <xf numFmtId="0" fontId="39" fillId="34" borderId="45" xfId="0" applyFont="1" applyFill="1" applyBorder="1" applyAlignment="1">
      <alignment horizontal="center" vertical="center" wrapText="1"/>
    </xf>
    <xf numFmtId="0" fontId="39" fillId="0" borderId="50" xfId="0" applyFont="1" applyBorder="1" applyAlignment="1">
      <alignment horizontal="left" vertical="center" wrapText="1"/>
    </xf>
    <xf numFmtId="0" fontId="39" fillId="0" borderId="45" xfId="0" applyFont="1" applyBorder="1" applyAlignment="1">
      <alignment horizontal="left" vertical="center" wrapText="1"/>
    </xf>
    <xf numFmtId="166" fontId="39" fillId="0" borderId="45" xfId="0" applyNumberFormat="1" applyFont="1" applyBorder="1" applyAlignment="1">
      <alignment horizontal="left" vertical="center" wrapText="1"/>
    </xf>
    <xf numFmtId="0" fontId="39" fillId="0" borderId="45" xfId="0" applyFont="1" applyBorder="1" applyAlignment="1">
      <alignment horizontal="left" wrapText="1"/>
    </xf>
    <xf numFmtId="0" fontId="39" fillId="0" borderId="50" xfId="0" applyFont="1" applyBorder="1" applyAlignment="1">
      <alignment horizontal="left" wrapText="1"/>
    </xf>
    <xf numFmtId="166" fontId="39" fillId="27" borderId="45" xfId="0" applyNumberFormat="1" applyFont="1" applyFill="1" applyBorder="1" applyAlignment="1">
      <alignment horizontal="left" vertical="center" wrapText="1"/>
    </xf>
    <xf numFmtId="0" fontId="39" fillId="41" borderId="45" xfId="0" applyFont="1" applyFill="1" applyBorder="1" applyAlignment="1">
      <alignment horizontal="center" wrapText="1"/>
    </xf>
    <xf numFmtId="0" fontId="39" fillId="0" borderId="0" xfId="0" applyFont="1" applyAlignment="1">
      <alignment horizontal="left" wrapText="1"/>
    </xf>
    <xf numFmtId="0" fontId="39" fillId="35" borderId="45" xfId="0" applyFont="1" applyFill="1" applyBorder="1" applyAlignment="1">
      <alignment horizontal="center" wrapText="1"/>
    </xf>
    <xf numFmtId="0" fontId="39" fillId="35" borderId="45" xfId="0" applyFont="1" applyFill="1" applyBorder="1" applyAlignment="1">
      <alignment horizontal="left" wrapText="1"/>
    </xf>
    <xf numFmtId="166" fontId="38" fillId="0" borderId="43" xfId="0" applyNumberFormat="1" applyFont="1" applyBorder="1" applyAlignment="1">
      <alignment wrapText="1"/>
    </xf>
    <xf numFmtId="0" fontId="44" fillId="33" borderId="45" xfId="0" applyFont="1" applyFill="1" applyBorder="1" applyAlignment="1">
      <alignment horizontal="center" vertical="center" wrapText="1"/>
    </xf>
    <xf numFmtId="185" fontId="38" fillId="27" borderId="45" xfId="0" applyNumberFormat="1" applyFont="1" applyFill="1" applyBorder="1" applyAlignment="1">
      <alignment horizontal="center" wrapText="1"/>
    </xf>
    <xf numFmtId="0" fontId="38" fillId="27" borderId="50" xfId="0" applyFont="1" applyFill="1" applyBorder="1" applyAlignment="1">
      <alignment horizontal="center" wrapText="1"/>
    </xf>
    <xf numFmtId="10" fontId="38" fillId="27" borderId="45" xfId="0" applyNumberFormat="1" applyFont="1" applyFill="1" applyBorder="1" applyAlignment="1">
      <alignment horizontal="center" vertical="center" wrapText="1"/>
    </xf>
    <xf numFmtId="0" fontId="38" fillId="30" borderId="0" xfId="0" applyFont="1" applyFill="1" applyAlignment="1">
      <alignment horizontal="center" vertical="center" wrapText="1"/>
    </xf>
    <xf numFmtId="9" fontId="38" fillId="27" borderId="45" xfId="0" applyNumberFormat="1" applyFont="1" applyFill="1" applyBorder="1" applyAlignment="1">
      <alignment horizontal="center" wrapText="1"/>
    </xf>
    <xf numFmtId="0" fontId="38" fillId="30" borderId="45" xfId="0" applyFont="1" applyFill="1" applyBorder="1" applyAlignment="1">
      <alignment wrapText="1"/>
    </xf>
    <xf numFmtId="0" fontId="38" fillId="27" borderId="43" xfId="0" applyFont="1" applyFill="1" applyBorder="1" applyAlignment="1">
      <alignment wrapText="1"/>
    </xf>
    <xf numFmtId="0" fontId="44" fillId="33" borderId="45" xfId="0" applyFont="1" applyFill="1" applyBorder="1" applyAlignment="1">
      <alignment horizontal="center" wrapText="1"/>
    </xf>
    <xf numFmtId="10" fontId="39" fillId="35" borderId="45" xfId="0" applyNumberFormat="1" applyFont="1" applyFill="1" applyBorder="1" applyAlignment="1">
      <alignment horizontal="center" wrapText="1"/>
    </xf>
    <xf numFmtId="184" fontId="39" fillId="35" borderId="45" xfId="0" applyNumberFormat="1" applyFont="1" applyFill="1" applyBorder="1" applyAlignment="1">
      <alignment horizontal="center" wrapText="1"/>
    </xf>
    <xf numFmtId="184" fontId="39" fillId="27" borderId="45" xfId="0" applyNumberFormat="1" applyFont="1" applyFill="1" applyBorder="1" applyAlignment="1">
      <alignment horizontal="center" wrapText="1"/>
    </xf>
    <xf numFmtId="10" fontId="39" fillId="27" borderId="45" xfId="0" applyNumberFormat="1" applyFont="1" applyFill="1" applyBorder="1" applyAlignment="1">
      <alignment horizontal="center" wrapText="1"/>
    </xf>
    <xf numFmtId="177" fontId="39" fillId="27" borderId="45" xfId="0" applyNumberFormat="1" applyFont="1" applyFill="1" applyBorder="1" applyAlignment="1">
      <alignment horizontal="center" vertical="center" wrapText="1"/>
    </xf>
    <xf numFmtId="184" fontId="39" fillId="35" borderId="45" xfId="0" applyNumberFormat="1" applyFont="1" applyFill="1" applyBorder="1" applyAlignment="1">
      <alignment horizontal="center" vertical="center" wrapText="1"/>
    </xf>
    <xf numFmtId="172" fontId="39" fillId="35" borderId="45" xfId="0" applyNumberFormat="1" applyFont="1" applyFill="1" applyBorder="1" applyAlignment="1">
      <alignment horizontal="center" vertical="center" wrapText="1"/>
    </xf>
    <xf numFmtId="0" fontId="39" fillId="30" borderId="45" xfId="0" applyFont="1" applyFill="1" applyBorder="1" applyAlignment="1">
      <alignment horizontal="center" vertical="center" wrapText="1"/>
    </xf>
    <xf numFmtId="166" fontId="39" fillId="30" borderId="45" xfId="0" applyNumberFormat="1" applyFont="1" applyFill="1" applyBorder="1" applyAlignment="1">
      <alignment vertical="center" wrapText="1"/>
    </xf>
    <xf numFmtId="166" fontId="39" fillId="29" borderId="45" xfId="0" applyNumberFormat="1" applyFont="1" applyFill="1" applyBorder="1" applyAlignment="1">
      <alignment vertical="center" wrapText="1"/>
    </xf>
    <xf numFmtId="0" fontId="40" fillId="0" borderId="0" xfId="0" applyFont="1" applyAlignment="1">
      <alignment vertical="center" wrapText="1"/>
    </xf>
    <xf numFmtId="0" fontId="42" fillId="28" borderId="0" xfId="0" applyFont="1" applyFill="1" applyAlignment="1">
      <alignment wrapText="1"/>
    </xf>
    <xf numFmtId="0" fontId="53" fillId="28" borderId="0" xfId="0" applyFont="1" applyFill="1" applyAlignment="1">
      <alignment wrapText="1"/>
    </xf>
    <xf numFmtId="0" fontId="39" fillId="34" borderId="45" xfId="0" applyFont="1" applyFill="1" applyBorder="1" applyAlignment="1">
      <alignment horizontal="left" wrapText="1"/>
    </xf>
    <xf numFmtId="0" fontId="40" fillId="0" borderId="45" xfId="0" applyFont="1" applyBorder="1" applyAlignment="1">
      <alignment horizontal="left" wrapText="1"/>
    </xf>
    <xf numFmtId="178" fontId="39" fillId="0" borderId="45" xfId="0" applyNumberFormat="1" applyFont="1" applyBorder="1" applyAlignment="1">
      <alignment horizontal="left" vertical="center" wrapText="1"/>
    </xf>
    <xf numFmtId="0" fontId="38" fillId="28" borderId="45" xfId="0" applyFont="1" applyFill="1" applyBorder="1" applyAlignment="1">
      <alignment horizontal="center" vertical="center" wrapText="1"/>
    </xf>
    <xf numFmtId="178" fontId="39" fillId="35" borderId="45" xfId="0" applyNumberFormat="1" applyFont="1" applyFill="1" applyBorder="1" applyAlignment="1">
      <alignment horizontal="left" vertical="center" wrapText="1"/>
    </xf>
    <xf numFmtId="0" fontId="39" fillId="28" borderId="45" xfId="0" applyFont="1" applyFill="1" applyBorder="1" applyAlignment="1">
      <alignment horizontal="center" vertical="center" wrapText="1"/>
    </xf>
    <xf numFmtId="178" fontId="39" fillId="29" borderId="45" xfId="0" applyNumberFormat="1" applyFont="1" applyFill="1" applyBorder="1" applyAlignment="1">
      <alignment vertical="center" wrapText="1"/>
    </xf>
    <xf numFmtId="186" fontId="39" fillId="27" borderId="45" xfId="0" applyNumberFormat="1" applyFont="1" applyFill="1" applyBorder="1" applyAlignment="1">
      <alignment horizontal="center" wrapText="1"/>
    </xf>
    <xf numFmtId="0" fontId="39" fillId="28" borderId="46" xfId="0" applyFont="1" applyFill="1" applyBorder="1" applyAlignment="1">
      <alignment horizontal="left" wrapText="1"/>
    </xf>
    <xf numFmtId="0" fontId="39" fillId="28" borderId="50" xfId="0" applyFont="1" applyFill="1" applyBorder="1" applyAlignment="1">
      <alignment horizontal="left" wrapText="1"/>
    </xf>
    <xf numFmtId="0" fontId="39" fillId="30" borderId="45" xfId="0" applyFont="1" applyFill="1" applyBorder="1" applyAlignment="1">
      <alignment horizontal="center" wrapText="1"/>
    </xf>
    <xf numFmtId="172" fontId="39" fillId="0" borderId="45" xfId="0" applyNumberFormat="1" applyFont="1" applyBorder="1" applyAlignment="1">
      <alignment horizontal="center" wrapText="1"/>
    </xf>
    <xf numFmtId="2" fontId="39" fillId="0" borderId="43" xfId="0" applyNumberFormat="1" applyFont="1" applyBorder="1" applyAlignment="1">
      <alignment horizontal="center" vertical="center" wrapText="1"/>
    </xf>
    <xf numFmtId="2" fontId="39" fillId="33" borderId="45" xfId="0" applyNumberFormat="1" applyFont="1" applyFill="1" applyBorder="1" applyAlignment="1">
      <alignment horizontal="center" vertical="center" wrapText="1"/>
    </xf>
    <xf numFmtId="178" fontId="39" fillId="29" borderId="45" xfId="0" applyNumberFormat="1" applyFont="1" applyFill="1" applyBorder="1" applyAlignment="1">
      <alignment wrapText="1"/>
    </xf>
    <xf numFmtId="0" fontId="39" fillId="42" borderId="45" xfId="0" applyFont="1" applyFill="1" applyBorder="1" applyAlignment="1">
      <alignment horizontal="center" wrapText="1"/>
    </xf>
    <xf numFmtId="0" fontId="39" fillId="28" borderId="43" xfId="0" applyFont="1" applyFill="1" applyBorder="1"/>
    <xf numFmtId="10" fontId="39" fillId="30" borderId="46" xfId="0" applyNumberFormat="1" applyFont="1" applyFill="1" applyBorder="1" applyAlignment="1">
      <alignment horizontal="center" vertical="center" wrapText="1"/>
    </xf>
    <xf numFmtId="0" fontId="15" fillId="46" borderId="26" xfId="0" applyFont="1" applyFill="1" applyBorder="1" applyAlignment="1">
      <alignment horizontal="center" wrapText="1"/>
    </xf>
    <xf numFmtId="170" fontId="15" fillId="46" borderId="26" xfId="0" applyNumberFormat="1" applyFont="1" applyFill="1" applyBorder="1" applyAlignment="1">
      <alignment horizontal="center"/>
    </xf>
    <xf numFmtId="178" fontId="38" fillId="29" borderId="43" xfId="7" applyFont="1" applyFill="1" applyBorder="1" applyAlignment="1">
      <alignment horizontal="center" vertical="center" wrapText="1"/>
    </xf>
    <xf numFmtId="179" fontId="39" fillId="0" borderId="45" xfId="4" applyNumberFormat="1" applyFont="1" applyBorder="1" applyAlignment="1">
      <alignment horizontal="center" wrapText="1"/>
    </xf>
    <xf numFmtId="0" fontId="38" fillId="35" borderId="0" xfId="0" applyFont="1" applyFill="1" applyAlignment="1">
      <alignment horizontal="center" vertical="center" wrapText="1"/>
    </xf>
    <xf numFmtId="0" fontId="38" fillId="35" borderId="43" xfId="2" applyFont="1" applyFill="1" applyAlignment="1">
      <alignment horizontal="center" vertical="center" wrapText="1"/>
    </xf>
    <xf numFmtId="0" fontId="15" fillId="3" borderId="22" xfId="0" applyFont="1" applyFill="1" applyBorder="1"/>
    <xf numFmtId="165" fontId="15" fillId="3" borderId="22" xfId="0" applyNumberFormat="1" applyFont="1" applyFill="1" applyBorder="1" applyAlignment="1">
      <alignment horizontal="center"/>
    </xf>
    <xf numFmtId="0" fontId="30" fillId="0" borderId="74" xfId="0" applyFont="1" applyBorder="1" applyAlignment="1">
      <alignment horizontal="center" wrapText="1"/>
    </xf>
    <xf numFmtId="0" fontId="15" fillId="0" borderId="75" xfId="0" applyFont="1" applyBorder="1" applyAlignment="1">
      <alignment horizontal="center" wrapText="1"/>
    </xf>
    <xf numFmtId="0" fontId="15" fillId="0" borderId="76" xfId="0" applyFont="1" applyBorder="1" applyAlignment="1">
      <alignment horizontal="center" wrapText="1"/>
    </xf>
    <xf numFmtId="0" fontId="15" fillId="0" borderId="77" xfId="0" applyFont="1" applyBorder="1" applyAlignment="1">
      <alignment horizontal="center" wrapText="1"/>
    </xf>
    <xf numFmtId="0" fontId="15" fillId="0" borderId="78" xfId="0" applyFont="1" applyBorder="1" applyAlignment="1">
      <alignment horizontal="center"/>
    </xf>
    <xf numFmtId="170" fontId="15" fillId="0" borderId="78" xfId="0" applyNumberFormat="1" applyFont="1" applyBorder="1" applyAlignment="1">
      <alignment horizontal="right"/>
    </xf>
    <xf numFmtId="170" fontId="15" fillId="0" borderId="78" xfId="0" applyNumberFormat="1" applyFont="1" applyBorder="1" applyAlignment="1">
      <alignment horizontal="center"/>
    </xf>
    <xf numFmtId="0" fontId="15" fillId="0" borderId="79" xfId="0" applyFont="1" applyBorder="1" applyAlignment="1">
      <alignment horizontal="center" wrapText="1"/>
    </xf>
    <xf numFmtId="170" fontId="15" fillId="0" borderId="44" xfId="0" applyNumberFormat="1" applyFont="1" applyBorder="1" applyAlignment="1">
      <alignment horizontal="center"/>
    </xf>
    <xf numFmtId="170" fontId="15" fillId="0" borderId="80" xfId="0" applyNumberFormat="1" applyFont="1" applyBorder="1" applyAlignment="1">
      <alignment horizontal="center"/>
    </xf>
    <xf numFmtId="0" fontId="23" fillId="0" borderId="16" xfId="0" applyFont="1" applyFill="1" applyBorder="1" applyAlignment="1">
      <alignment horizontal="center" wrapText="1"/>
    </xf>
    <xf numFmtId="0" fontId="62" fillId="0" borderId="45" xfId="9" applyFont="1" applyBorder="1"/>
    <xf numFmtId="0" fontId="1" fillId="0" borderId="45" xfId="9" applyBorder="1"/>
    <xf numFmtId="0" fontId="1" fillId="0" borderId="45" xfId="9" applyBorder="1" applyAlignment="1">
      <alignment wrapText="1"/>
    </xf>
    <xf numFmtId="171" fontId="20" fillId="3" borderId="16" xfId="0" applyNumberFormat="1" applyFont="1" applyFill="1" applyBorder="1" applyAlignment="1">
      <alignment horizontal="center" vertical="center"/>
    </xf>
    <xf numFmtId="165" fontId="20" fillId="3" borderId="16" xfId="0" applyNumberFormat="1" applyFont="1" applyFill="1" applyBorder="1" applyAlignment="1">
      <alignment horizontal="center" vertical="center"/>
    </xf>
    <xf numFmtId="0" fontId="38" fillId="27" borderId="45" xfId="2" applyFont="1" applyFill="1" applyBorder="1" applyAlignment="1">
      <alignment horizontal="center" vertical="center" wrapText="1"/>
    </xf>
    <xf numFmtId="0" fontId="38" fillId="35" borderId="45" xfId="2" applyFont="1" applyFill="1" applyBorder="1" applyAlignment="1">
      <alignment horizontal="center" wrapText="1"/>
    </xf>
    <xf numFmtId="0" fontId="39" fillId="27" borderId="50" xfId="2" applyFont="1" applyFill="1" applyBorder="1" applyAlignment="1">
      <alignment horizontal="center" vertical="center" wrapText="1"/>
    </xf>
    <xf numFmtId="0" fontId="39" fillId="0" borderId="45" xfId="2" applyFont="1" applyBorder="1" applyAlignment="1">
      <alignment horizontal="center" vertical="center" wrapText="1"/>
    </xf>
    <xf numFmtId="178" fontId="47" fillId="35" borderId="45" xfId="4" applyFont="1" applyFill="1" applyBorder="1" applyAlignment="1">
      <alignment horizontal="center" vertical="center" wrapText="1"/>
    </xf>
    <xf numFmtId="0" fontId="39" fillId="27" borderId="45" xfId="2" applyFont="1" applyFill="1" applyBorder="1" applyAlignment="1">
      <alignment horizontal="center" vertical="center" wrapText="1"/>
    </xf>
    <xf numFmtId="0" fontId="39" fillId="35" borderId="45" xfId="2" applyFont="1" applyFill="1" applyBorder="1" applyAlignment="1">
      <alignment horizontal="center" vertical="center" wrapText="1"/>
    </xf>
    <xf numFmtId="0" fontId="39" fillId="0" borderId="50" xfId="2" applyFont="1" applyBorder="1" applyAlignment="1">
      <alignment horizontal="center" wrapText="1"/>
    </xf>
    <xf numFmtId="0" fontId="39" fillId="0" borderId="45" xfId="2" applyFont="1" applyBorder="1" applyAlignment="1">
      <alignment horizontal="center" wrapText="1"/>
    </xf>
    <xf numFmtId="0" fontId="38" fillId="27" borderId="50" xfId="2" applyFont="1" applyFill="1" applyBorder="1" applyAlignment="1">
      <alignment horizontal="center" vertical="center" wrapText="1"/>
    </xf>
    <xf numFmtId="0" fontId="38" fillId="27" borderId="45" xfId="2" applyFont="1" applyFill="1" applyBorder="1" applyAlignment="1">
      <alignment horizontal="center" wrapText="1"/>
    </xf>
    <xf numFmtId="0" fontId="38" fillId="28" borderId="43" xfId="2" applyFont="1" applyFill="1" applyAlignment="1">
      <alignment horizontal="center" wrapText="1"/>
    </xf>
    <xf numFmtId="0" fontId="47" fillId="34" borderId="45" xfId="2" applyFont="1" applyFill="1" applyBorder="1" applyAlignment="1">
      <alignment horizontal="center" vertical="center" wrapText="1"/>
    </xf>
    <xf numFmtId="0" fontId="38" fillId="28" borderId="46" xfId="2" applyFont="1" applyFill="1" applyBorder="1" applyAlignment="1">
      <alignment horizontal="center" vertical="center" wrapText="1"/>
    </xf>
    <xf numFmtId="0" fontId="38" fillId="28" borderId="50" xfId="2" applyFont="1" applyFill="1" applyBorder="1" applyAlignment="1">
      <alignment horizontal="center" vertical="center" wrapText="1"/>
    </xf>
    <xf numFmtId="0" fontId="47" fillId="35" borderId="46" xfId="2" applyFont="1" applyFill="1" applyBorder="1" applyAlignment="1">
      <alignment horizontal="center" vertical="center" wrapText="1"/>
    </xf>
    <xf numFmtId="0" fontId="38" fillId="27" borderId="55" xfId="2" applyFont="1" applyFill="1" applyBorder="1" applyAlignment="1">
      <alignment horizontal="center" vertical="center" wrapText="1"/>
    </xf>
    <xf numFmtId="0" fontId="45" fillId="27" borderId="45" xfId="2" applyFont="1" applyFill="1" applyBorder="1" applyAlignment="1">
      <alignment horizontal="center" vertical="center" wrapText="1"/>
    </xf>
    <xf numFmtId="0" fontId="38" fillId="0" borderId="45" xfId="2" applyFont="1" applyBorder="1" applyAlignment="1">
      <alignment horizontal="center" vertical="center" wrapText="1"/>
    </xf>
    <xf numFmtId="0" fontId="45" fillId="27" borderId="43" xfId="2" applyFont="1" applyFill="1" applyAlignment="1">
      <alignment horizontal="center" vertical="center" wrapText="1"/>
    </xf>
    <xf numFmtId="0" fontId="45" fillId="35" borderId="50" xfId="2" applyFont="1" applyFill="1" applyBorder="1" applyAlignment="1">
      <alignment horizontal="center" vertical="center" wrapText="1"/>
    </xf>
    <xf numFmtId="0" fontId="38" fillId="35" borderId="45" xfId="2" applyFont="1" applyFill="1" applyBorder="1" applyAlignment="1">
      <alignment horizontal="center" vertical="center" wrapText="1"/>
    </xf>
    <xf numFmtId="178" fontId="38" fillId="35" borderId="50" xfId="2" applyNumberFormat="1" applyFont="1" applyFill="1" applyBorder="1" applyAlignment="1">
      <alignment horizontal="center" wrapText="1"/>
    </xf>
    <xf numFmtId="0" fontId="39" fillId="0" borderId="50" xfId="2" applyFont="1" applyBorder="1" applyAlignment="1">
      <alignment horizontal="left" vertical="center" wrapText="1"/>
    </xf>
    <xf numFmtId="0" fontId="39" fillId="0" borderId="45" xfId="2" applyFont="1" applyBorder="1" applyAlignment="1">
      <alignment horizontal="left" vertical="center" wrapText="1"/>
    </xf>
    <xf numFmtId="0" fontId="39" fillId="0" borderId="45" xfId="2" applyFont="1" applyBorder="1" applyAlignment="1">
      <alignment horizontal="left" wrapText="1"/>
    </xf>
    <xf numFmtId="0" fontId="39" fillId="0" borderId="43" xfId="2" applyFont="1" applyAlignment="1">
      <alignment horizontal="center" vertical="center" wrapText="1"/>
    </xf>
    <xf numFmtId="0" fontId="39" fillId="35" borderId="45" xfId="0" applyFont="1" applyFill="1" applyBorder="1" applyAlignment="1">
      <alignment horizontal="center" vertical="center" wrapText="1"/>
    </xf>
    <xf numFmtId="0" fontId="39" fillId="33" borderId="45" xfId="0" applyFont="1" applyFill="1" applyBorder="1" applyAlignment="1">
      <alignment horizontal="center" vertical="center" wrapText="1"/>
    </xf>
    <xf numFmtId="0" fontId="39" fillId="35" borderId="50" xfId="0" applyFont="1" applyFill="1" applyBorder="1" applyAlignment="1">
      <alignment horizontal="center" vertical="center" wrapText="1"/>
    </xf>
    <xf numFmtId="0" fontId="39" fillId="0" borderId="45" xfId="0" applyFont="1" applyBorder="1" applyAlignment="1">
      <alignment horizontal="center" vertical="center" wrapText="1"/>
    </xf>
    <xf numFmtId="0" fontId="39" fillId="27" borderId="45" xfId="0" applyFont="1" applyFill="1" applyBorder="1" applyAlignment="1">
      <alignment horizontal="center" vertical="center" wrapText="1"/>
    </xf>
    <xf numFmtId="0" fontId="39" fillId="0" borderId="45" xfId="0" applyFont="1" applyBorder="1" applyAlignment="1">
      <alignment horizontal="left" vertical="center" wrapText="1"/>
    </xf>
    <xf numFmtId="0" fontId="39" fillId="0" borderId="45" xfId="0" applyFont="1" applyBorder="1" applyAlignment="1">
      <alignment horizontal="left" wrapText="1"/>
    </xf>
    <xf numFmtId="0" fontId="38" fillId="27" borderId="45" xfId="0" applyFont="1" applyFill="1" applyBorder="1" applyAlignment="1">
      <alignment horizontal="center" vertical="center" wrapText="1"/>
    </xf>
    <xf numFmtId="0" fontId="38" fillId="35" borderId="50" xfId="0" applyFont="1" applyFill="1" applyBorder="1" applyAlignment="1">
      <alignment horizontal="center" vertical="center" wrapText="1"/>
    </xf>
    <xf numFmtId="0" fontId="42" fillId="35" borderId="45" xfId="0" applyFont="1" applyFill="1" applyBorder="1" applyAlignment="1">
      <alignment horizontal="center" vertical="center" wrapText="1"/>
    </xf>
    <xf numFmtId="0" fontId="38" fillId="35" borderId="45" xfId="0" applyFont="1" applyFill="1" applyBorder="1" applyAlignment="1">
      <alignment horizontal="center" vertical="center" wrapText="1"/>
    </xf>
    <xf numFmtId="0" fontId="38" fillId="27" borderId="46" xfId="0" applyFont="1" applyFill="1" applyBorder="1" applyAlignment="1">
      <alignment horizontal="center" wrapText="1"/>
    </xf>
    <xf numFmtId="0" fontId="38" fillId="27" borderId="50" xfId="0" applyFont="1" applyFill="1" applyBorder="1" applyAlignment="1">
      <alignment horizontal="center" wrapText="1"/>
    </xf>
    <xf numFmtId="0" fontId="38" fillId="27" borderId="45" xfId="0" applyFont="1" applyFill="1" applyBorder="1" applyAlignment="1">
      <alignment horizontal="center" wrapText="1"/>
    </xf>
    <xf numFmtId="0" fontId="38" fillId="28" borderId="43" xfId="0" applyFont="1" applyFill="1" applyBorder="1" applyAlignment="1">
      <alignment horizontal="center" wrapText="1"/>
    </xf>
    <xf numFmtId="0" fontId="38" fillId="0" borderId="0" xfId="0" applyFont="1" applyAlignment="1">
      <alignment horizontal="center" vertical="center" wrapText="1"/>
    </xf>
    <xf numFmtId="0" fontId="38" fillId="30" borderId="46" xfId="0" applyFont="1" applyFill="1" applyBorder="1" applyAlignment="1">
      <alignment horizontal="center" vertical="center" wrapText="1"/>
    </xf>
    <xf numFmtId="170" fontId="1" fillId="0" borderId="45" xfId="9" applyNumberFormat="1" applyBorder="1"/>
    <xf numFmtId="179" fontId="38" fillId="0" borderId="45" xfId="7" applyNumberFormat="1" applyFont="1" applyBorder="1" applyAlignment="1">
      <alignment horizontal="center" vertical="center" wrapText="1"/>
    </xf>
    <xf numFmtId="1" fontId="38" fillId="0" borderId="45" xfId="4" applyNumberFormat="1" applyFont="1" applyBorder="1" applyAlignment="1">
      <alignment horizontal="right" vertical="center" wrapText="1"/>
    </xf>
    <xf numFmtId="4" fontId="38" fillId="0" borderId="45" xfId="4" applyNumberFormat="1" applyFont="1" applyBorder="1" applyAlignment="1">
      <alignment horizontal="right" vertical="center" wrapText="1"/>
    </xf>
    <xf numFmtId="179" fontId="38" fillId="27" borderId="45" xfId="2" applyNumberFormat="1" applyFont="1" applyFill="1" applyBorder="1" applyAlignment="1">
      <alignment vertical="center" wrapText="1"/>
    </xf>
    <xf numFmtId="179" fontId="38" fillId="27" borderId="45" xfId="4" applyNumberFormat="1" applyFont="1" applyFill="1" applyBorder="1" applyAlignment="1">
      <alignment vertical="center" wrapText="1"/>
    </xf>
    <xf numFmtId="2" fontId="38" fillId="35" borderId="45" xfId="2" applyNumberFormat="1" applyFont="1" applyFill="1" applyBorder="1" applyAlignment="1">
      <alignment horizontal="center" vertical="center" wrapText="1"/>
    </xf>
    <xf numFmtId="0" fontId="37" fillId="27" borderId="45" xfId="0" applyFont="1" applyFill="1" applyBorder="1" applyAlignment="1">
      <alignment wrapText="1"/>
    </xf>
    <xf numFmtId="188" fontId="38" fillId="27" borderId="45" xfId="0" applyNumberFormat="1" applyFont="1" applyFill="1" applyBorder="1" applyAlignment="1">
      <alignment horizontal="center" wrapText="1"/>
    </xf>
    <xf numFmtId="4" fontId="38" fillId="27" borderId="45" xfId="0" applyNumberFormat="1" applyFont="1" applyFill="1" applyBorder="1" applyAlignment="1">
      <alignment horizontal="center" vertical="center" wrapText="1"/>
    </xf>
    <xf numFmtId="172" fontId="38" fillId="27" borderId="45" xfId="10" applyNumberFormat="1" applyFont="1" applyFill="1" applyBorder="1" applyAlignment="1">
      <alignment horizontal="center" vertical="center" wrapText="1"/>
    </xf>
    <xf numFmtId="0" fontId="8" fillId="2" borderId="8" xfId="0" applyFont="1" applyFill="1" applyBorder="1" applyAlignment="1">
      <alignment horizontal="center" wrapText="1"/>
    </xf>
    <xf numFmtId="0" fontId="7" fillId="0" borderId="9" xfId="0" applyFont="1" applyBorder="1"/>
    <xf numFmtId="0" fontId="8" fillId="2" borderId="10" xfId="0" applyFont="1" applyFill="1" applyBorder="1" applyAlignment="1">
      <alignment horizontal="center" vertical="center" wrapText="1"/>
    </xf>
    <xf numFmtId="0" fontId="7" fillId="0" borderId="11" xfId="0" applyFont="1" applyBorder="1"/>
    <xf numFmtId="0" fontId="7" fillId="0" borderId="12" xfId="0" applyFont="1" applyBorder="1"/>
    <xf numFmtId="0" fontId="7" fillId="0" borderId="13" xfId="0" applyFont="1" applyBorder="1"/>
    <xf numFmtId="0" fontId="6" fillId="2" borderId="8" xfId="0" applyFont="1" applyFill="1" applyBorder="1" applyAlignment="1">
      <alignment horizontal="center" wrapText="1"/>
    </xf>
    <xf numFmtId="0" fontId="8" fillId="2" borderId="3" xfId="0" applyFont="1" applyFill="1" applyBorder="1" applyAlignment="1">
      <alignment horizontal="center" wrapText="1"/>
    </xf>
    <xf numFmtId="0" fontId="7" fillId="0" borderId="4" xfId="0" applyFont="1" applyBorder="1"/>
    <xf numFmtId="0" fontId="0" fillId="0" borderId="0" xfId="0" applyFont="1" applyAlignment="1">
      <alignment horizontal="center"/>
    </xf>
    <xf numFmtId="0" fontId="0" fillId="0" borderId="0" xfId="0" applyFont="1" applyAlignment="1"/>
    <xf numFmtId="0" fontId="6" fillId="2" borderId="3" xfId="0" applyFont="1" applyFill="1" applyBorder="1" applyAlignment="1">
      <alignment horizontal="center" wrapText="1"/>
    </xf>
    <xf numFmtId="0" fontId="5" fillId="0" borderId="0" xfId="0" applyFont="1" applyAlignment="1">
      <alignment horizontal="center" wrapText="1"/>
    </xf>
    <xf numFmtId="0" fontId="63" fillId="28" borderId="43" xfId="9" applyFont="1" applyFill="1" applyAlignment="1">
      <alignment horizontal="left"/>
    </xf>
    <xf numFmtId="0" fontId="10" fillId="4" borderId="24" xfId="0" applyFont="1" applyFill="1" applyBorder="1" applyAlignment="1">
      <alignment horizontal="center" vertical="center"/>
    </xf>
    <xf numFmtId="0" fontId="10" fillId="4" borderId="17" xfId="0" applyFont="1" applyFill="1" applyBorder="1" applyAlignment="1">
      <alignment horizontal="center" vertical="center"/>
    </xf>
    <xf numFmtId="0" fontId="11" fillId="10" borderId="28" xfId="0" applyFont="1" applyFill="1" applyBorder="1" applyAlignment="1">
      <alignment horizontal="center" vertical="center"/>
    </xf>
    <xf numFmtId="0" fontId="11" fillId="10" borderId="42" xfId="0" applyFont="1" applyFill="1" applyBorder="1" applyAlignment="1">
      <alignment horizontal="center" vertical="center"/>
    </xf>
    <xf numFmtId="0" fontId="11" fillId="12" borderId="42" xfId="0" applyFont="1" applyFill="1" applyBorder="1" applyAlignment="1">
      <alignment horizontal="center" vertical="center"/>
    </xf>
    <xf numFmtId="0" fontId="10" fillId="4" borderId="24" xfId="0" applyFont="1" applyFill="1" applyBorder="1" applyAlignment="1">
      <alignment horizontal="center" vertical="center" wrapText="1"/>
    </xf>
    <xf numFmtId="0" fontId="10" fillId="4" borderId="17" xfId="0" applyFont="1" applyFill="1" applyBorder="1" applyAlignment="1">
      <alignment horizontal="center" vertical="center" wrapText="1"/>
    </xf>
    <xf numFmtId="0" fontId="11" fillId="5" borderId="28" xfId="0" applyFont="1" applyFill="1" applyBorder="1" applyAlignment="1">
      <alignment horizontal="center" vertical="center"/>
    </xf>
    <xf numFmtId="0" fontId="11" fillId="5" borderId="42" xfId="0" applyFont="1" applyFill="1" applyBorder="1" applyAlignment="1">
      <alignment horizontal="center" vertical="center"/>
    </xf>
    <xf numFmtId="0" fontId="11" fillId="7" borderId="42" xfId="0" applyFont="1" applyFill="1" applyBorder="1" applyAlignment="1">
      <alignment horizontal="center" vertical="center"/>
    </xf>
    <xf numFmtId="0" fontId="26" fillId="3" borderId="24" xfId="0" applyFont="1" applyFill="1" applyBorder="1" applyAlignment="1">
      <alignment horizontal="left"/>
    </xf>
    <xf numFmtId="0" fontId="26" fillId="3" borderId="27" xfId="0" applyFont="1" applyFill="1" applyBorder="1" applyAlignment="1">
      <alignment horizontal="left"/>
    </xf>
    <xf numFmtId="0" fontId="26" fillId="3" borderId="17" xfId="0" applyFont="1" applyFill="1" applyBorder="1" applyAlignment="1">
      <alignment horizontal="left"/>
    </xf>
    <xf numFmtId="0" fontId="64" fillId="0" borderId="55" xfId="9" applyFont="1" applyFill="1" applyBorder="1" applyAlignment="1">
      <alignment horizontal="left" wrapText="1"/>
    </xf>
    <xf numFmtId="0" fontId="64" fillId="0" borderId="43" xfId="9" applyFont="1" applyFill="1" applyBorder="1" applyAlignment="1">
      <alignment horizontal="left" wrapText="1"/>
    </xf>
    <xf numFmtId="0" fontId="64" fillId="0" borderId="65" xfId="9" applyFont="1" applyFill="1" applyBorder="1" applyAlignment="1">
      <alignment horizontal="left" wrapText="1"/>
    </xf>
    <xf numFmtId="0" fontId="64" fillId="0" borderId="69" xfId="9" applyFont="1" applyFill="1" applyBorder="1" applyAlignment="1">
      <alignment horizontal="left" wrapText="1"/>
    </xf>
    <xf numFmtId="0" fontId="64" fillId="0" borderId="71" xfId="9" applyFont="1" applyFill="1" applyBorder="1" applyAlignment="1">
      <alignment horizontal="left" wrapText="1"/>
    </xf>
    <xf numFmtId="0" fontId="64" fillId="0" borderId="72" xfId="9" applyFont="1" applyFill="1" applyBorder="1" applyAlignment="1">
      <alignment horizontal="left" wrapText="1"/>
    </xf>
    <xf numFmtId="0" fontId="29" fillId="18" borderId="24" xfId="0" applyFont="1" applyFill="1" applyBorder="1" applyAlignment="1">
      <alignment horizontal="left" vertical="center"/>
    </xf>
    <xf numFmtId="0" fontId="20" fillId="18" borderId="27" xfId="0" applyFont="1" applyFill="1" applyBorder="1" applyAlignment="1">
      <alignment horizontal="left" vertical="center"/>
    </xf>
    <xf numFmtId="0" fontId="20" fillId="18" borderId="17" xfId="0" applyFont="1" applyFill="1" applyBorder="1" applyAlignment="1">
      <alignment horizontal="left" vertical="center"/>
    </xf>
    <xf numFmtId="0" fontId="45" fillId="32" borderId="46" xfId="9" applyFont="1" applyFill="1" applyBorder="1" applyAlignment="1">
      <alignment horizontal="center"/>
    </xf>
    <xf numFmtId="0" fontId="45" fillId="32" borderId="49" xfId="9" applyFont="1" applyFill="1" applyBorder="1" applyAlignment="1">
      <alignment horizontal="center"/>
    </xf>
    <xf numFmtId="0" fontId="45" fillId="32" borderId="50" xfId="9" applyFont="1" applyFill="1" applyBorder="1" applyAlignment="1">
      <alignment horizontal="center"/>
    </xf>
    <xf numFmtId="0" fontId="64" fillId="0" borderId="56" xfId="9" applyFont="1" applyFill="1" applyBorder="1" applyAlignment="1">
      <alignment horizontal="left" wrapText="1"/>
    </xf>
    <xf numFmtId="0" fontId="64" fillId="0" borderId="57" xfId="9" applyFont="1" applyFill="1" applyBorder="1" applyAlignment="1">
      <alignment horizontal="left" wrapText="1"/>
    </xf>
    <xf numFmtId="0" fontId="64" fillId="0" borderId="58" xfId="9" applyFont="1" applyFill="1" applyBorder="1" applyAlignment="1">
      <alignment horizontal="left" wrapText="1"/>
    </xf>
    <xf numFmtId="0" fontId="7" fillId="0" borderId="30" xfId="0" applyFont="1" applyBorder="1"/>
    <xf numFmtId="0" fontId="7" fillId="0" borderId="31" xfId="0" applyFont="1" applyBorder="1"/>
    <xf numFmtId="0" fontId="0" fillId="0" borderId="43" xfId="0" applyFont="1" applyBorder="1"/>
    <xf numFmtId="165" fontId="26" fillId="0" borderId="26" xfId="0" applyNumberFormat="1" applyFont="1" applyBorder="1" applyAlignment="1">
      <alignment horizontal="center" vertical="center" wrapText="1"/>
    </xf>
    <xf numFmtId="0" fontId="7" fillId="0" borderId="19" xfId="0" applyFont="1" applyBorder="1"/>
    <xf numFmtId="0" fontId="15" fillId="3" borderId="24" xfId="0" applyFont="1" applyFill="1" applyBorder="1" applyAlignment="1">
      <alignment horizontal="left" wrapText="1"/>
    </xf>
    <xf numFmtId="0" fontId="7" fillId="0" borderId="17" xfId="0" applyFont="1" applyBorder="1"/>
    <xf numFmtId="0" fontId="7" fillId="0" borderId="17" xfId="0" applyFont="1" applyBorder="1" applyAlignment="1">
      <alignment horizontal="left"/>
    </xf>
    <xf numFmtId="0" fontId="15" fillId="3" borderId="24" xfId="0" applyFont="1" applyFill="1" applyBorder="1" applyAlignment="1">
      <alignment horizontal="left"/>
    </xf>
    <xf numFmtId="0" fontId="30" fillId="3" borderId="24" xfId="0" applyFont="1" applyFill="1" applyBorder="1" applyAlignment="1">
      <alignment horizontal="center" vertical="center" wrapText="1"/>
    </xf>
    <xf numFmtId="0" fontId="7" fillId="0" borderId="25" xfId="0" applyFont="1" applyBorder="1"/>
    <xf numFmtId="0" fontId="30" fillId="15" borderId="46" xfId="0" applyFont="1" applyFill="1" applyBorder="1" applyAlignment="1">
      <alignment horizontal="left"/>
    </xf>
    <xf numFmtId="0" fontId="30" fillId="15" borderId="49" xfId="0" applyFont="1" applyFill="1" applyBorder="1" applyAlignment="1">
      <alignment horizontal="left"/>
    </xf>
    <xf numFmtId="0" fontId="30" fillId="15" borderId="50" xfId="0" applyFont="1" applyFill="1" applyBorder="1" applyAlignment="1">
      <alignment horizontal="left"/>
    </xf>
    <xf numFmtId="0" fontId="30" fillId="3" borderId="34" xfId="0" applyFont="1" applyFill="1" applyBorder="1" applyAlignment="1">
      <alignment horizontal="left"/>
    </xf>
    <xf numFmtId="0" fontId="15" fillId="3" borderId="20" xfId="0" applyFont="1" applyFill="1" applyBorder="1" applyAlignment="1">
      <alignment horizontal="left"/>
    </xf>
    <xf numFmtId="0" fontId="30" fillId="3" borderId="26" xfId="0" applyFont="1" applyFill="1" applyBorder="1" applyAlignment="1">
      <alignment horizontal="center" vertical="center" wrapText="1"/>
    </xf>
    <xf numFmtId="0" fontId="7" fillId="0" borderId="19" xfId="0" applyFont="1" applyBorder="1" applyAlignment="1">
      <alignment vertical="center"/>
    </xf>
    <xf numFmtId="0" fontId="7" fillId="0" borderId="25" xfId="0" applyFont="1" applyBorder="1" applyAlignment="1">
      <alignment vertical="center"/>
    </xf>
    <xf numFmtId="0" fontId="7" fillId="0" borderId="17" xfId="0" applyFont="1" applyBorder="1" applyAlignment="1">
      <alignment vertical="center"/>
    </xf>
    <xf numFmtId="0" fontId="7" fillId="0" borderId="49" xfId="0" applyFont="1" applyBorder="1" applyAlignment="1">
      <alignment horizontal="left"/>
    </xf>
    <xf numFmtId="0" fontId="7" fillId="0" borderId="50" xfId="0" applyFont="1" applyBorder="1" applyAlignment="1">
      <alignment horizontal="left"/>
    </xf>
    <xf numFmtId="0" fontId="26" fillId="3" borderId="29" xfId="0" applyFont="1" applyFill="1" applyBorder="1" applyAlignment="1">
      <alignment horizontal="center" vertical="center" wrapText="1"/>
    </xf>
    <xf numFmtId="0" fontId="7" fillId="0" borderId="32" xfId="0" applyFont="1" applyBorder="1"/>
    <xf numFmtId="0" fontId="7" fillId="0" borderId="33" xfId="0" applyFont="1" applyBorder="1"/>
    <xf numFmtId="0" fontId="7" fillId="0" borderId="34" xfId="0" applyFont="1" applyBorder="1"/>
    <xf numFmtId="0" fontId="7" fillId="0" borderId="35" xfId="0" applyFont="1" applyBorder="1"/>
    <xf numFmtId="0" fontId="7" fillId="0" borderId="20" xfId="0" applyFont="1" applyBorder="1"/>
    <xf numFmtId="0" fontId="14" fillId="18" borderId="24" xfId="0" applyFont="1" applyFill="1" applyBorder="1" applyAlignment="1">
      <alignment horizontal="center"/>
    </xf>
    <xf numFmtId="0" fontId="30" fillId="18" borderId="26" xfId="0" applyFont="1" applyFill="1" applyBorder="1" applyAlignment="1">
      <alignment horizontal="center" vertical="center" wrapText="1"/>
    </xf>
    <xf numFmtId="0" fontId="54" fillId="0" borderId="19" xfId="0" applyFont="1" applyBorder="1" applyAlignment="1">
      <alignment vertical="center"/>
    </xf>
    <xf numFmtId="0" fontId="55" fillId="18" borderId="24" xfId="0" applyFont="1" applyFill="1" applyBorder="1" applyAlignment="1">
      <alignment horizontal="center" vertical="center" wrapText="1"/>
    </xf>
    <xf numFmtId="0" fontId="55" fillId="18" borderId="27" xfId="0" applyFont="1" applyFill="1" applyBorder="1" applyAlignment="1">
      <alignment horizontal="center" vertical="center" wrapText="1"/>
    </xf>
    <xf numFmtId="0" fontId="55" fillId="18" borderId="17" xfId="0" applyFont="1" applyFill="1" applyBorder="1" applyAlignment="1">
      <alignment horizontal="center" vertical="center" wrapText="1"/>
    </xf>
    <xf numFmtId="0" fontId="30" fillId="3" borderId="24" xfId="0" applyFont="1" applyFill="1" applyBorder="1" applyAlignment="1">
      <alignment horizontal="left"/>
    </xf>
    <xf numFmtId="0" fontId="15" fillId="3" borderId="17" xfId="0" applyFont="1" applyFill="1" applyBorder="1" applyAlignment="1">
      <alignment horizontal="left"/>
    </xf>
    <xf numFmtId="0" fontId="30" fillId="3" borderId="24" xfId="5" applyFont="1" applyFill="1" applyBorder="1" applyAlignment="1">
      <alignment horizontal="center" vertical="center" wrapText="1"/>
    </xf>
    <xf numFmtId="0" fontId="33" fillId="0" borderId="27" xfId="5" applyFont="1" applyBorder="1"/>
    <xf numFmtId="0" fontId="33" fillId="0" borderId="17" xfId="5" applyFont="1" applyBorder="1"/>
    <xf numFmtId="0" fontId="33" fillId="0" borderId="27" xfId="5" applyFont="1" applyBorder="1" applyAlignment="1">
      <alignment vertical="center"/>
    </xf>
    <xf numFmtId="0" fontId="33" fillId="0" borderId="17" xfId="5" applyFont="1" applyBorder="1" applyAlignment="1">
      <alignment vertical="center"/>
    </xf>
    <xf numFmtId="0" fontId="58" fillId="3" borderId="30" xfId="0" applyFont="1" applyFill="1" applyBorder="1" applyAlignment="1">
      <alignment horizontal="center" vertical="center" wrapText="1"/>
    </xf>
    <xf numFmtId="0" fontId="58" fillId="3" borderId="43" xfId="0" applyFont="1" applyFill="1" applyBorder="1" applyAlignment="1">
      <alignment horizontal="center" vertical="center" wrapText="1"/>
    </xf>
    <xf numFmtId="0" fontId="29" fillId="21" borderId="38" xfId="1" applyFont="1" applyFill="1" applyBorder="1" applyAlignment="1">
      <alignment horizontal="center" wrapText="1"/>
    </xf>
    <xf numFmtId="0" fontId="33" fillId="0" borderId="39" xfId="1" applyFont="1" applyBorder="1"/>
    <xf numFmtId="0" fontId="33" fillId="0" borderId="40" xfId="1" applyFont="1" applyBorder="1"/>
    <xf numFmtId="0" fontId="30" fillId="26" borderId="24" xfId="1" applyFont="1" applyFill="1" applyBorder="1" applyAlignment="1">
      <alignment horizontal="center" vertical="center" wrapText="1"/>
    </xf>
    <xf numFmtId="0" fontId="33" fillId="0" borderId="17" xfId="1" applyFont="1" applyBorder="1"/>
    <xf numFmtId="0" fontId="30" fillId="3" borderId="24" xfId="1" applyFont="1" applyFill="1" applyBorder="1" applyAlignment="1">
      <alignment horizontal="center" wrapText="1"/>
    </xf>
    <xf numFmtId="0" fontId="34" fillId="3" borderId="3" xfId="1" applyFont="1" applyFill="1" applyBorder="1" applyAlignment="1">
      <alignment horizontal="center" vertical="center" wrapText="1"/>
    </xf>
    <xf numFmtId="0" fontId="33" fillId="0" borderId="37" xfId="1" applyFont="1" applyBorder="1"/>
    <xf numFmtId="0" fontId="30" fillId="3" borderId="24" xfId="1" applyFont="1" applyFill="1" applyBorder="1" applyAlignment="1">
      <alignment horizontal="center" vertical="center" wrapText="1"/>
    </xf>
    <xf numFmtId="0" fontId="30" fillId="21" borderId="24" xfId="1" applyFont="1" applyFill="1" applyBorder="1" applyAlignment="1">
      <alignment horizontal="center" vertical="center" wrapText="1"/>
    </xf>
    <xf numFmtId="0" fontId="30" fillId="21" borderId="17" xfId="1" applyFont="1" applyFill="1" applyBorder="1" applyAlignment="1">
      <alignment horizontal="center" vertical="center" wrapText="1"/>
    </xf>
    <xf numFmtId="0" fontId="33" fillId="0" borderId="27" xfId="1" applyFont="1" applyBorder="1"/>
    <xf numFmtId="0" fontId="34" fillId="3" borderId="24" xfId="1" applyFont="1" applyFill="1" applyBorder="1" applyAlignment="1">
      <alignment horizontal="center" wrapText="1"/>
    </xf>
    <xf numFmtId="0" fontId="29" fillId="3" borderId="24" xfId="1" applyFont="1" applyFill="1" applyBorder="1" applyAlignment="1">
      <alignment horizontal="center" vertical="center" wrapText="1"/>
    </xf>
    <xf numFmtId="173" fontId="34" fillId="14" borderId="24" xfId="1" applyNumberFormat="1" applyFont="1" applyFill="1" applyBorder="1" applyAlignment="1">
      <alignment horizontal="center" vertical="center" wrapText="1"/>
    </xf>
    <xf numFmtId="0" fontId="30" fillId="22" borderId="24" xfId="1" applyFont="1" applyFill="1" applyBorder="1" applyAlignment="1">
      <alignment horizontal="center" vertical="center" wrapText="1"/>
    </xf>
    <xf numFmtId="0" fontId="34" fillId="3" borderId="24" xfId="1" applyFont="1" applyFill="1" applyBorder="1" applyAlignment="1">
      <alignment horizontal="center" vertical="center" wrapText="1"/>
    </xf>
    <xf numFmtId="0" fontId="29" fillId="3" borderId="36" xfId="1" applyFont="1" applyFill="1" applyBorder="1" applyAlignment="1">
      <alignment horizontal="center" vertical="center"/>
    </xf>
    <xf numFmtId="0" fontId="33" fillId="0" borderId="43" xfId="1" applyFont="1"/>
    <xf numFmtId="0" fontId="29" fillId="3" borderId="36" xfId="1" applyFont="1" applyFill="1" applyBorder="1" applyAlignment="1">
      <alignment horizontal="center" vertical="center" wrapText="1"/>
    </xf>
    <xf numFmtId="0" fontId="39" fillId="0" borderId="55" xfId="2" applyFont="1" applyBorder="1" applyAlignment="1">
      <alignment horizontal="center" vertical="center" wrapText="1"/>
    </xf>
    <xf numFmtId="0" fontId="39" fillId="0" borderId="43" xfId="2" applyFont="1" applyAlignment="1">
      <alignment horizontal="center" vertical="center" wrapText="1"/>
    </xf>
    <xf numFmtId="0" fontId="39" fillId="27" borderId="55" xfId="2" applyFont="1" applyFill="1" applyBorder="1" applyAlignment="1">
      <alignment horizontal="center" vertical="center" wrapText="1"/>
    </xf>
    <xf numFmtId="0" fontId="39" fillId="27" borderId="43" xfId="2" applyFont="1" applyFill="1" applyBorder="1" applyAlignment="1">
      <alignment horizontal="center" vertical="center" wrapText="1"/>
    </xf>
    <xf numFmtId="0" fontId="39" fillId="27" borderId="46" xfId="2" applyFont="1" applyFill="1" applyBorder="1" applyAlignment="1">
      <alignment horizontal="center" vertical="center" wrapText="1"/>
    </xf>
    <xf numFmtId="0" fontId="39" fillId="27" borderId="50" xfId="2" applyFont="1" applyFill="1" applyBorder="1" applyAlignment="1">
      <alignment horizontal="center" vertical="center" wrapText="1"/>
    </xf>
    <xf numFmtId="0" fontId="39" fillId="0" borderId="46" xfId="2" applyFont="1" applyBorder="1" applyAlignment="1">
      <alignment horizontal="center" vertical="center" wrapText="1"/>
    </xf>
    <xf numFmtId="0" fontId="39" fillId="0" borderId="50" xfId="2" applyFont="1" applyBorder="1" applyAlignment="1">
      <alignment horizontal="center" vertical="center" wrapText="1"/>
    </xf>
    <xf numFmtId="0" fontId="39" fillId="35" borderId="46" xfId="2" applyFont="1" applyFill="1" applyBorder="1" applyAlignment="1">
      <alignment horizontal="center" vertical="center" wrapText="1"/>
    </xf>
    <xf numFmtId="0" fontId="39" fillId="35" borderId="50" xfId="2" applyFont="1" applyFill="1" applyBorder="1" applyAlignment="1">
      <alignment horizontal="center" vertical="center" wrapText="1"/>
    </xf>
    <xf numFmtId="0" fontId="39" fillId="33" borderId="45" xfId="2" applyFont="1" applyFill="1" applyBorder="1" applyAlignment="1">
      <alignment horizontal="center" vertical="center" wrapText="1"/>
    </xf>
    <xf numFmtId="0" fontId="39" fillId="41" borderId="46" xfId="2" applyFont="1" applyFill="1" applyBorder="1" applyAlignment="1">
      <alignment horizontal="center" vertical="center" wrapText="1"/>
    </xf>
    <xf numFmtId="0" fontId="39" fillId="41" borderId="49" xfId="2" applyFont="1" applyFill="1" applyBorder="1" applyAlignment="1">
      <alignment horizontal="center" vertical="center" wrapText="1"/>
    </xf>
    <xf numFmtId="0" fontId="39" fillId="41" borderId="50" xfId="2" applyFont="1" applyFill="1" applyBorder="1" applyAlignment="1">
      <alignment horizontal="center" vertical="center" wrapText="1"/>
    </xf>
    <xf numFmtId="0" fontId="39" fillId="27" borderId="49" xfId="2" applyFont="1" applyFill="1" applyBorder="1" applyAlignment="1">
      <alignment horizontal="center" vertical="center" wrapText="1"/>
    </xf>
    <xf numFmtId="0" fontId="39" fillId="0" borderId="45" xfId="2" applyFont="1" applyBorder="1" applyAlignment="1">
      <alignment horizontal="center" vertical="center" wrapText="1"/>
    </xf>
    <xf numFmtId="0" fontId="39" fillId="0" borderId="49" xfId="2" applyFont="1" applyBorder="1" applyAlignment="1">
      <alignment horizontal="center" vertical="center" wrapText="1"/>
    </xf>
    <xf numFmtId="0" fontId="42" fillId="27" borderId="43" xfId="2" applyFont="1" applyFill="1" applyAlignment="1">
      <alignment horizontal="center" vertical="center" wrapText="1"/>
    </xf>
    <xf numFmtId="0" fontId="42" fillId="27" borderId="55" xfId="2" applyFont="1" applyFill="1" applyBorder="1" applyAlignment="1">
      <alignment horizontal="center" vertical="center" wrapText="1"/>
    </xf>
    <xf numFmtId="0" fontId="39" fillId="27" borderId="45" xfId="2" applyFont="1" applyFill="1" applyBorder="1" applyAlignment="1">
      <alignment horizontal="center" vertical="center" wrapText="1"/>
    </xf>
    <xf numFmtId="0" fontId="39" fillId="0" borderId="45" xfId="2" applyFont="1" applyBorder="1" applyAlignment="1">
      <alignment horizontal="left" vertical="center" wrapText="1"/>
    </xf>
    <xf numFmtId="0" fontId="39" fillId="0" borderId="45" xfId="2" applyFont="1" applyBorder="1" applyAlignment="1">
      <alignment horizontal="left" wrapText="1"/>
    </xf>
    <xf numFmtId="0" fontId="38" fillId="27" borderId="45" xfId="2" applyFont="1" applyFill="1" applyBorder="1" applyAlignment="1">
      <alignment horizontal="center" vertical="center" wrapText="1"/>
    </xf>
    <xf numFmtId="0" fontId="42" fillId="27" borderId="70" xfId="2" applyFont="1" applyFill="1" applyBorder="1" applyAlignment="1">
      <alignment horizontal="center" vertical="center" wrapText="1"/>
    </xf>
    <xf numFmtId="0" fontId="42" fillId="27" borderId="51" xfId="2" applyFont="1" applyFill="1" applyBorder="1" applyAlignment="1">
      <alignment horizontal="center" vertical="center" wrapText="1"/>
    </xf>
    <xf numFmtId="0" fontId="42" fillId="27" borderId="48" xfId="2" applyFont="1" applyFill="1" applyBorder="1" applyAlignment="1">
      <alignment horizontal="center" vertical="center" wrapText="1"/>
    </xf>
    <xf numFmtId="0" fontId="42" fillId="27" borderId="46" xfId="2" applyFont="1" applyFill="1" applyBorder="1" applyAlignment="1">
      <alignment horizontal="center" wrapText="1"/>
    </xf>
    <xf numFmtId="0" fontId="42" fillId="27" borderId="50" xfId="2" applyFont="1" applyFill="1" applyBorder="1" applyAlignment="1">
      <alignment horizontal="center" wrapText="1"/>
    </xf>
    <xf numFmtId="0" fontId="39" fillId="35" borderId="45" xfId="2" applyFont="1" applyFill="1" applyBorder="1" applyAlignment="1">
      <alignment horizontal="center" vertical="center" wrapText="1"/>
    </xf>
    <xf numFmtId="166" fontId="38" fillId="33" borderId="45" xfId="2" applyNumberFormat="1" applyFont="1" applyFill="1" applyBorder="1" applyAlignment="1">
      <alignment horizontal="left" vertical="center" wrapText="1"/>
    </xf>
    <xf numFmtId="0" fontId="39" fillId="35" borderId="49" xfId="2" applyFont="1" applyFill="1" applyBorder="1" applyAlignment="1">
      <alignment horizontal="center" vertical="center" wrapText="1"/>
    </xf>
    <xf numFmtId="0" fontId="48" fillId="32" borderId="45" xfId="2" applyFont="1" applyFill="1" applyBorder="1" applyAlignment="1">
      <alignment horizontal="center" vertical="center" wrapText="1"/>
    </xf>
    <xf numFmtId="0" fontId="39" fillId="0" borderId="46" xfId="2" applyFont="1" applyBorder="1" applyAlignment="1">
      <alignment horizontal="left" vertical="center" wrapText="1"/>
    </xf>
    <xf numFmtId="0" fontId="39" fillId="0" borderId="50" xfId="2" applyFont="1" applyBorder="1" applyAlignment="1">
      <alignment horizontal="left" vertical="center" wrapText="1"/>
    </xf>
    <xf numFmtId="0" fontId="39" fillId="27" borderId="49" xfId="2" applyFont="1" applyFill="1" applyBorder="1" applyAlignment="1">
      <alignment horizontal="center" wrapText="1"/>
    </xf>
    <xf numFmtId="0" fontId="39" fillId="27" borderId="50" xfId="2" applyFont="1" applyFill="1" applyBorder="1" applyAlignment="1">
      <alignment horizontal="center" wrapText="1"/>
    </xf>
    <xf numFmtId="178" fontId="38" fillId="35" borderId="45" xfId="2" applyNumberFormat="1" applyFont="1" applyFill="1" applyBorder="1" applyAlignment="1">
      <alignment horizontal="center" vertical="center" wrapText="1"/>
    </xf>
    <xf numFmtId="0" fontId="39" fillId="27" borderId="47" xfId="2" applyFont="1" applyFill="1" applyBorder="1" applyAlignment="1">
      <alignment horizontal="center" vertical="center" wrapText="1"/>
    </xf>
    <xf numFmtId="0" fontId="39" fillId="27" borderId="48" xfId="2" applyFont="1" applyFill="1" applyBorder="1" applyAlignment="1">
      <alignment horizontal="center" vertical="center" wrapText="1"/>
    </xf>
    <xf numFmtId="0" fontId="39" fillId="27" borderId="51" xfId="2" applyFont="1" applyFill="1" applyBorder="1" applyAlignment="1">
      <alignment horizontal="center" vertical="center" wrapText="1"/>
    </xf>
    <xf numFmtId="0" fontId="47" fillId="35" borderId="46" xfId="2" applyFont="1" applyFill="1" applyBorder="1" applyAlignment="1">
      <alignment horizontal="center" vertical="center" wrapText="1"/>
    </xf>
    <xf numFmtId="0" fontId="47" fillId="35" borderId="49" xfId="2" applyFont="1" applyFill="1" applyBorder="1" applyAlignment="1">
      <alignment horizontal="center" vertical="center" wrapText="1"/>
    </xf>
    <xf numFmtId="0" fontId="47" fillId="35" borderId="50" xfId="2" applyFont="1" applyFill="1" applyBorder="1" applyAlignment="1">
      <alignment horizontal="center" vertical="center" wrapText="1"/>
    </xf>
    <xf numFmtId="0" fontId="38" fillId="35" borderId="45" xfId="2" applyFont="1" applyFill="1" applyBorder="1" applyAlignment="1">
      <alignment horizontal="center" vertical="center" wrapText="1"/>
    </xf>
    <xf numFmtId="0" fontId="38" fillId="35" borderId="47" xfId="2" applyFont="1" applyFill="1" applyBorder="1" applyAlignment="1">
      <alignment horizontal="center" vertical="center" wrapText="1"/>
    </xf>
    <xf numFmtId="0" fontId="38" fillId="35" borderId="51" xfId="2" applyFont="1" applyFill="1" applyBorder="1" applyAlignment="1">
      <alignment horizontal="center" vertical="center" wrapText="1"/>
    </xf>
    <xf numFmtId="0" fontId="38" fillId="35" borderId="48" xfId="2" applyFont="1" applyFill="1" applyBorder="1" applyAlignment="1">
      <alignment horizontal="center" vertical="center" wrapText="1"/>
    </xf>
    <xf numFmtId="0" fontId="38" fillId="35" borderId="46" xfId="2" applyFont="1" applyFill="1" applyBorder="1" applyAlignment="1">
      <alignment horizontal="center" vertical="center" wrapText="1"/>
    </xf>
    <xf numFmtId="0" fontId="38" fillId="35" borderId="49" xfId="2" applyFont="1" applyFill="1" applyBorder="1" applyAlignment="1">
      <alignment horizontal="center" vertical="center" wrapText="1"/>
    </xf>
    <xf numFmtId="0" fontId="38" fillId="35" borderId="50" xfId="2" applyFont="1" applyFill="1" applyBorder="1" applyAlignment="1">
      <alignment horizontal="center" vertical="center" wrapText="1"/>
    </xf>
    <xf numFmtId="178" fontId="38" fillId="35" borderId="46" xfId="2" applyNumberFormat="1" applyFont="1" applyFill="1" applyBorder="1" applyAlignment="1">
      <alignment horizontal="center" wrapText="1"/>
    </xf>
    <xf numFmtId="178" fontId="38" fillId="35" borderId="49" xfId="2" applyNumberFormat="1" applyFont="1" applyFill="1" applyBorder="1" applyAlignment="1">
      <alignment horizontal="center" wrapText="1"/>
    </xf>
    <xf numFmtId="178" fontId="38" fillId="35" borderId="50" xfId="2" applyNumberFormat="1" applyFont="1" applyFill="1" applyBorder="1" applyAlignment="1">
      <alignment horizontal="center" wrapText="1"/>
    </xf>
    <xf numFmtId="0" fontId="45" fillId="35" borderId="45" xfId="2" applyFont="1" applyFill="1" applyBorder="1" applyAlignment="1">
      <alignment horizontal="center" vertical="center" wrapText="1"/>
    </xf>
    <xf numFmtId="0" fontId="45" fillId="27" borderId="46" xfId="2" applyFont="1" applyFill="1" applyBorder="1" applyAlignment="1">
      <alignment horizontal="center" vertical="center" wrapText="1"/>
    </xf>
    <xf numFmtId="0" fontId="45" fillId="27" borderId="49" xfId="2" applyFont="1" applyFill="1" applyBorder="1" applyAlignment="1">
      <alignment horizontal="center" vertical="center" wrapText="1"/>
    </xf>
    <xf numFmtId="0" fontId="45" fillId="27" borderId="50" xfId="2" applyFont="1" applyFill="1" applyBorder="1" applyAlignment="1">
      <alignment horizontal="center" vertical="center" wrapText="1"/>
    </xf>
    <xf numFmtId="0" fontId="42" fillId="35" borderId="45" xfId="2" applyFont="1" applyFill="1" applyBorder="1" applyAlignment="1">
      <alignment horizontal="center" vertical="center" wrapText="1"/>
    </xf>
    <xf numFmtId="0" fontId="45" fillId="27" borderId="45" xfId="2" applyFont="1" applyFill="1" applyBorder="1" applyAlignment="1">
      <alignment horizontal="center" vertical="center" wrapText="1"/>
    </xf>
    <xf numFmtId="0" fontId="45" fillId="27" borderId="43" xfId="2" applyFont="1" applyFill="1" applyAlignment="1">
      <alignment horizontal="center" vertical="center" wrapText="1"/>
    </xf>
    <xf numFmtId="0" fontId="45" fillId="27" borderId="65" xfId="2" applyFont="1" applyFill="1" applyBorder="1" applyAlignment="1">
      <alignment horizontal="center" vertical="center" wrapText="1"/>
    </xf>
    <xf numFmtId="0" fontId="45" fillId="35" borderId="46" xfId="2" applyFont="1" applyFill="1" applyBorder="1" applyAlignment="1">
      <alignment horizontal="center" vertical="center" wrapText="1"/>
    </xf>
    <xf numFmtId="0" fontId="45" fillId="35" borderId="49" xfId="2" applyFont="1" applyFill="1" applyBorder="1" applyAlignment="1">
      <alignment horizontal="center" vertical="center" wrapText="1"/>
    </xf>
    <xf numFmtId="0" fontId="45" fillId="35" borderId="50" xfId="2" applyFont="1" applyFill="1" applyBorder="1" applyAlignment="1">
      <alignment horizontal="center" vertical="center" wrapText="1"/>
    </xf>
    <xf numFmtId="0" fontId="45" fillId="27" borderId="46" xfId="2" applyFont="1" applyFill="1" applyBorder="1" applyAlignment="1">
      <alignment horizontal="center" wrapText="1"/>
    </xf>
    <xf numFmtId="0" fontId="45" fillId="27" borderId="49" xfId="2" applyFont="1" applyFill="1" applyBorder="1" applyAlignment="1">
      <alignment horizontal="center" wrapText="1"/>
    </xf>
    <xf numFmtId="0" fontId="45" fillId="27" borderId="50" xfId="2" applyFont="1" applyFill="1" applyBorder="1" applyAlignment="1">
      <alignment horizontal="center" wrapText="1"/>
    </xf>
    <xf numFmtId="0" fontId="38" fillId="27" borderId="43" xfId="2" applyFont="1" applyFill="1" applyAlignment="1">
      <alignment horizontal="center" vertical="center" wrapText="1"/>
    </xf>
    <xf numFmtId="0" fontId="38" fillId="0" borderId="43" xfId="2" applyFont="1" applyAlignment="1">
      <alignment horizontal="center" vertical="center" wrapText="1"/>
    </xf>
    <xf numFmtId="0" fontId="38" fillId="0" borderId="45" xfId="2" applyFont="1" applyBorder="1" applyAlignment="1">
      <alignment horizontal="center" vertical="center" wrapText="1"/>
    </xf>
    <xf numFmtId="0" fontId="38" fillId="27" borderId="55" xfId="2" applyFont="1" applyFill="1" applyBorder="1" applyAlignment="1">
      <alignment horizontal="center" vertical="center" wrapText="1"/>
    </xf>
    <xf numFmtId="0" fontId="47" fillId="27" borderId="46" xfId="2" applyFont="1" applyFill="1" applyBorder="1" applyAlignment="1">
      <alignment horizontal="center" vertical="center" wrapText="1"/>
    </xf>
    <xf numFmtId="0" fontId="47" fillId="27" borderId="49" xfId="2" applyFont="1" applyFill="1" applyBorder="1" applyAlignment="1">
      <alignment horizontal="center" vertical="center" wrapText="1"/>
    </xf>
    <xf numFmtId="0" fontId="47" fillId="27" borderId="50" xfId="2" applyFont="1" applyFill="1" applyBorder="1" applyAlignment="1">
      <alignment horizontal="center" vertical="center" wrapText="1"/>
    </xf>
    <xf numFmtId="0" fontId="38" fillId="30" borderId="46" xfId="2" applyFont="1" applyFill="1" applyBorder="1" applyAlignment="1">
      <alignment horizontal="center" vertical="center" wrapText="1"/>
    </xf>
    <xf numFmtId="0" fontId="38" fillId="30" borderId="49" xfId="2" applyFont="1" applyFill="1" applyBorder="1" applyAlignment="1">
      <alignment horizontal="center" vertical="center" wrapText="1"/>
    </xf>
    <xf numFmtId="0" fontId="38" fillId="30" borderId="50" xfId="2" applyFont="1" applyFill="1" applyBorder="1" applyAlignment="1">
      <alignment horizontal="center" vertical="center" wrapText="1"/>
    </xf>
    <xf numFmtId="0" fontId="42" fillId="27" borderId="46" xfId="2" applyFont="1" applyFill="1" applyBorder="1" applyAlignment="1">
      <alignment horizontal="center" vertical="center" wrapText="1"/>
    </xf>
    <xf numFmtId="0" fontId="42" fillId="27" borderId="49" xfId="2" applyFont="1" applyFill="1" applyBorder="1" applyAlignment="1">
      <alignment horizontal="center" vertical="center" wrapText="1"/>
    </xf>
    <xf numFmtId="0" fontId="42" fillId="27" borderId="50" xfId="2" applyFont="1" applyFill="1" applyBorder="1" applyAlignment="1">
      <alignment horizontal="center" vertical="center" wrapText="1"/>
    </xf>
    <xf numFmtId="0" fontId="38" fillId="33" borderId="45" xfId="2" applyFont="1" applyFill="1" applyBorder="1" applyAlignment="1">
      <alignment horizontal="left" vertical="center" wrapText="1"/>
    </xf>
    <xf numFmtId="0" fontId="38" fillId="27" borderId="46" xfId="2" applyFont="1" applyFill="1" applyBorder="1" applyAlignment="1">
      <alignment horizontal="center" wrapText="1"/>
    </xf>
    <xf numFmtId="0" fontId="38" fillId="27" borderId="49" xfId="2" applyFont="1" applyFill="1" applyBorder="1" applyAlignment="1">
      <alignment horizontal="center" wrapText="1"/>
    </xf>
    <xf numFmtId="0" fontId="38" fillId="27" borderId="50" xfId="2" applyFont="1" applyFill="1" applyBorder="1" applyAlignment="1">
      <alignment horizontal="center" wrapText="1"/>
    </xf>
    <xf numFmtId="0" fontId="45" fillId="35" borderId="47" xfId="2" applyFont="1" applyFill="1" applyBorder="1" applyAlignment="1">
      <alignment horizontal="center" vertical="center" wrapText="1"/>
    </xf>
    <xf numFmtId="0" fontId="45" fillId="35" borderId="51" xfId="2" applyFont="1" applyFill="1" applyBorder="1" applyAlignment="1">
      <alignment horizontal="center" vertical="center" wrapText="1"/>
    </xf>
    <xf numFmtId="0" fontId="45" fillId="35" borderId="48" xfId="2" applyFont="1" applyFill="1" applyBorder="1" applyAlignment="1">
      <alignment horizontal="center" vertical="center" wrapText="1"/>
    </xf>
    <xf numFmtId="0" fontId="38" fillId="32" borderId="66" xfId="2" applyFont="1" applyFill="1" applyBorder="1" applyAlignment="1">
      <alignment horizontal="center" vertical="center" wrapText="1"/>
    </xf>
    <xf numFmtId="0" fontId="38" fillId="32" borderId="67" xfId="2" applyFont="1" applyFill="1" applyBorder="1" applyAlignment="1">
      <alignment horizontal="center" vertical="center" wrapText="1"/>
    </xf>
    <xf numFmtId="0" fontId="38" fillId="32" borderId="68" xfId="2" applyFont="1" applyFill="1" applyBorder="1" applyAlignment="1">
      <alignment horizontal="center" vertical="center" wrapText="1"/>
    </xf>
    <xf numFmtId="0" fontId="38" fillId="27" borderId="46" xfId="2" applyFont="1" applyFill="1" applyBorder="1" applyAlignment="1">
      <alignment horizontal="center" vertical="center" wrapText="1"/>
    </xf>
    <xf numFmtId="0" fontId="38" fillId="27" borderId="50" xfId="2" applyFont="1" applyFill="1" applyBorder="1" applyAlignment="1">
      <alignment horizontal="center" vertical="center" wrapText="1"/>
    </xf>
    <xf numFmtId="0" fontId="38" fillId="28" borderId="62" xfId="2" applyFont="1" applyFill="1" applyBorder="1" applyAlignment="1">
      <alignment horizontal="left" wrapText="1"/>
    </xf>
    <xf numFmtId="0" fontId="48" fillId="35" borderId="46" xfId="2" applyFont="1" applyFill="1" applyBorder="1" applyAlignment="1">
      <alignment horizontal="center" vertical="center" wrapText="1"/>
    </xf>
    <xf numFmtId="0" fontId="48" fillId="35" borderId="49" xfId="2" applyFont="1" applyFill="1" applyBorder="1" applyAlignment="1">
      <alignment horizontal="center" vertical="center" wrapText="1"/>
    </xf>
    <xf numFmtId="0" fontId="48" fillId="35" borderId="50" xfId="2" applyFont="1" applyFill="1" applyBorder="1" applyAlignment="1">
      <alignment horizontal="center" vertical="center" wrapText="1"/>
    </xf>
    <xf numFmtId="0" fontId="38" fillId="27" borderId="49" xfId="2" applyFont="1" applyFill="1" applyBorder="1" applyAlignment="1">
      <alignment horizontal="center" vertical="center" wrapText="1"/>
    </xf>
    <xf numFmtId="0" fontId="38" fillId="0" borderId="46" xfId="2" applyFont="1" applyBorder="1" applyAlignment="1">
      <alignment horizontal="center" wrapText="1"/>
    </xf>
    <xf numFmtId="0" fontId="38" fillId="0" borderId="49" xfId="2" applyFont="1" applyBorder="1" applyAlignment="1">
      <alignment horizontal="center" wrapText="1"/>
    </xf>
    <xf numFmtId="0" fontId="38" fillId="0" borderId="50" xfId="2" applyFont="1" applyBorder="1" applyAlignment="1">
      <alignment horizontal="center" wrapText="1"/>
    </xf>
    <xf numFmtId="0" fontId="38" fillId="0" borderId="46" xfId="2" applyFont="1" applyBorder="1" applyAlignment="1">
      <alignment horizontal="center" vertical="center" wrapText="1"/>
    </xf>
    <xf numFmtId="0" fontId="38" fillId="0" borderId="49" xfId="2" applyFont="1" applyBorder="1" applyAlignment="1">
      <alignment horizontal="center" vertical="center" wrapText="1"/>
    </xf>
    <xf numFmtId="0" fontId="38" fillId="0" borderId="50" xfId="2" applyFont="1" applyBorder="1" applyAlignment="1">
      <alignment horizontal="center" vertical="center" wrapText="1"/>
    </xf>
    <xf numFmtId="0" fontId="38" fillId="28" borderId="46" xfId="2" applyFont="1" applyFill="1" applyBorder="1" applyAlignment="1">
      <alignment horizontal="center" vertical="center" wrapText="1"/>
    </xf>
    <xf numFmtId="0" fontId="38" fillId="28" borderId="50" xfId="2" applyFont="1" applyFill="1" applyBorder="1" applyAlignment="1">
      <alignment horizontal="center" vertical="center" wrapText="1"/>
    </xf>
    <xf numFmtId="0" fontId="38" fillId="0" borderId="46" xfId="2" applyFont="1" applyBorder="1" applyAlignment="1">
      <alignment horizontal="left" wrapText="1"/>
    </xf>
    <xf numFmtId="0" fontId="38" fillId="0" borderId="49" xfId="2" applyFont="1" applyBorder="1" applyAlignment="1">
      <alignment horizontal="left" wrapText="1"/>
    </xf>
    <xf numFmtId="0" fontId="38" fillId="0" borderId="50" xfId="2" applyFont="1" applyBorder="1" applyAlignment="1">
      <alignment horizontal="left" wrapText="1"/>
    </xf>
    <xf numFmtId="0" fontId="47" fillId="30" borderId="46" xfId="2" applyFont="1" applyFill="1" applyBorder="1" applyAlignment="1">
      <alignment horizontal="center" vertical="center" wrapText="1"/>
    </xf>
    <xf numFmtId="0" fontId="47" fillId="30" borderId="50" xfId="2" applyFont="1" applyFill="1" applyBorder="1" applyAlignment="1">
      <alignment horizontal="center" vertical="center" wrapText="1"/>
    </xf>
    <xf numFmtId="0" fontId="38" fillId="27" borderId="45" xfId="2" applyFont="1" applyFill="1" applyBorder="1" applyAlignment="1">
      <alignment horizontal="center" wrapText="1"/>
    </xf>
    <xf numFmtId="0" fontId="38" fillId="28" borderId="43" xfId="2" applyFont="1" applyFill="1" applyAlignment="1">
      <alignment horizontal="center" wrapText="1"/>
    </xf>
    <xf numFmtId="0" fontId="47" fillId="27" borderId="45" xfId="2" applyFont="1" applyFill="1" applyBorder="1" applyAlignment="1">
      <alignment horizontal="center" vertical="center" wrapText="1"/>
    </xf>
    <xf numFmtId="0" fontId="42" fillId="35" borderId="52" xfId="2" applyFont="1" applyFill="1" applyBorder="1" applyAlignment="1">
      <alignment horizontal="center" vertical="center" wrapText="1"/>
    </xf>
    <xf numFmtId="0" fontId="42" fillId="35" borderId="53" xfId="2" applyFont="1" applyFill="1" applyBorder="1" applyAlignment="1">
      <alignment horizontal="center" vertical="center" wrapText="1"/>
    </xf>
    <xf numFmtId="0" fontId="42" fillId="35" borderId="54" xfId="2" applyFont="1" applyFill="1" applyBorder="1" applyAlignment="1">
      <alignment horizontal="center" vertical="center" wrapText="1"/>
    </xf>
    <xf numFmtId="0" fontId="39" fillId="35" borderId="60" xfId="2" applyFont="1" applyFill="1" applyBorder="1" applyAlignment="1">
      <alignment horizontal="center" vertical="center" wrapText="1"/>
    </xf>
    <xf numFmtId="0" fontId="39" fillId="35" borderId="62" xfId="2" applyFont="1" applyFill="1" applyBorder="1" applyAlignment="1">
      <alignment horizontal="center" vertical="center" wrapText="1"/>
    </xf>
    <xf numFmtId="0" fontId="39" fillId="35" borderId="59" xfId="2" applyFont="1" applyFill="1" applyBorder="1" applyAlignment="1">
      <alignment horizontal="center" vertical="center" wrapText="1"/>
    </xf>
    <xf numFmtId="0" fontId="47" fillId="34" borderId="45" xfId="2" applyFont="1" applyFill="1" applyBorder="1" applyAlignment="1">
      <alignment horizontal="center" vertical="center" wrapText="1"/>
    </xf>
    <xf numFmtId="0" fontId="42" fillId="27" borderId="63" xfId="2" applyFont="1" applyFill="1" applyBorder="1" applyAlignment="1">
      <alignment horizontal="center" vertical="center" wrapText="1"/>
    </xf>
    <xf numFmtId="0" fontId="42" fillId="27" borderId="64" xfId="2" applyFont="1" applyFill="1" applyBorder="1" applyAlignment="1">
      <alignment horizontal="center" vertical="center" wrapText="1"/>
    </xf>
    <xf numFmtId="0" fontId="45" fillId="35" borderId="57" xfId="2" applyFont="1" applyFill="1" applyBorder="1" applyAlignment="1">
      <alignment horizontal="center" vertical="center" wrapText="1"/>
    </xf>
    <xf numFmtId="0" fontId="45" fillId="35" borderId="58" xfId="2" applyFont="1" applyFill="1" applyBorder="1" applyAlignment="1">
      <alignment horizontal="center" vertical="center" wrapText="1"/>
    </xf>
    <xf numFmtId="0" fontId="45" fillId="35" borderId="69" xfId="2" applyFont="1" applyFill="1" applyBorder="1" applyAlignment="1">
      <alignment horizontal="center" vertical="center" wrapText="1"/>
    </xf>
    <xf numFmtId="0" fontId="45" fillId="35" borderId="71" xfId="2" applyFont="1" applyFill="1" applyBorder="1" applyAlignment="1">
      <alignment horizontal="center" vertical="center" wrapText="1"/>
    </xf>
    <xf numFmtId="0" fontId="45" fillId="35" borderId="72" xfId="2" applyFont="1" applyFill="1" applyBorder="1" applyAlignment="1">
      <alignment horizontal="center" vertical="center" wrapText="1"/>
    </xf>
    <xf numFmtId="0" fontId="39" fillId="0" borderId="45" xfId="2" applyFont="1" applyBorder="1" applyAlignment="1">
      <alignment horizontal="center" vertical="center"/>
    </xf>
    <xf numFmtId="0" fontId="39" fillId="0" borderId="46" xfId="2" applyFont="1" applyBorder="1" applyAlignment="1">
      <alignment horizontal="center" wrapText="1"/>
    </xf>
    <xf numFmtId="0" fontId="39" fillId="0" borderId="50" xfId="2" applyFont="1" applyBorder="1" applyAlignment="1">
      <alignment horizontal="center" wrapText="1"/>
    </xf>
    <xf numFmtId="0" fontId="39" fillId="0" borderId="45" xfId="2" applyFont="1" applyBorder="1" applyAlignment="1">
      <alignment horizontal="center" wrapText="1"/>
    </xf>
    <xf numFmtId="0" fontId="38" fillId="28" borderId="43" xfId="2" applyFont="1" applyFill="1" applyAlignment="1">
      <alignment horizontal="center" vertical="center" wrapText="1"/>
    </xf>
    <xf numFmtId="178" fontId="47" fillId="35" borderId="45" xfId="4" applyFont="1" applyFill="1" applyBorder="1" applyAlignment="1">
      <alignment horizontal="center" vertical="center" wrapText="1"/>
    </xf>
    <xf numFmtId="0" fontId="38" fillId="27" borderId="56" xfId="2" applyFont="1" applyFill="1" applyBorder="1" applyAlignment="1">
      <alignment horizontal="center" vertical="center" wrapText="1"/>
    </xf>
    <xf numFmtId="0" fontId="38" fillId="27" borderId="57" xfId="2" applyFont="1" applyFill="1" applyBorder="1" applyAlignment="1">
      <alignment horizontal="center" vertical="center" wrapText="1"/>
    </xf>
    <xf numFmtId="0" fontId="38" fillId="27" borderId="58" xfId="2" applyFont="1" applyFill="1" applyBorder="1" applyAlignment="1">
      <alignment horizontal="center" vertical="center" wrapText="1"/>
    </xf>
    <xf numFmtId="0" fontId="38" fillId="27" borderId="47" xfId="2" applyFont="1" applyFill="1" applyBorder="1" applyAlignment="1">
      <alignment horizontal="center" vertical="center" wrapText="1"/>
    </xf>
    <xf numFmtId="0" fontId="38" fillId="27" borderId="51" xfId="2" applyFont="1" applyFill="1" applyBorder="1" applyAlignment="1">
      <alignment horizontal="center" vertical="center" wrapText="1"/>
    </xf>
    <xf numFmtId="0" fontId="38" fillId="27" borderId="48" xfId="2" applyFont="1" applyFill="1" applyBorder="1" applyAlignment="1">
      <alignment horizontal="center" vertical="center" wrapText="1"/>
    </xf>
    <xf numFmtId="0" fontId="38" fillId="27" borderId="59" xfId="2" applyFont="1" applyFill="1" applyBorder="1" applyAlignment="1">
      <alignment horizontal="center" vertical="center" wrapText="1"/>
    </xf>
    <xf numFmtId="0" fontId="38" fillId="35" borderId="45" xfId="2" applyFont="1" applyFill="1" applyBorder="1" applyAlignment="1">
      <alignment horizontal="center" wrapText="1"/>
    </xf>
    <xf numFmtId="0" fontId="39" fillId="0" borderId="0" xfId="0" applyFont="1" applyAlignment="1">
      <alignment horizontal="center" vertical="center"/>
    </xf>
    <xf numFmtId="0" fontId="39" fillId="27" borderId="0" xfId="0" applyFont="1" applyFill="1" applyAlignment="1">
      <alignment horizontal="center" vertical="center" wrapText="1"/>
    </xf>
    <xf numFmtId="0" fontId="31" fillId="27" borderId="47" xfId="0" applyFont="1" applyFill="1" applyBorder="1" applyAlignment="1">
      <alignment horizontal="center" vertical="center" wrapText="1"/>
    </xf>
    <xf numFmtId="0" fontId="31" fillId="27" borderId="48" xfId="0" applyFont="1" applyFill="1" applyBorder="1" applyAlignment="1">
      <alignment horizontal="center" vertical="center" wrapText="1"/>
    </xf>
    <xf numFmtId="0" fontId="38" fillId="27" borderId="46" xfId="0" applyFont="1" applyFill="1" applyBorder="1" applyAlignment="1">
      <alignment horizontal="center" wrapText="1"/>
    </xf>
    <xf numFmtId="0" fontId="38" fillId="27" borderId="49" xfId="0" applyFont="1" applyFill="1" applyBorder="1" applyAlignment="1">
      <alignment horizontal="center" wrapText="1"/>
    </xf>
    <xf numFmtId="0" fontId="38" fillId="27" borderId="50" xfId="0" applyFont="1" applyFill="1" applyBorder="1" applyAlignment="1">
      <alignment horizontal="center" wrapText="1"/>
    </xf>
    <xf numFmtId="178" fontId="38" fillId="29" borderId="46" xfId="7" applyFont="1" applyFill="1" applyBorder="1" applyAlignment="1">
      <alignment horizontal="center" vertical="center" wrapText="1"/>
    </xf>
    <xf numFmtId="178" fontId="38" fillId="29" borderId="49" xfId="7" applyFont="1" applyFill="1" applyBorder="1" applyAlignment="1">
      <alignment horizontal="center" vertical="center" wrapText="1"/>
    </xf>
    <xf numFmtId="178" fontId="38" fillId="29" borderId="50" xfId="7" applyFont="1" applyFill="1" applyBorder="1" applyAlignment="1">
      <alignment horizontal="center" vertical="center" wrapText="1"/>
    </xf>
    <xf numFmtId="0" fontId="38" fillId="31" borderId="46" xfId="0" applyFont="1" applyFill="1" applyBorder="1" applyAlignment="1">
      <alignment horizontal="center" vertical="center" wrapText="1"/>
    </xf>
    <xf numFmtId="0" fontId="38" fillId="31" borderId="49" xfId="0" applyFont="1" applyFill="1" applyBorder="1" applyAlignment="1">
      <alignment horizontal="center" vertical="center" wrapText="1"/>
    </xf>
    <xf numFmtId="0" fontId="38" fillId="31" borderId="50" xfId="0" applyFont="1" applyFill="1" applyBorder="1" applyAlignment="1">
      <alignment horizontal="center" vertical="center" wrapText="1"/>
    </xf>
    <xf numFmtId="0" fontId="38" fillId="34" borderId="46" xfId="0" applyFont="1" applyFill="1" applyBorder="1" applyAlignment="1">
      <alignment horizontal="center" vertical="center" wrapText="1"/>
    </xf>
    <xf numFmtId="0" fontId="38" fillId="34" borderId="50" xfId="0" applyFont="1" applyFill="1" applyBorder="1" applyAlignment="1">
      <alignment horizontal="center" vertical="center" wrapText="1"/>
    </xf>
    <xf numFmtId="0" fontId="38" fillId="30" borderId="56" xfId="0" applyFont="1" applyFill="1" applyBorder="1" applyAlignment="1">
      <alignment horizontal="center" vertical="center" wrapText="1"/>
    </xf>
    <xf numFmtId="0" fontId="38" fillId="30" borderId="58" xfId="0" applyFont="1" applyFill="1" applyBorder="1" applyAlignment="1">
      <alignment horizontal="center" vertical="center" wrapText="1"/>
    </xf>
    <xf numFmtId="0" fontId="38" fillId="30" borderId="55" xfId="0" applyFont="1" applyFill="1" applyBorder="1" applyAlignment="1">
      <alignment horizontal="center" vertical="center" wrapText="1"/>
    </xf>
    <xf numFmtId="0" fontId="38" fillId="30" borderId="65" xfId="0" applyFont="1" applyFill="1" applyBorder="1" applyAlignment="1">
      <alignment horizontal="center" vertical="center" wrapText="1"/>
    </xf>
    <xf numFmtId="0" fontId="38" fillId="30" borderId="69" xfId="0" applyFont="1" applyFill="1" applyBorder="1" applyAlignment="1">
      <alignment horizontal="center" vertical="center" wrapText="1"/>
    </xf>
    <xf numFmtId="0" fontId="38" fillId="30" borderId="72" xfId="0" applyFont="1" applyFill="1" applyBorder="1" applyAlignment="1">
      <alignment horizontal="center" vertical="center" wrapText="1"/>
    </xf>
    <xf numFmtId="0" fontId="38" fillId="27" borderId="47" xfId="0" applyFont="1" applyFill="1" applyBorder="1" applyAlignment="1">
      <alignment horizontal="center" vertical="center" wrapText="1"/>
    </xf>
    <xf numFmtId="0" fontId="38" fillId="27" borderId="51" xfId="0" applyFont="1" applyFill="1" applyBorder="1" applyAlignment="1">
      <alignment horizontal="center" vertical="center" wrapText="1"/>
    </xf>
    <xf numFmtId="0" fontId="38" fillId="27" borderId="48" xfId="0" applyFont="1" applyFill="1" applyBorder="1" applyAlignment="1">
      <alignment horizontal="center" vertical="center" wrapText="1"/>
    </xf>
    <xf numFmtId="0" fontId="38" fillId="0" borderId="73" xfId="0" applyFont="1" applyBorder="1" applyAlignment="1">
      <alignment horizontal="center" vertical="center" wrapText="1"/>
    </xf>
    <xf numFmtId="0" fontId="38" fillId="0" borderId="0" xfId="0" applyFont="1" applyAlignment="1">
      <alignment horizontal="center" vertical="center" wrapText="1"/>
    </xf>
    <xf numFmtId="0" fontId="38" fillId="30" borderId="46" xfId="0" applyFont="1" applyFill="1" applyBorder="1" applyAlignment="1">
      <alignment horizontal="center" vertical="center" wrapText="1"/>
    </xf>
    <xf numFmtId="0" fontId="38" fillId="30" borderId="50" xfId="0" applyFont="1" applyFill="1" applyBorder="1" applyAlignment="1">
      <alignment horizontal="center" vertical="center" wrapText="1"/>
    </xf>
    <xf numFmtId="0" fontId="39" fillId="27" borderId="46" xfId="0" applyFont="1" applyFill="1" applyBorder="1" applyAlignment="1">
      <alignment horizontal="center" vertical="center" wrapText="1"/>
    </xf>
    <xf numFmtId="0" fontId="39" fillId="27" borderId="49" xfId="0" applyFont="1" applyFill="1" applyBorder="1" applyAlignment="1">
      <alignment horizontal="center" vertical="center" wrapText="1"/>
    </xf>
    <xf numFmtId="0" fontId="39" fillId="27" borderId="50" xfId="0" applyFont="1" applyFill="1" applyBorder="1" applyAlignment="1">
      <alignment horizontal="center" vertical="center" wrapText="1"/>
    </xf>
    <xf numFmtId="0" fontId="38" fillId="27" borderId="46" xfId="0" applyFont="1" applyFill="1" applyBorder="1" applyAlignment="1">
      <alignment horizontal="center" vertical="center" wrapText="1"/>
    </xf>
    <xf numFmtId="0" fontId="38" fillId="27" borderId="49" xfId="0" applyFont="1" applyFill="1" applyBorder="1" applyAlignment="1">
      <alignment horizontal="center" vertical="center" wrapText="1"/>
    </xf>
    <xf numFmtId="0" fontId="38" fillId="27" borderId="50" xfId="0" applyFont="1" applyFill="1" applyBorder="1" applyAlignment="1">
      <alignment horizontal="center" vertical="center" wrapText="1"/>
    </xf>
    <xf numFmtId="0" fontId="38" fillId="27" borderId="73" xfId="0" applyFont="1" applyFill="1" applyBorder="1" applyAlignment="1">
      <alignment horizontal="center" vertical="center"/>
    </xf>
    <xf numFmtId="0" fontId="38" fillId="27" borderId="43" xfId="0" applyFont="1" applyFill="1" applyBorder="1" applyAlignment="1">
      <alignment horizontal="center" vertical="center"/>
    </xf>
    <xf numFmtId="0" fontId="38" fillId="27" borderId="73" xfId="0" applyFont="1" applyFill="1" applyBorder="1" applyAlignment="1">
      <alignment horizontal="center" vertical="center" wrapText="1"/>
    </xf>
    <xf numFmtId="0" fontId="38" fillId="27" borderId="43" xfId="0" applyFont="1" applyFill="1" applyBorder="1" applyAlignment="1">
      <alignment horizontal="center" vertical="center" wrapText="1"/>
    </xf>
    <xf numFmtId="0" fontId="38" fillId="27" borderId="45" xfId="0" applyFont="1" applyFill="1" applyBorder="1" applyAlignment="1">
      <alignment horizontal="center" vertical="center" wrapText="1"/>
    </xf>
    <xf numFmtId="0" fontId="42" fillId="27" borderId="55" xfId="0" applyFont="1" applyFill="1" applyBorder="1" applyAlignment="1">
      <alignment horizontal="center" vertical="center" wrapText="1"/>
    </xf>
    <xf numFmtId="0" fontId="42" fillId="27" borderId="43" xfId="0" applyFont="1" applyFill="1" applyBorder="1" applyAlignment="1">
      <alignment horizontal="center" vertical="center" wrapText="1"/>
    </xf>
    <xf numFmtId="0" fontId="38" fillId="28" borderId="0" xfId="0" applyFont="1" applyFill="1" applyAlignment="1">
      <alignment horizontal="center" vertical="center" wrapText="1"/>
    </xf>
    <xf numFmtId="0" fontId="43" fillId="35" borderId="55" xfId="0" applyFont="1" applyFill="1" applyBorder="1" applyAlignment="1">
      <alignment horizontal="left" vertical="center" wrapText="1"/>
    </xf>
    <xf numFmtId="0" fontId="43" fillId="35" borderId="43" xfId="0" applyFont="1" applyFill="1" applyBorder="1" applyAlignment="1">
      <alignment horizontal="left" vertical="center" wrapText="1"/>
    </xf>
    <xf numFmtId="0" fontId="38" fillId="27" borderId="56" xfId="0" applyFont="1" applyFill="1" applyBorder="1" applyAlignment="1">
      <alignment horizontal="center" vertical="center" wrapText="1"/>
    </xf>
    <xf numFmtId="0" fontId="38" fillId="27" borderId="57" xfId="0" applyFont="1" applyFill="1" applyBorder="1" applyAlignment="1">
      <alignment horizontal="center" vertical="center" wrapText="1"/>
    </xf>
    <xf numFmtId="0" fontId="38" fillId="27" borderId="58" xfId="0" applyFont="1" applyFill="1" applyBorder="1" applyAlignment="1">
      <alignment horizontal="center" vertical="center" wrapText="1"/>
    </xf>
    <xf numFmtId="0" fontId="38" fillId="27" borderId="59" xfId="0" applyFont="1" applyFill="1" applyBorder="1" applyAlignment="1">
      <alignment horizontal="center" vertical="center" wrapText="1"/>
    </xf>
    <xf numFmtId="0" fontId="38" fillId="27" borderId="0" xfId="0" applyFont="1" applyFill="1" applyAlignment="1">
      <alignment horizontal="center" vertical="center" wrapText="1"/>
    </xf>
    <xf numFmtId="0" fontId="39" fillId="27" borderId="45" xfId="0" applyFont="1" applyFill="1" applyBorder="1" applyAlignment="1">
      <alignment horizontal="center" vertical="center" wrapText="1"/>
    </xf>
    <xf numFmtId="0" fontId="39" fillId="35" borderId="45" xfId="0" applyFont="1" applyFill="1" applyBorder="1" applyAlignment="1">
      <alignment horizontal="center" vertical="center" wrapText="1"/>
    </xf>
    <xf numFmtId="0" fontId="47" fillId="27" borderId="45" xfId="0" applyFont="1" applyFill="1" applyBorder="1" applyAlignment="1">
      <alignment horizontal="center" vertical="center" wrapText="1"/>
    </xf>
    <xf numFmtId="0" fontId="47" fillId="27" borderId="60" xfId="0" applyFont="1" applyFill="1" applyBorder="1" applyAlignment="1">
      <alignment horizontal="center" vertical="center" wrapText="1"/>
    </xf>
    <xf numFmtId="178" fontId="48" fillId="35" borderId="45" xfId="7" applyFont="1" applyFill="1" applyBorder="1" applyAlignment="1">
      <alignment horizontal="center" vertical="center" wrapText="1"/>
    </xf>
    <xf numFmtId="0" fontId="47" fillId="30" borderId="46" xfId="0" applyFont="1" applyFill="1" applyBorder="1" applyAlignment="1">
      <alignment horizontal="center" vertical="center" wrapText="1"/>
    </xf>
    <xf numFmtId="0" fontId="47" fillId="30" borderId="50" xfId="0" applyFont="1" applyFill="1" applyBorder="1" applyAlignment="1">
      <alignment horizontal="center" vertical="center" wrapText="1"/>
    </xf>
    <xf numFmtId="0" fontId="38" fillId="27" borderId="45" xfId="0" applyFont="1" applyFill="1" applyBorder="1" applyAlignment="1">
      <alignment horizontal="center" wrapText="1"/>
    </xf>
    <xf numFmtId="0" fontId="38" fillId="28" borderId="43" xfId="0" applyFont="1" applyFill="1" applyBorder="1" applyAlignment="1">
      <alignment horizontal="center" wrapText="1"/>
    </xf>
    <xf numFmtId="0" fontId="47" fillId="34" borderId="45" xfId="0" applyFont="1" applyFill="1" applyBorder="1" applyAlignment="1">
      <alignment horizontal="center" vertical="center" wrapText="1"/>
    </xf>
    <xf numFmtId="0" fontId="42" fillId="27" borderId="63" xfId="0" applyFont="1" applyFill="1" applyBorder="1" applyAlignment="1">
      <alignment horizontal="center" vertical="center" wrapText="1"/>
    </xf>
    <xf numFmtId="0" fontId="42" fillId="27" borderId="64" xfId="0" applyFont="1" applyFill="1" applyBorder="1" applyAlignment="1">
      <alignment horizontal="center" vertical="center" wrapText="1"/>
    </xf>
    <xf numFmtId="0" fontId="38" fillId="0" borderId="46" xfId="0" applyFont="1" applyBorder="1" applyAlignment="1">
      <alignment horizontal="center" wrapText="1"/>
    </xf>
    <xf numFmtId="0" fontId="38" fillId="0" borderId="49" xfId="0" applyFont="1" applyBorder="1" applyAlignment="1">
      <alignment horizontal="center" wrapText="1"/>
    </xf>
    <xf numFmtId="0" fontId="38" fillId="0" borderId="50" xfId="0" applyFont="1" applyBorder="1" applyAlignment="1">
      <alignment horizontal="center" wrapText="1"/>
    </xf>
    <xf numFmtId="0" fontId="48" fillId="35" borderId="46" xfId="0" applyFont="1" applyFill="1" applyBorder="1" applyAlignment="1">
      <alignment horizontal="center" vertical="center" wrapText="1"/>
    </xf>
    <xf numFmtId="0" fontId="48" fillId="35" borderId="49" xfId="0" applyFont="1" applyFill="1" applyBorder="1" applyAlignment="1">
      <alignment horizontal="center" vertical="center" wrapText="1"/>
    </xf>
    <xf numFmtId="0" fontId="48" fillId="35" borderId="50" xfId="0" applyFont="1" applyFill="1" applyBorder="1" applyAlignment="1">
      <alignment horizontal="center" vertical="center" wrapText="1"/>
    </xf>
    <xf numFmtId="0" fontId="45" fillId="35" borderId="46" xfId="0" applyFont="1" applyFill="1" applyBorder="1" applyAlignment="1">
      <alignment horizontal="center" vertical="center" wrapText="1"/>
    </xf>
    <xf numFmtId="0" fontId="45" fillId="35" borderId="49" xfId="0" applyFont="1" applyFill="1" applyBorder="1" applyAlignment="1">
      <alignment horizontal="center" vertical="center" wrapText="1"/>
    </xf>
    <xf numFmtId="0" fontId="45" fillId="35" borderId="50" xfId="0" applyFont="1" applyFill="1" applyBorder="1" applyAlignment="1">
      <alignment horizontal="center" vertical="center" wrapText="1"/>
    </xf>
    <xf numFmtId="0" fontId="45" fillId="35" borderId="45" xfId="0" applyFont="1" applyFill="1" applyBorder="1" applyAlignment="1">
      <alignment horizontal="center" vertical="center" wrapText="1"/>
    </xf>
    <xf numFmtId="0" fontId="38" fillId="35" borderId="47" xfId="0" applyFont="1" applyFill="1" applyBorder="1" applyAlignment="1">
      <alignment horizontal="center" vertical="center" wrapText="1"/>
    </xf>
    <xf numFmtId="0" fontId="38" fillId="35" borderId="51" xfId="0" applyFont="1" applyFill="1" applyBorder="1" applyAlignment="1">
      <alignment horizontal="center" vertical="center" wrapText="1"/>
    </xf>
    <xf numFmtId="0" fontId="38" fillId="35" borderId="48" xfId="0" applyFont="1" applyFill="1" applyBorder="1" applyAlignment="1">
      <alignment horizontal="center" vertical="center" wrapText="1"/>
    </xf>
    <xf numFmtId="0" fontId="38" fillId="35" borderId="46" xfId="0" applyFont="1" applyFill="1" applyBorder="1" applyAlignment="1">
      <alignment horizontal="center" vertical="center" wrapText="1"/>
    </xf>
    <xf numFmtId="0" fontId="38" fillId="35" borderId="49" xfId="0" applyFont="1" applyFill="1" applyBorder="1" applyAlignment="1">
      <alignment horizontal="center" vertical="center" wrapText="1"/>
    </xf>
    <xf numFmtId="0" fontId="38" fillId="35" borderId="50" xfId="0" applyFont="1" applyFill="1" applyBorder="1" applyAlignment="1">
      <alignment horizontal="center" vertical="center" wrapText="1"/>
    </xf>
    <xf numFmtId="178" fontId="38" fillId="35" borderId="45" xfId="0" applyNumberFormat="1" applyFont="1" applyFill="1" applyBorder="1" applyAlignment="1">
      <alignment horizontal="center" vertical="center" wrapText="1"/>
    </xf>
    <xf numFmtId="0" fontId="39" fillId="27" borderId="47" xfId="0" applyFont="1" applyFill="1" applyBorder="1" applyAlignment="1">
      <alignment horizontal="center" vertical="center" wrapText="1"/>
    </xf>
    <xf numFmtId="0" fontId="39" fillId="27" borderId="48" xfId="0" applyFont="1" applyFill="1" applyBorder="1" applyAlignment="1">
      <alignment horizontal="center" vertical="center" wrapText="1"/>
    </xf>
    <xf numFmtId="0" fontId="39" fillId="27" borderId="51" xfId="0" applyFont="1" applyFill="1" applyBorder="1" applyAlignment="1">
      <alignment horizontal="center" vertical="center" wrapText="1"/>
    </xf>
    <xf numFmtId="0" fontId="45" fillId="27" borderId="46" xfId="0" applyFont="1" applyFill="1" applyBorder="1" applyAlignment="1">
      <alignment horizontal="center" vertical="center" wrapText="1"/>
    </xf>
    <xf numFmtId="0" fontId="45" fillId="27" borderId="49" xfId="0" applyFont="1" applyFill="1" applyBorder="1" applyAlignment="1">
      <alignment horizontal="center" vertical="center" wrapText="1"/>
    </xf>
    <xf numFmtId="0" fontId="45" fillId="27" borderId="50" xfId="0" applyFont="1" applyFill="1" applyBorder="1" applyAlignment="1">
      <alignment horizontal="center" vertical="center" wrapText="1"/>
    </xf>
    <xf numFmtId="0" fontId="42" fillId="35" borderId="45" xfId="0" applyFont="1" applyFill="1" applyBorder="1" applyAlignment="1">
      <alignment horizontal="center" vertical="center" wrapText="1"/>
    </xf>
    <xf numFmtId="0" fontId="47" fillId="35" borderId="46" xfId="0" applyFont="1" applyFill="1" applyBorder="1" applyAlignment="1">
      <alignment horizontal="center" vertical="center" wrapText="1"/>
    </xf>
    <xf numFmtId="0" fontId="47" fillId="35" borderId="49" xfId="0" applyFont="1" applyFill="1" applyBorder="1" applyAlignment="1">
      <alignment horizontal="center" vertical="center" wrapText="1"/>
    </xf>
    <xf numFmtId="0" fontId="47" fillId="35" borderId="50" xfId="0" applyFont="1" applyFill="1" applyBorder="1" applyAlignment="1">
      <alignment horizontal="center" vertical="center" wrapText="1"/>
    </xf>
    <xf numFmtId="0" fontId="38" fillId="35" borderId="45" xfId="0" applyFont="1" applyFill="1" applyBorder="1" applyAlignment="1">
      <alignment horizontal="center" vertical="center" wrapText="1"/>
    </xf>
    <xf numFmtId="0" fontId="42" fillId="27" borderId="70" xfId="0" applyFont="1" applyFill="1" applyBorder="1" applyAlignment="1">
      <alignment horizontal="center" vertical="center" wrapText="1"/>
    </xf>
    <xf numFmtId="0" fontId="42" fillId="27" borderId="51" xfId="0" applyFont="1" applyFill="1" applyBorder="1" applyAlignment="1">
      <alignment horizontal="center" vertical="center" wrapText="1"/>
    </xf>
    <xf numFmtId="0" fontId="42" fillId="27" borderId="48" xfId="0" applyFont="1" applyFill="1" applyBorder="1" applyAlignment="1">
      <alignment horizontal="center" vertical="center" wrapText="1"/>
    </xf>
    <xf numFmtId="0" fontId="42" fillId="27" borderId="46" xfId="0" applyFont="1" applyFill="1" applyBorder="1" applyAlignment="1">
      <alignment horizontal="center" wrapText="1"/>
    </xf>
    <xf numFmtId="0" fontId="42" fillId="27" borderId="50" xfId="0" applyFont="1" applyFill="1" applyBorder="1" applyAlignment="1">
      <alignment horizontal="center" wrapText="1"/>
    </xf>
    <xf numFmtId="0" fontId="39" fillId="0" borderId="46" xfId="0" applyFont="1" applyBorder="1" applyAlignment="1">
      <alignment horizontal="center" vertical="center" wrapText="1"/>
    </xf>
    <xf numFmtId="0" fontId="39" fillId="0" borderId="50" xfId="0" applyFont="1" applyBorder="1" applyAlignment="1">
      <alignment horizontal="center" vertical="center" wrapText="1"/>
    </xf>
    <xf numFmtId="0" fontId="39" fillId="0" borderId="45" xfId="0" applyFont="1" applyBorder="1" applyAlignment="1">
      <alignment horizontal="center" vertical="center" wrapText="1"/>
    </xf>
    <xf numFmtId="0" fontId="42" fillId="27" borderId="0" xfId="0" applyFont="1" applyFill="1" applyAlignment="1">
      <alignment horizontal="center" vertical="center" wrapText="1"/>
    </xf>
    <xf numFmtId="0" fontId="39" fillId="0" borderId="45" xfId="0" applyFont="1" applyBorder="1" applyAlignment="1">
      <alignment horizontal="left" vertical="center" wrapText="1"/>
    </xf>
    <xf numFmtId="0" fontId="39" fillId="0" borderId="45" xfId="0" applyFont="1" applyBorder="1" applyAlignment="1">
      <alignment horizontal="left" wrapText="1"/>
    </xf>
    <xf numFmtId="0" fontId="39" fillId="33" borderId="45" xfId="0" applyFont="1" applyFill="1" applyBorder="1" applyAlignment="1">
      <alignment horizontal="center" vertical="center" wrapText="1"/>
    </xf>
    <xf numFmtId="0" fontId="39" fillId="0" borderId="55" xfId="0" applyFont="1" applyBorder="1" applyAlignment="1">
      <alignment horizontal="center" vertical="center" wrapText="1"/>
    </xf>
    <xf numFmtId="0" fontId="39" fillId="0" borderId="43" xfId="0" applyFont="1" applyBorder="1" applyAlignment="1">
      <alignment horizontal="center" vertical="center" wrapText="1"/>
    </xf>
    <xf numFmtId="0" fontId="39" fillId="41" borderId="46" xfId="0" applyFont="1" applyFill="1" applyBorder="1" applyAlignment="1">
      <alignment horizontal="center" vertical="center" wrapText="1"/>
    </xf>
    <xf numFmtId="0" fontId="39" fillId="41" borderId="49" xfId="0" applyFont="1" applyFill="1" applyBorder="1" applyAlignment="1">
      <alignment horizontal="center" vertical="center" wrapText="1"/>
    </xf>
    <xf numFmtId="0" fontId="39" fillId="27" borderId="55" xfId="0" applyFont="1" applyFill="1" applyBorder="1" applyAlignment="1">
      <alignment horizontal="center" vertical="center" wrapText="1"/>
    </xf>
    <xf numFmtId="0" fontId="39" fillId="27" borderId="43" xfId="0" applyFont="1" applyFill="1" applyBorder="1" applyAlignment="1">
      <alignment horizontal="center" vertical="center" wrapText="1"/>
    </xf>
    <xf numFmtId="0" fontId="39" fillId="0" borderId="46" xfId="0" applyFont="1" applyBorder="1" applyAlignment="1">
      <alignment horizontal="center" wrapText="1"/>
    </xf>
    <xf numFmtId="0" fontId="39" fillId="0" borderId="50" xfId="0" applyFont="1" applyBorder="1" applyAlignment="1">
      <alignment horizontal="center" wrapText="1"/>
    </xf>
    <xf numFmtId="0" fontId="39" fillId="35" borderId="46" xfId="0" applyFont="1" applyFill="1" applyBorder="1" applyAlignment="1">
      <alignment horizontal="center" vertical="center" wrapText="1"/>
    </xf>
    <xf numFmtId="0" fontId="39" fillId="35" borderId="50" xfId="0" applyFont="1" applyFill="1" applyBorder="1" applyAlignment="1">
      <alignment horizontal="center" vertical="center" wrapText="1"/>
    </xf>
    <xf numFmtId="0" fontId="45" fillId="27" borderId="0" xfId="0" applyFont="1" applyFill="1" applyAlignment="1">
      <alignment horizontal="center" vertical="center" wrapText="1"/>
    </xf>
    <xf numFmtId="0" fontId="45" fillId="27" borderId="65" xfId="0" applyFont="1" applyFill="1" applyBorder="1" applyAlignment="1">
      <alignment horizontal="center" vertical="center" wrapText="1"/>
    </xf>
    <xf numFmtId="0" fontId="38" fillId="27" borderId="55" xfId="0" applyFont="1" applyFill="1" applyBorder="1" applyAlignment="1">
      <alignment horizontal="center" vertical="center" wrapText="1"/>
    </xf>
    <xf numFmtId="0" fontId="45" fillId="27" borderId="47" xfId="2" applyFont="1" applyFill="1" applyBorder="1" applyAlignment="1">
      <alignment horizontal="center" vertical="center" wrapText="1"/>
    </xf>
    <xf numFmtId="0" fontId="45" fillId="27" borderId="51" xfId="2" applyFont="1" applyFill="1" applyBorder="1" applyAlignment="1">
      <alignment horizontal="center" vertical="center" wrapText="1"/>
    </xf>
    <xf numFmtId="0" fontId="45" fillId="27" borderId="48" xfId="2" applyFont="1" applyFill="1" applyBorder="1" applyAlignment="1">
      <alignment horizontal="center" vertical="center" wrapText="1"/>
    </xf>
    <xf numFmtId="0" fontId="39" fillId="41" borderId="50" xfId="0" applyFont="1" applyFill="1" applyBorder="1" applyAlignment="1">
      <alignment horizontal="center" vertical="center" wrapText="1"/>
    </xf>
    <xf numFmtId="0" fontId="39" fillId="27" borderId="69" xfId="0" applyFont="1" applyFill="1" applyBorder="1" applyAlignment="1">
      <alignment horizontal="center" vertical="center" wrapText="1"/>
    </xf>
    <xf numFmtId="0" fontId="39" fillId="27" borderId="71" xfId="0" applyFont="1" applyFill="1" applyBorder="1" applyAlignment="1">
      <alignment horizontal="center" vertical="center" wrapText="1"/>
    </xf>
    <xf numFmtId="0" fontId="39" fillId="27" borderId="72" xfId="0" applyFont="1" applyFill="1" applyBorder="1" applyAlignment="1">
      <alignment horizontal="center" vertical="center" wrapText="1"/>
    </xf>
    <xf numFmtId="0" fontId="15" fillId="3" borderId="71" xfId="0" applyFont="1" applyFill="1" applyBorder="1" applyAlignment="1">
      <alignment horizontal="center"/>
    </xf>
    <xf numFmtId="0" fontId="15" fillId="3" borderId="72" xfId="0" applyFont="1" applyFill="1" applyBorder="1" applyAlignment="1">
      <alignment horizontal="center"/>
    </xf>
    <xf numFmtId="0" fontId="15" fillId="3" borderId="45" xfId="0" applyFont="1" applyFill="1" applyBorder="1" applyAlignment="1">
      <alignment horizontal="center"/>
    </xf>
    <xf numFmtId="0" fontId="23" fillId="14" borderId="29" xfId="0" applyFont="1" applyFill="1" applyBorder="1" applyAlignment="1">
      <alignment horizontal="center" wrapText="1"/>
    </xf>
    <xf numFmtId="0" fontId="23" fillId="14" borderId="30" xfId="0" applyFont="1" applyFill="1" applyBorder="1" applyAlignment="1">
      <alignment horizontal="center" wrapText="1"/>
    </xf>
    <xf numFmtId="0" fontId="23" fillId="14" borderId="31" xfId="0" applyFont="1" applyFill="1" applyBorder="1" applyAlignment="1">
      <alignment horizontal="center" wrapText="1"/>
    </xf>
    <xf numFmtId="0" fontId="15" fillId="17" borderId="22" xfId="0" applyFont="1" applyFill="1" applyBorder="1" applyAlignment="1">
      <alignment horizontal="center" vertical="center" wrapText="1"/>
    </xf>
    <xf numFmtId="170" fontId="15" fillId="17" borderId="22" xfId="0" applyNumberFormat="1" applyFont="1" applyFill="1" applyBorder="1" applyAlignment="1">
      <alignment horizontal="center" vertical="center"/>
    </xf>
    <xf numFmtId="0" fontId="31" fillId="3" borderId="41" xfId="1" applyFont="1" applyFill="1" applyBorder="1" applyAlignment="1">
      <alignment horizontal="center" vertical="center" wrapText="1"/>
    </xf>
    <xf numFmtId="0" fontId="31" fillId="3" borderId="43" xfId="1" applyFont="1" applyFill="1" applyBorder="1" applyAlignment="1">
      <alignment horizontal="center" vertical="center" wrapText="1"/>
    </xf>
    <xf numFmtId="0" fontId="31" fillId="3" borderId="81" xfId="1" applyFont="1" applyFill="1" applyBorder="1" applyAlignment="1">
      <alignment horizontal="center" vertical="center" wrapText="1"/>
    </xf>
    <xf numFmtId="0" fontId="47" fillId="27" borderId="55" xfId="2" applyFont="1" applyFill="1" applyBorder="1" applyAlignment="1">
      <alignment horizontal="left" vertical="center" wrapText="1"/>
    </xf>
    <xf numFmtId="0" fontId="47" fillId="27" borderId="43" xfId="2" applyFont="1" applyFill="1" applyBorder="1" applyAlignment="1">
      <alignment horizontal="left" vertical="center" wrapText="1"/>
    </xf>
  </cellXfs>
  <cellStyles count="11">
    <cellStyle name="Millares 2" xfId="4" xr:uid="{298E8D79-8701-4C76-9418-FCA24669435D}"/>
    <cellStyle name="Millares 3" xfId="7" xr:uid="{1065AFD1-A472-4505-BDD5-A69D9FDCA71F}"/>
    <cellStyle name="Normal" xfId="0" builtinId="0"/>
    <cellStyle name="Normal 2" xfId="1" xr:uid="{F198CC31-FD40-49B3-AE1C-DE162D287F3F}"/>
    <cellStyle name="Normal 3" xfId="5" xr:uid="{E58F3D6C-413B-4190-B3B6-D74ABB6BE8CA}"/>
    <cellStyle name="Normal 4" xfId="2" xr:uid="{F3AE1252-AC95-4C89-A5BB-39AB0EC43A09}"/>
    <cellStyle name="Normal 5" xfId="6" xr:uid="{253A1101-390B-4BC6-86E6-4F1D6B23A786}"/>
    <cellStyle name="Normal 6" xfId="9" xr:uid="{8759979C-EF5C-4EBE-B571-DDF5563945D5}"/>
    <cellStyle name="Porcentaje" xfId="10" builtinId="5"/>
    <cellStyle name="Porcentaje 2" xfId="3" xr:uid="{BEF18F44-DDB1-41EF-9C9D-DB569435134C}"/>
    <cellStyle name="Porcentaje 3" xfId="8" xr:uid="{136EB667-84B6-4517-81D6-746CA74459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3</xdr:col>
      <xdr:colOff>76200</xdr:colOff>
      <xdr:row>75</xdr:row>
      <xdr:rowOff>0</xdr:rowOff>
    </xdr:from>
    <xdr:ext cx="1685925" cy="38100"/>
    <xdr:grpSp>
      <xdr:nvGrpSpPr>
        <xdr:cNvPr id="4" name="Shape 2">
          <a:extLst>
            <a:ext uri="{FF2B5EF4-FFF2-40B4-BE49-F238E27FC236}">
              <a16:creationId xmlns:a16="http://schemas.microsoft.com/office/drawing/2014/main" id="{255C688C-F391-4F1B-A0BD-7D5C244273B9}"/>
            </a:ext>
          </a:extLst>
        </xdr:cNvPr>
        <xdr:cNvGrpSpPr/>
      </xdr:nvGrpSpPr>
      <xdr:grpSpPr>
        <a:xfrm>
          <a:off x="6096000" y="34880550"/>
          <a:ext cx="1685925" cy="38100"/>
          <a:chOff x="4503038" y="3780000"/>
          <a:chExt cx="1685925" cy="0"/>
        </a:xfrm>
      </xdr:grpSpPr>
      <xdr:cxnSp macro="">
        <xdr:nvCxnSpPr>
          <xdr:cNvPr id="5" name="Shape 4">
            <a:extLst>
              <a:ext uri="{FF2B5EF4-FFF2-40B4-BE49-F238E27FC236}">
                <a16:creationId xmlns:a16="http://schemas.microsoft.com/office/drawing/2014/main" id="{863B41DC-A878-48DA-B6FC-C4B27B91C9A2}"/>
              </a:ext>
            </a:extLst>
          </xdr:cNvPr>
          <xdr:cNvCxnSpPr/>
        </xdr:nvCxnSpPr>
        <xdr:spPr>
          <a:xfrm>
            <a:off x="4503038" y="3780000"/>
            <a:ext cx="1685925" cy="0"/>
          </a:xfrm>
          <a:prstGeom prst="straightConnector1">
            <a:avLst/>
          </a:prstGeom>
          <a:noFill/>
          <a:ln w="19050" cap="flat" cmpd="sng">
            <a:solidFill>
              <a:srgbClr val="000000"/>
            </a:solidFill>
            <a:prstDash val="solid"/>
            <a:miter lim="800000"/>
            <a:headEnd type="none" w="sm" len="sm"/>
            <a:tailEnd type="none" w="sm" len="sm"/>
          </a:ln>
        </xdr:spPr>
      </xdr:cxnSp>
    </xdr:grpSp>
    <xdr:clientData fLocksWithSheet="0"/>
  </xdr:oneCellAnchor>
  <xdr:oneCellAnchor>
    <xdr:from>
      <xdr:col>3</xdr:col>
      <xdr:colOff>209550</xdr:colOff>
      <xdr:row>76</xdr:row>
      <xdr:rowOff>0</xdr:rowOff>
    </xdr:from>
    <xdr:ext cx="1924050" cy="38100"/>
    <xdr:grpSp>
      <xdr:nvGrpSpPr>
        <xdr:cNvPr id="6" name="Shape 2">
          <a:extLst>
            <a:ext uri="{FF2B5EF4-FFF2-40B4-BE49-F238E27FC236}">
              <a16:creationId xmlns:a16="http://schemas.microsoft.com/office/drawing/2014/main" id="{7CE2C6E1-FB9A-45A5-B067-3C17CCE843A3}"/>
            </a:ext>
          </a:extLst>
        </xdr:cNvPr>
        <xdr:cNvGrpSpPr/>
      </xdr:nvGrpSpPr>
      <xdr:grpSpPr>
        <a:xfrm>
          <a:off x="6229350" y="35185350"/>
          <a:ext cx="1924050" cy="38100"/>
          <a:chOff x="4383975" y="3780000"/>
          <a:chExt cx="1924050" cy="0"/>
        </a:xfrm>
      </xdr:grpSpPr>
      <xdr:cxnSp macro="">
        <xdr:nvCxnSpPr>
          <xdr:cNvPr id="7" name="Shape 5">
            <a:extLst>
              <a:ext uri="{FF2B5EF4-FFF2-40B4-BE49-F238E27FC236}">
                <a16:creationId xmlns:a16="http://schemas.microsoft.com/office/drawing/2014/main" id="{893C96B9-3F7F-4BA1-BCF4-4055573C24AD}"/>
              </a:ext>
            </a:extLst>
          </xdr:cNvPr>
          <xdr:cNvCxnSpPr/>
        </xdr:nvCxnSpPr>
        <xdr:spPr>
          <a:xfrm>
            <a:off x="4383975" y="3780000"/>
            <a:ext cx="1924050" cy="0"/>
          </a:xfrm>
          <a:prstGeom prst="straightConnector1">
            <a:avLst/>
          </a:prstGeom>
          <a:noFill/>
          <a:ln w="19050" cap="flat" cmpd="sng">
            <a:solidFill>
              <a:srgbClr val="000000"/>
            </a:solidFill>
            <a:prstDash val="solid"/>
            <a:miter lim="800000"/>
            <a:headEnd type="none" w="sm" len="sm"/>
            <a:tailEnd type="none" w="sm" len="sm"/>
          </a:ln>
        </xdr:spPr>
      </xdr:cxnSp>
    </xdr:grpSp>
    <xdr:clientData fLocksWithSheet="0"/>
  </xdr:oneCellAnchor>
  <xdr:oneCellAnchor>
    <xdr:from>
      <xdr:col>3</xdr:col>
      <xdr:colOff>76200</xdr:colOff>
      <xdr:row>75</xdr:row>
      <xdr:rowOff>0</xdr:rowOff>
    </xdr:from>
    <xdr:ext cx="1685925" cy="38100"/>
    <xdr:grpSp>
      <xdr:nvGrpSpPr>
        <xdr:cNvPr id="14" name="Shape 2">
          <a:extLst>
            <a:ext uri="{FF2B5EF4-FFF2-40B4-BE49-F238E27FC236}">
              <a16:creationId xmlns:a16="http://schemas.microsoft.com/office/drawing/2014/main" id="{6C3ACFE5-F25E-4BDE-8262-09A0061B7F40}"/>
            </a:ext>
          </a:extLst>
        </xdr:cNvPr>
        <xdr:cNvGrpSpPr/>
      </xdr:nvGrpSpPr>
      <xdr:grpSpPr>
        <a:xfrm>
          <a:off x="6096000" y="34880550"/>
          <a:ext cx="1685925" cy="38100"/>
          <a:chOff x="4503038" y="3780000"/>
          <a:chExt cx="1685925" cy="0"/>
        </a:xfrm>
      </xdr:grpSpPr>
      <xdr:cxnSp macro="">
        <xdr:nvCxnSpPr>
          <xdr:cNvPr id="15" name="Shape 9">
            <a:extLst>
              <a:ext uri="{FF2B5EF4-FFF2-40B4-BE49-F238E27FC236}">
                <a16:creationId xmlns:a16="http://schemas.microsoft.com/office/drawing/2014/main" id="{D2DD32A3-9DC1-4C64-985B-E022BC5884C3}"/>
              </a:ext>
            </a:extLst>
          </xdr:cNvPr>
          <xdr:cNvCxnSpPr/>
        </xdr:nvCxnSpPr>
        <xdr:spPr>
          <a:xfrm>
            <a:off x="4503038" y="3780000"/>
            <a:ext cx="1685925" cy="0"/>
          </a:xfrm>
          <a:prstGeom prst="straightConnector1">
            <a:avLst/>
          </a:prstGeom>
          <a:noFill/>
          <a:ln w="19050" cap="flat" cmpd="sng">
            <a:solidFill>
              <a:schemeClr val="dk1"/>
            </a:solidFill>
            <a:prstDash val="solid"/>
            <a:miter lim="800000"/>
            <a:headEnd type="none" w="sm" len="sm"/>
            <a:tailEnd type="none" w="sm" len="sm"/>
          </a:ln>
        </xdr:spPr>
      </xdr:cxnSp>
    </xdr:grpSp>
    <xdr:clientData fLocksWithSheet="0"/>
  </xdr:oneCellAnchor>
  <xdr:oneCellAnchor>
    <xdr:from>
      <xdr:col>3</xdr:col>
      <xdr:colOff>209550</xdr:colOff>
      <xdr:row>76</xdr:row>
      <xdr:rowOff>0</xdr:rowOff>
    </xdr:from>
    <xdr:ext cx="1924050" cy="38100"/>
    <xdr:grpSp>
      <xdr:nvGrpSpPr>
        <xdr:cNvPr id="16" name="Shape 2">
          <a:extLst>
            <a:ext uri="{FF2B5EF4-FFF2-40B4-BE49-F238E27FC236}">
              <a16:creationId xmlns:a16="http://schemas.microsoft.com/office/drawing/2014/main" id="{4E3638DB-3FD6-4747-8C80-0197D00FC345}"/>
            </a:ext>
          </a:extLst>
        </xdr:cNvPr>
        <xdr:cNvGrpSpPr/>
      </xdr:nvGrpSpPr>
      <xdr:grpSpPr>
        <a:xfrm>
          <a:off x="6229350" y="35185350"/>
          <a:ext cx="1924050" cy="38100"/>
          <a:chOff x="4383975" y="3780000"/>
          <a:chExt cx="1924050" cy="0"/>
        </a:xfrm>
      </xdr:grpSpPr>
      <xdr:cxnSp macro="">
        <xdr:nvCxnSpPr>
          <xdr:cNvPr id="17" name="Shape 10">
            <a:extLst>
              <a:ext uri="{FF2B5EF4-FFF2-40B4-BE49-F238E27FC236}">
                <a16:creationId xmlns:a16="http://schemas.microsoft.com/office/drawing/2014/main" id="{DA3994BF-75EF-4F56-A495-44B0536FB1DF}"/>
              </a:ext>
            </a:extLst>
          </xdr:cNvPr>
          <xdr:cNvCxnSpPr/>
        </xdr:nvCxnSpPr>
        <xdr:spPr>
          <a:xfrm>
            <a:off x="4383975" y="3780000"/>
            <a:ext cx="1924050" cy="0"/>
          </a:xfrm>
          <a:prstGeom prst="straightConnector1">
            <a:avLst/>
          </a:prstGeom>
          <a:noFill/>
          <a:ln w="19050" cap="flat" cmpd="sng">
            <a:solidFill>
              <a:schemeClr val="dk1"/>
            </a:solidFill>
            <a:prstDash val="solid"/>
            <a:miter lim="800000"/>
            <a:headEnd type="none" w="sm" len="sm"/>
            <a:tailEnd type="none" w="sm" len="sm"/>
          </a:ln>
        </xdr:spPr>
      </xdr:cxnSp>
    </xdr:grp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789214</xdr:colOff>
      <xdr:row>65</xdr:row>
      <xdr:rowOff>68035</xdr:rowOff>
    </xdr:from>
    <xdr:to>
      <xdr:col>1</xdr:col>
      <xdr:colOff>802821</xdr:colOff>
      <xdr:row>67</xdr:row>
      <xdr:rowOff>231321</xdr:rowOff>
    </xdr:to>
    <xdr:cxnSp macro="">
      <xdr:nvCxnSpPr>
        <xdr:cNvPr id="2" name="Conector recto de flecha 1">
          <a:extLst>
            <a:ext uri="{FF2B5EF4-FFF2-40B4-BE49-F238E27FC236}">
              <a16:creationId xmlns:a16="http://schemas.microsoft.com/office/drawing/2014/main" id="{84DCEAFE-E76E-4FE2-8C88-468FAE73A625}"/>
            </a:ext>
          </a:extLst>
        </xdr:cNvPr>
        <xdr:cNvCxnSpPr/>
      </xdr:nvCxnSpPr>
      <xdr:spPr>
        <a:xfrm>
          <a:off x="1713139" y="42359035"/>
          <a:ext cx="13607" cy="1049111"/>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xdr:colOff>
      <xdr:row>95</xdr:row>
      <xdr:rowOff>11906</xdr:rowOff>
    </xdr:from>
    <xdr:to>
      <xdr:col>3</xdr:col>
      <xdr:colOff>1762125</xdr:colOff>
      <xdr:row>95</xdr:row>
      <xdr:rowOff>19050</xdr:rowOff>
    </xdr:to>
    <xdr:cxnSp macro="">
      <xdr:nvCxnSpPr>
        <xdr:cNvPr id="3" name="Conector recto 2">
          <a:extLst>
            <a:ext uri="{FF2B5EF4-FFF2-40B4-BE49-F238E27FC236}">
              <a16:creationId xmlns:a16="http://schemas.microsoft.com/office/drawing/2014/main" id="{B515AF69-BCF1-448C-8137-CD96DEE4F844}"/>
            </a:ext>
          </a:extLst>
        </xdr:cNvPr>
        <xdr:cNvCxnSpPr/>
      </xdr:nvCxnSpPr>
      <xdr:spPr>
        <a:xfrm flipV="1">
          <a:off x="4791075" y="55418831"/>
          <a:ext cx="1676400" cy="714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214312</xdr:colOff>
      <xdr:row>96</xdr:row>
      <xdr:rowOff>23812</xdr:rowOff>
    </xdr:from>
    <xdr:to>
      <xdr:col>4</xdr:col>
      <xdr:colOff>7143</xdr:colOff>
      <xdr:row>96</xdr:row>
      <xdr:rowOff>23813</xdr:rowOff>
    </xdr:to>
    <xdr:cxnSp macro="">
      <xdr:nvCxnSpPr>
        <xdr:cNvPr id="4" name="Conector recto 3">
          <a:extLst>
            <a:ext uri="{FF2B5EF4-FFF2-40B4-BE49-F238E27FC236}">
              <a16:creationId xmlns:a16="http://schemas.microsoft.com/office/drawing/2014/main" id="{78B24413-F96C-4CD6-BD61-79A0B90C5799}"/>
            </a:ext>
          </a:extLst>
        </xdr:cNvPr>
        <xdr:cNvCxnSpPr/>
      </xdr:nvCxnSpPr>
      <xdr:spPr>
        <a:xfrm flipV="1">
          <a:off x="4929187" y="55697437"/>
          <a:ext cx="1545431" cy="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789214</xdr:colOff>
      <xdr:row>65</xdr:row>
      <xdr:rowOff>68035</xdr:rowOff>
    </xdr:from>
    <xdr:to>
      <xdr:col>1</xdr:col>
      <xdr:colOff>802821</xdr:colOff>
      <xdr:row>67</xdr:row>
      <xdr:rowOff>231321</xdr:rowOff>
    </xdr:to>
    <xdr:cxnSp macro="">
      <xdr:nvCxnSpPr>
        <xdr:cNvPr id="2" name="Conector recto de flecha 1">
          <a:extLst>
            <a:ext uri="{FF2B5EF4-FFF2-40B4-BE49-F238E27FC236}">
              <a16:creationId xmlns:a16="http://schemas.microsoft.com/office/drawing/2014/main" id="{9A471B62-B842-4F6E-8D7E-C23A6E063372}"/>
            </a:ext>
          </a:extLst>
        </xdr:cNvPr>
        <xdr:cNvCxnSpPr/>
      </xdr:nvCxnSpPr>
      <xdr:spPr>
        <a:xfrm>
          <a:off x="2446564" y="33091210"/>
          <a:ext cx="13607" cy="1049111"/>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xdr:colOff>
      <xdr:row>95</xdr:row>
      <xdr:rowOff>11906</xdr:rowOff>
    </xdr:from>
    <xdr:to>
      <xdr:col>3</xdr:col>
      <xdr:colOff>1762125</xdr:colOff>
      <xdr:row>95</xdr:row>
      <xdr:rowOff>19050</xdr:rowOff>
    </xdr:to>
    <xdr:cxnSp macro="">
      <xdr:nvCxnSpPr>
        <xdr:cNvPr id="3" name="Conector recto 2">
          <a:extLst>
            <a:ext uri="{FF2B5EF4-FFF2-40B4-BE49-F238E27FC236}">
              <a16:creationId xmlns:a16="http://schemas.microsoft.com/office/drawing/2014/main" id="{C0E5F2BD-03FE-4B64-8ADB-5922C56B9695}"/>
            </a:ext>
          </a:extLst>
        </xdr:cNvPr>
        <xdr:cNvCxnSpPr/>
      </xdr:nvCxnSpPr>
      <xdr:spPr>
        <a:xfrm flipV="1">
          <a:off x="5753100" y="44979431"/>
          <a:ext cx="1685925" cy="714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214312</xdr:colOff>
      <xdr:row>96</xdr:row>
      <xdr:rowOff>23812</xdr:rowOff>
    </xdr:from>
    <xdr:to>
      <xdr:col>4</xdr:col>
      <xdr:colOff>7143</xdr:colOff>
      <xdr:row>96</xdr:row>
      <xdr:rowOff>23813</xdr:rowOff>
    </xdr:to>
    <xdr:cxnSp macro="">
      <xdr:nvCxnSpPr>
        <xdr:cNvPr id="4" name="Conector recto 3">
          <a:extLst>
            <a:ext uri="{FF2B5EF4-FFF2-40B4-BE49-F238E27FC236}">
              <a16:creationId xmlns:a16="http://schemas.microsoft.com/office/drawing/2014/main" id="{BC6A872A-55FE-4D3B-8B23-16C5DD1AEADF}"/>
            </a:ext>
          </a:extLst>
        </xdr:cNvPr>
        <xdr:cNvCxnSpPr/>
      </xdr:nvCxnSpPr>
      <xdr:spPr>
        <a:xfrm flipV="1">
          <a:off x="5891212" y="45258037"/>
          <a:ext cx="2155031" cy="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789214</xdr:colOff>
      <xdr:row>65</xdr:row>
      <xdr:rowOff>68035</xdr:rowOff>
    </xdr:from>
    <xdr:to>
      <xdr:col>1</xdr:col>
      <xdr:colOff>802821</xdr:colOff>
      <xdr:row>67</xdr:row>
      <xdr:rowOff>231321</xdr:rowOff>
    </xdr:to>
    <xdr:cxnSp macro="">
      <xdr:nvCxnSpPr>
        <xdr:cNvPr id="2" name="Conector recto de flecha 1">
          <a:extLst>
            <a:ext uri="{FF2B5EF4-FFF2-40B4-BE49-F238E27FC236}">
              <a16:creationId xmlns:a16="http://schemas.microsoft.com/office/drawing/2014/main" id="{47C602C4-4AB7-4FE1-8043-28302A46F6F1}"/>
            </a:ext>
          </a:extLst>
        </xdr:cNvPr>
        <xdr:cNvCxnSpPr/>
      </xdr:nvCxnSpPr>
      <xdr:spPr>
        <a:xfrm>
          <a:off x="2446564" y="33091210"/>
          <a:ext cx="13607" cy="1049111"/>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76200</xdr:colOff>
      <xdr:row>95</xdr:row>
      <xdr:rowOff>11906</xdr:rowOff>
    </xdr:from>
    <xdr:to>
      <xdr:col>3</xdr:col>
      <xdr:colOff>1762125</xdr:colOff>
      <xdr:row>95</xdr:row>
      <xdr:rowOff>19050</xdr:rowOff>
    </xdr:to>
    <xdr:cxnSp macro="">
      <xdr:nvCxnSpPr>
        <xdr:cNvPr id="3" name="Conector recto 2">
          <a:extLst>
            <a:ext uri="{FF2B5EF4-FFF2-40B4-BE49-F238E27FC236}">
              <a16:creationId xmlns:a16="http://schemas.microsoft.com/office/drawing/2014/main" id="{95EA1FC1-0D8C-40DB-B6A6-DD04E511AE46}"/>
            </a:ext>
          </a:extLst>
        </xdr:cNvPr>
        <xdr:cNvCxnSpPr/>
      </xdr:nvCxnSpPr>
      <xdr:spPr>
        <a:xfrm flipV="1">
          <a:off x="5753100" y="44979431"/>
          <a:ext cx="1685925" cy="714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214312</xdr:colOff>
      <xdr:row>96</xdr:row>
      <xdr:rowOff>23812</xdr:rowOff>
    </xdr:from>
    <xdr:to>
      <xdr:col>4</xdr:col>
      <xdr:colOff>7143</xdr:colOff>
      <xdr:row>96</xdr:row>
      <xdr:rowOff>23813</xdr:rowOff>
    </xdr:to>
    <xdr:cxnSp macro="">
      <xdr:nvCxnSpPr>
        <xdr:cNvPr id="4" name="Conector recto 3">
          <a:extLst>
            <a:ext uri="{FF2B5EF4-FFF2-40B4-BE49-F238E27FC236}">
              <a16:creationId xmlns:a16="http://schemas.microsoft.com/office/drawing/2014/main" id="{D025EDB3-D852-4EEB-A8A2-43C7ED6313EA}"/>
            </a:ext>
          </a:extLst>
        </xdr:cNvPr>
        <xdr:cNvCxnSpPr/>
      </xdr:nvCxnSpPr>
      <xdr:spPr>
        <a:xfrm flipV="1">
          <a:off x="5891212" y="45258037"/>
          <a:ext cx="2155031" cy="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eb.ins.gob.pe/es/control-de-calidad-de-medicamentos/acerca-del-cncc/autorizacion-de-laboratorios/relacion-de-laboratorios-autorizado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opLeftCell="A85" workbookViewId="0">
      <selection activeCell="D46" sqref="D46"/>
    </sheetView>
  </sheetViews>
  <sheetFormatPr baseColWidth="10" defaultColWidth="14.42578125" defaultRowHeight="15" customHeight="1"/>
  <cols>
    <col min="1" max="26" width="10.7109375" customWidth="1"/>
  </cols>
  <sheetData>
    <row r="1" spans="1:5">
      <c r="A1" s="1" t="s">
        <v>0</v>
      </c>
    </row>
    <row r="3" spans="1:5">
      <c r="A3" s="2" t="s">
        <v>1</v>
      </c>
      <c r="B3" s="3"/>
      <c r="C3" s="3"/>
      <c r="D3" s="3"/>
      <c r="E3" s="3"/>
    </row>
    <row r="4" spans="1:5">
      <c r="A4" s="4"/>
      <c r="B4" s="4"/>
      <c r="C4" s="3"/>
      <c r="D4" s="4"/>
      <c r="E4" s="4"/>
    </row>
    <row r="5" spans="1:5">
      <c r="A5" s="1004" t="s">
        <v>2</v>
      </c>
      <c r="B5" s="1001"/>
      <c r="C5" s="5"/>
      <c r="D5" s="1004" t="s">
        <v>3</v>
      </c>
      <c r="E5" s="1001"/>
    </row>
    <row r="6" spans="1:5" ht="26.25">
      <c r="A6" s="6" t="s">
        <v>4</v>
      </c>
      <c r="B6" s="7" t="s">
        <v>5</v>
      </c>
      <c r="C6" s="5"/>
      <c r="D6" s="8" t="s">
        <v>6</v>
      </c>
      <c r="E6" s="7" t="s">
        <v>7</v>
      </c>
    </row>
    <row r="7" spans="1:5">
      <c r="A7" s="6" t="s">
        <v>8</v>
      </c>
      <c r="B7" s="7" t="s">
        <v>9</v>
      </c>
      <c r="C7" s="5"/>
      <c r="D7" s="8" t="s">
        <v>10</v>
      </c>
      <c r="E7" s="7" t="s">
        <v>11</v>
      </c>
    </row>
    <row r="8" spans="1:5" ht="39">
      <c r="A8" s="6" t="s">
        <v>12</v>
      </c>
      <c r="B8" s="7" t="s">
        <v>13</v>
      </c>
      <c r="C8" s="5"/>
      <c r="D8" s="8" t="s">
        <v>14</v>
      </c>
      <c r="E8" s="7" t="s">
        <v>15</v>
      </c>
    </row>
    <row r="9" spans="1:5">
      <c r="A9" s="3"/>
      <c r="B9" s="3"/>
      <c r="C9" s="5"/>
      <c r="D9" s="8" t="s">
        <v>16</v>
      </c>
      <c r="E9" s="7" t="s">
        <v>17</v>
      </c>
    </row>
    <row r="10" spans="1:5">
      <c r="A10" s="4"/>
      <c r="B10" s="4"/>
      <c r="C10" s="3"/>
      <c r="D10" s="4"/>
      <c r="E10" s="4"/>
    </row>
    <row r="11" spans="1:5">
      <c r="A11" s="1004" t="s">
        <v>18</v>
      </c>
      <c r="B11" s="1001"/>
      <c r="C11" s="5"/>
      <c r="D11" s="1004" t="s">
        <v>19</v>
      </c>
      <c r="E11" s="1001"/>
    </row>
    <row r="12" spans="1:5">
      <c r="A12" s="6" t="s">
        <v>20</v>
      </c>
      <c r="B12" s="7" t="s">
        <v>21</v>
      </c>
      <c r="C12" s="5"/>
      <c r="D12" s="8" t="s">
        <v>22</v>
      </c>
      <c r="E12" s="7" t="s">
        <v>23</v>
      </c>
    </row>
    <row r="13" spans="1:5">
      <c r="A13" s="6" t="s">
        <v>24</v>
      </c>
      <c r="B13" s="7" t="s">
        <v>25</v>
      </c>
      <c r="C13" s="5"/>
      <c r="D13" s="8" t="s">
        <v>26</v>
      </c>
      <c r="E13" s="7" t="s">
        <v>27</v>
      </c>
    </row>
    <row r="14" spans="1:5">
      <c r="A14" s="6" t="s">
        <v>28</v>
      </c>
      <c r="B14" s="7" t="s">
        <v>29</v>
      </c>
      <c r="C14" s="5"/>
      <c r="D14" s="8" t="s">
        <v>30</v>
      </c>
      <c r="E14" s="7" t="s">
        <v>31</v>
      </c>
    </row>
    <row r="15" spans="1:5">
      <c r="A15" s="6" t="s">
        <v>32</v>
      </c>
      <c r="B15" s="7" t="s">
        <v>31</v>
      </c>
      <c r="C15" s="3"/>
      <c r="D15" s="3"/>
      <c r="E15" s="3"/>
    </row>
    <row r="16" spans="1:5">
      <c r="A16" s="6" t="s">
        <v>33</v>
      </c>
      <c r="B16" s="7" t="s">
        <v>29</v>
      </c>
      <c r="C16" s="3"/>
      <c r="D16" s="3"/>
      <c r="E16" s="3"/>
    </row>
    <row r="17" spans="1:11">
      <c r="A17" s="6" t="s">
        <v>34</v>
      </c>
      <c r="B17" s="7" t="s">
        <v>29</v>
      </c>
      <c r="C17" s="3"/>
      <c r="D17" s="3"/>
      <c r="E17" s="3"/>
    </row>
    <row r="18" spans="1:11">
      <c r="A18" s="6" t="s">
        <v>35</v>
      </c>
      <c r="B18" s="7" t="s">
        <v>29</v>
      </c>
      <c r="C18" s="3"/>
      <c r="D18" s="3"/>
      <c r="E18" s="3"/>
    </row>
    <row r="20" spans="1:11" ht="26.25" customHeight="1">
      <c r="A20" s="1005" t="s">
        <v>36</v>
      </c>
      <c r="B20" s="1003"/>
    </row>
    <row r="21" spans="1:11" ht="15.75" customHeight="1">
      <c r="A21" s="3" t="s">
        <v>37</v>
      </c>
      <c r="B21" s="3"/>
      <c r="C21" s="9">
        <v>147</v>
      </c>
      <c r="D21" s="3"/>
      <c r="E21" s="3"/>
      <c r="F21" s="3"/>
      <c r="G21" s="3"/>
      <c r="H21" s="3"/>
      <c r="I21" s="3"/>
      <c r="J21" s="3"/>
      <c r="K21" s="3"/>
    </row>
    <row r="22" spans="1:11" ht="15.75" customHeight="1">
      <c r="A22" s="4"/>
      <c r="B22" s="4"/>
      <c r="C22" s="3"/>
      <c r="D22" s="4"/>
      <c r="E22" s="4"/>
      <c r="F22" s="3"/>
      <c r="G22" s="4"/>
      <c r="H22" s="4"/>
      <c r="I22" s="3"/>
      <c r="J22" s="3"/>
      <c r="K22" s="3"/>
    </row>
    <row r="23" spans="1:11" ht="15.75" customHeight="1">
      <c r="A23" s="1000" t="s">
        <v>3</v>
      </c>
      <c r="B23" s="1001"/>
      <c r="C23" s="5"/>
      <c r="D23" s="1000" t="s">
        <v>19</v>
      </c>
      <c r="E23" s="1001"/>
      <c r="F23" s="5"/>
      <c r="G23" s="1000" t="s">
        <v>18</v>
      </c>
      <c r="H23" s="1001"/>
      <c r="I23" s="3"/>
      <c r="J23" s="3"/>
      <c r="K23" s="3"/>
    </row>
    <row r="24" spans="1:11" ht="15.75" customHeight="1">
      <c r="A24" s="6" t="s">
        <v>6</v>
      </c>
      <c r="B24" s="10">
        <v>0.03</v>
      </c>
      <c r="C24" s="5"/>
      <c r="D24" s="8" t="s">
        <v>22</v>
      </c>
      <c r="E24" s="10">
        <v>0.45</v>
      </c>
      <c r="F24" s="5"/>
      <c r="G24" s="8" t="s">
        <v>20</v>
      </c>
      <c r="H24" s="10">
        <v>0.93</v>
      </c>
      <c r="I24" s="3"/>
      <c r="J24" s="3"/>
      <c r="K24" s="3"/>
    </row>
    <row r="25" spans="1:11" ht="15.75" customHeight="1">
      <c r="A25" s="6" t="s">
        <v>10</v>
      </c>
      <c r="B25" s="10">
        <v>0.18</v>
      </c>
      <c r="C25" s="5"/>
      <c r="D25" s="8" t="s">
        <v>26</v>
      </c>
      <c r="E25" s="11">
        <v>0.55000000000000004</v>
      </c>
      <c r="F25" s="5"/>
      <c r="G25" s="8" t="s">
        <v>24</v>
      </c>
      <c r="H25" s="10">
        <v>0.06</v>
      </c>
      <c r="I25" s="3"/>
      <c r="J25" s="3"/>
      <c r="K25" s="3"/>
    </row>
    <row r="26" spans="1:11" ht="15.75" customHeight="1">
      <c r="A26" s="6" t="s">
        <v>14</v>
      </c>
      <c r="B26" s="11">
        <v>0.49</v>
      </c>
      <c r="C26" s="5"/>
      <c r="D26" s="8" t="s">
        <v>30</v>
      </c>
      <c r="E26" s="10">
        <v>0</v>
      </c>
      <c r="F26" s="5"/>
      <c r="G26" s="8" t="s">
        <v>34</v>
      </c>
      <c r="H26" s="10">
        <v>0.01</v>
      </c>
      <c r="I26" s="3"/>
      <c r="J26" s="3"/>
      <c r="K26" s="3"/>
    </row>
    <row r="27" spans="1:11" ht="15.75" customHeight="1">
      <c r="A27" s="6" t="s">
        <v>16</v>
      </c>
      <c r="B27" s="10">
        <v>0.3</v>
      </c>
      <c r="C27" s="3"/>
      <c r="D27" s="3"/>
      <c r="E27" s="3"/>
      <c r="F27" s="5"/>
      <c r="G27" s="8" t="s">
        <v>32</v>
      </c>
      <c r="H27" s="10">
        <v>0.01</v>
      </c>
      <c r="I27" s="3"/>
      <c r="J27" s="3"/>
      <c r="K27" s="3"/>
    </row>
    <row r="28" spans="1:11" ht="15.75" customHeight="1">
      <c r="A28" s="3"/>
      <c r="B28" s="3"/>
      <c r="C28" s="3"/>
      <c r="D28" s="3"/>
      <c r="E28" s="3"/>
      <c r="F28" s="3"/>
      <c r="G28" s="3"/>
      <c r="H28" s="3"/>
      <c r="I28" s="3"/>
      <c r="J28" s="3"/>
      <c r="K28" s="3"/>
    </row>
    <row r="29" spans="1:11" ht="15.75" customHeight="1">
      <c r="A29" s="993" t="s">
        <v>38</v>
      </c>
      <c r="B29" s="994"/>
      <c r="C29" s="3"/>
      <c r="D29" s="993" t="s">
        <v>39</v>
      </c>
      <c r="E29" s="994"/>
      <c r="F29" s="3"/>
      <c r="G29" s="3"/>
      <c r="H29" s="3"/>
      <c r="I29" s="3"/>
      <c r="J29" s="3"/>
      <c r="K29" s="3"/>
    </row>
    <row r="30" spans="1:11" ht="15.75" customHeight="1">
      <c r="A30" s="6" t="s">
        <v>40</v>
      </c>
      <c r="B30" s="11">
        <v>0.48</v>
      </c>
      <c r="C30" s="5"/>
      <c r="D30" s="8" t="s">
        <v>41</v>
      </c>
      <c r="E30" s="10">
        <v>0.14000000000000001</v>
      </c>
      <c r="F30" s="3"/>
      <c r="G30" s="3"/>
      <c r="H30" s="3"/>
      <c r="I30" s="3"/>
      <c r="J30" s="3"/>
      <c r="K30" s="3"/>
    </row>
    <row r="31" spans="1:11" ht="15.75" customHeight="1">
      <c r="A31" s="6" t="s">
        <v>42</v>
      </c>
      <c r="B31" s="10">
        <v>0.36</v>
      </c>
      <c r="C31" s="5"/>
      <c r="D31" s="8" t="s">
        <v>43</v>
      </c>
      <c r="E31" s="11">
        <v>0.32</v>
      </c>
      <c r="F31" s="3"/>
      <c r="G31" s="3"/>
      <c r="H31" s="3"/>
      <c r="I31" s="3"/>
      <c r="J31" s="3"/>
      <c r="K31" s="3"/>
    </row>
    <row r="32" spans="1:11" ht="15.75" customHeight="1">
      <c r="A32" s="6" t="s">
        <v>44</v>
      </c>
      <c r="B32" s="10">
        <v>0.16</v>
      </c>
      <c r="C32" s="5"/>
      <c r="D32" s="8" t="s">
        <v>45</v>
      </c>
      <c r="E32" s="11">
        <v>0.39</v>
      </c>
      <c r="F32" s="3"/>
      <c r="G32" s="3"/>
      <c r="H32" s="3"/>
      <c r="I32" s="3"/>
      <c r="J32" s="3"/>
      <c r="K32" s="3"/>
    </row>
    <row r="33" spans="1:11" ht="15.75" customHeight="1">
      <c r="A33" s="3"/>
      <c r="B33" s="3"/>
      <c r="C33" s="5"/>
      <c r="D33" s="8" t="s">
        <v>46</v>
      </c>
      <c r="E33" s="10">
        <v>0.15</v>
      </c>
      <c r="F33" s="3"/>
      <c r="G33" s="3"/>
      <c r="H33" s="3"/>
      <c r="I33" s="3"/>
      <c r="J33" s="3"/>
      <c r="K33" s="3"/>
    </row>
    <row r="34" spans="1:11" ht="15.75" customHeight="1">
      <c r="A34" s="3"/>
      <c r="B34" s="3"/>
      <c r="C34" s="3"/>
      <c r="D34" s="3"/>
      <c r="E34" s="3"/>
      <c r="F34" s="3"/>
      <c r="G34" s="3"/>
      <c r="H34" s="3"/>
      <c r="I34" s="3"/>
      <c r="J34" s="3"/>
      <c r="K34" s="3"/>
    </row>
    <row r="35" spans="1:11" ht="15.75" customHeight="1">
      <c r="A35" s="993" t="s">
        <v>47</v>
      </c>
      <c r="B35" s="994"/>
      <c r="C35" s="3"/>
      <c r="D35" s="993" t="s">
        <v>48</v>
      </c>
      <c r="E35" s="994"/>
      <c r="F35" s="3"/>
      <c r="G35" s="3"/>
      <c r="H35" s="3" t="s">
        <v>49</v>
      </c>
      <c r="I35" s="3" t="s">
        <v>50</v>
      </c>
      <c r="J35" s="3"/>
      <c r="K35" s="3"/>
    </row>
    <row r="36" spans="1:11" ht="15.75" customHeight="1">
      <c r="A36" s="6" t="s">
        <v>51</v>
      </c>
      <c r="B36" s="11">
        <v>0.9</v>
      </c>
      <c r="C36" s="5"/>
      <c r="D36" s="8" t="s">
        <v>51</v>
      </c>
      <c r="E36" s="11">
        <v>0.59</v>
      </c>
      <c r="F36" s="3"/>
      <c r="G36" s="3"/>
      <c r="H36" s="9" t="s">
        <v>52</v>
      </c>
      <c r="I36" s="3" t="s">
        <v>53</v>
      </c>
      <c r="J36" s="3"/>
      <c r="K36" s="3"/>
    </row>
    <row r="37" spans="1:11" ht="15.75" customHeight="1">
      <c r="A37" s="6" t="s">
        <v>54</v>
      </c>
      <c r="B37" s="10">
        <v>0.1</v>
      </c>
      <c r="C37" s="5"/>
      <c r="D37" s="8" t="s">
        <v>54</v>
      </c>
      <c r="E37" s="10">
        <v>0.41</v>
      </c>
      <c r="F37" s="3"/>
      <c r="G37" s="3"/>
      <c r="H37" s="3"/>
      <c r="I37" s="3" t="s">
        <v>55</v>
      </c>
      <c r="J37" s="3"/>
      <c r="K37" s="3"/>
    </row>
    <row r="38" spans="1:11" ht="15.75" customHeight="1">
      <c r="A38" s="3"/>
      <c r="B38" s="3"/>
      <c r="C38" s="3"/>
      <c r="D38" s="3"/>
      <c r="E38" s="3"/>
      <c r="F38" s="3"/>
      <c r="G38" s="3"/>
      <c r="H38" s="3" t="s">
        <v>56</v>
      </c>
      <c r="I38" s="3" t="s">
        <v>57</v>
      </c>
      <c r="J38" s="3"/>
      <c r="K38" s="3"/>
    </row>
    <row r="39" spans="1:11" ht="20.25" customHeight="1">
      <c r="A39" s="995" t="s">
        <v>58</v>
      </c>
      <c r="B39" s="996"/>
      <c r="C39" s="3"/>
      <c r="D39" s="995" t="s">
        <v>59</v>
      </c>
      <c r="E39" s="996"/>
      <c r="F39" s="3"/>
      <c r="G39" s="3"/>
      <c r="H39" s="3"/>
      <c r="I39" s="2" t="s">
        <v>60</v>
      </c>
      <c r="J39" s="3"/>
      <c r="K39" s="3"/>
    </row>
    <row r="40" spans="1:11" ht="15.75" customHeight="1">
      <c r="A40" s="997"/>
      <c r="B40" s="998"/>
      <c r="C40" s="3"/>
      <c r="D40" s="997"/>
      <c r="E40" s="998"/>
      <c r="F40" s="3"/>
      <c r="G40" s="3"/>
      <c r="H40" s="3"/>
      <c r="I40" s="3"/>
      <c r="J40" s="3"/>
      <c r="K40" s="3"/>
    </row>
    <row r="41" spans="1:11" ht="15.75" customHeight="1">
      <c r="A41" s="6" t="s">
        <v>61</v>
      </c>
      <c r="B41" s="11">
        <v>0.69</v>
      </c>
      <c r="C41" s="5"/>
      <c r="D41" s="8" t="s">
        <v>62</v>
      </c>
      <c r="E41" s="10">
        <v>0.05</v>
      </c>
      <c r="F41" s="3"/>
      <c r="G41" s="3"/>
      <c r="H41" s="3"/>
      <c r="I41" s="3"/>
      <c r="J41" s="3"/>
      <c r="K41" s="3"/>
    </row>
    <row r="42" spans="1:11" ht="15.75" customHeight="1">
      <c r="A42" s="6" t="s">
        <v>63</v>
      </c>
      <c r="B42" s="10">
        <v>0.3</v>
      </c>
      <c r="C42" s="5"/>
      <c r="D42" s="8" t="s">
        <v>64</v>
      </c>
      <c r="E42" s="10">
        <v>0.05</v>
      </c>
      <c r="F42" s="3"/>
      <c r="G42" s="3"/>
      <c r="H42" s="3"/>
      <c r="I42" s="3"/>
      <c r="J42" s="3"/>
      <c r="K42" s="3"/>
    </row>
    <row r="43" spans="1:11" ht="15.75" customHeight="1">
      <c r="A43" s="6" t="s">
        <v>65</v>
      </c>
      <c r="B43" s="10">
        <v>0</v>
      </c>
      <c r="C43" s="5"/>
      <c r="D43" s="8" t="s">
        <v>66</v>
      </c>
      <c r="E43" s="11">
        <v>0.47</v>
      </c>
      <c r="F43" s="3"/>
      <c r="G43" s="3"/>
      <c r="H43" s="3"/>
      <c r="I43" s="3"/>
      <c r="J43" s="3"/>
      <c r="K43" s="3"/>
    </row>
    <row r="44" spans="1:11" ht="15.75" customHeight="1">
      <c r="A44" s="6" t="s">
        <v>67</v>
      </c>
      <c r="B44" s="10">
        <v>0.01</v>
      </c>
      <c r="C44" s="5"/>
      <c r="D44" s="8" t="s">
        <v>68</v>
      </c>
      <c r="E44" s="10">
        <v>0.02</v>
      </c>
      <c r="F44" s="3"/>
      <c r="G44" s="3"/>
      <c r="H44" s="3"/>
      <c r="I44" s="3"/>
      <c r="J44" s="3"/>
      <c r="K44" s="3"/>
    </row>
    <row r="45" spans="1:11" ht="15.75" customHeight="1">
      <c r="A45" s="3"/>
      <c r="B45" s="3"/>
      <c r="C45" s="5"/>
      <c r="D45" s="8" t="s">
        <v>69</v>
      </c>
      <c r="E45" s="10">
        <v>7.0000000000000007E-2</v>
      </c>
      <c r="F45" s="3"/>
      <c r="G45" s="3"/>
      <c r="H45" s="3"/>
      <c r="I45" s="3"/>
      <c r="J45" s="3"/>
      <c r="K45" s="3"/>
    </row>
    <row r="46" spans="1:11" ht="15.75" customHeight="1">
      <c r="A46" s="3"/>
      <c r="B46" s="3"/>
      <c r="C46" s="5"/>
      <c r="D46" s="8" t="s">
        <v>70</v>
      </c>
      <c r="E46" s="10">
        <v>0.35</v>
      </c>
      <c r="F46" s="3"/>
      <c r="G46" s="3"/>
      <c r="H46" s="3"/>
      <c r="I46" s="3"/>
      <c r="J46" s="3"/>
      <c r="K46" s="3"/>
    </row>
    <row r="47" spans="1:11" ht="20.25" customHeight="1">
      <c r="A47" s="995" t="s">
        <v>71</v>
      </c>
      <c r="B47" s="996"/>
      <c r="C47" s="3"/>
      <c r="D47" s="3"/>
      <c r="E47" s="3"/>
      <c r="F47" s="3"/>
      <c r="G47" s="995" t="s">
        <v>72</v>
      </c>
      <c r="H47" s="996"/>
      <c r="I47" s="3"/>
      <c r="J47" s="999" t="s">
        <v>73</v>
      </c>
      <c r="K47" s="994"/>
    </row>
    <row r="48" spans="1:11" ht="15.75" customHeight="1">
      <c r="A48" s="997"/>
      <c r="B48" s="998"/>
      <c r="C48" s="3"/>
      <c r="D48" s="3"/>
      <c r="E48" s="3"/>
      <c r="F48" s="3"/>
      <c r="G48" s="997"/>
      <c r="H48" s="998"/>
      <c r="I48" s="5"/>
      <c r="J48" s="8" t="s">
        <v>74</v>
      </c>
      <c r="K48" s="10">
        <v>7.0000000000000007E-2</v>
      </c>
    </row>
    <row r="49" spans="1:11" ht="15.75" customHeight="1">
      <c r="A49" s="6" t="s">
        <v>75</v>
      </c>
      <c r="B49" s="10">
        <v>0.26</v>
      </c>
      <c r="C49" s="3"/>
      <c r="D49" s="12" t="s">
        <v>76</v>
      </c>
      <c r="E49" s="12"/>
      <c r="F49" s="5"/>
      <c r="G49" s="8" t="s">
        <v>54</v>
      </c>
      <c r="H49" s="10">
        <v>0.12</v>
      </c>
      <c r="I49" s="5"/>
      <c r="J49" s="8" t="s">
        <v>77</v>
      </c>
      <c r="K49" s="10">
        <v>0.16</v>
      </c>
    </row>
    <row r="50" spans="1:11" ht="15.75" customHeight="1">
      <c r="A50" s="6" t="s">
        <v>78</v>
      </c>
      <c r="B50" s="10">
        <v>0.33</v>
      </c>
      <c r="C50" s="5"/>
      <c r="D50" s="8" t="s">
        <v>79</v>
      </c>
      <c r="E50" s="10">
        <v>0.27</v>
      </c>
      <c r="F50" s="5"/>
      <c r="G50" s="8" t="s">
        <v>51</v>
      </c>
      <c r="H50" s="11">
        <v>0.88</v>
      </c>
      <c r="I50" s="5"/>
      <c r="J50" s="8" t="s">
        <v>80</v>
      </c>
      <c r="K50" s="11">
        <v>0.56000000000000005</v>
      </c>
    </row>
    <row r="51" spans="1:11" ht="15.75" customHeight="1">
      <c r="A51" s="6" t="s">
        <v>81</v>
      </c>
      <c r="B51" s="11">
        <v>0.4</v>
      </c>
      <c r="C51" s="5"/>
      <c r="D51" s="8" t="s">
        <v>82</v>
      </c>
      <c r="E51" s="11">
        <v>0.38</v>
      </c>
      <c r="F51" s="3"/>
      <c r="G51" s="3"/>
      <c r="H51" s="3"/>
      <c r="I51" s="5"/>
      <c r="J51" s="8" t="s">
        <v>83</v>
      </c>
      <c r="K51" s="10">
        <v>0.21</v>
      </c>
    </row>
    <row r="52" spans="1:11" ht="15.75" customHeight="1">
      <c r="A52" s="6" t="s">
        <v>84</v>
      </c>
      <c r="B52" s="10">
        <v>0.01</v>
      </c>
      <c r="C52" s="5"/>
      <c r="D52" s="8" t="s">
        <v>85</v>
      </c>
      <c r="E52" s="10">
        <v>0.35</v>
      </c>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row r="57" spans="1:11" ht="15.75" customHeight="1">
      <c r="A57" s="1002" t="s">
        <v>86</v>
      </c>
      <c r="B57" s="1003"/>
    </row>
    <row r="58" spans="1:11" ht="15.75" customHeight="1"/>
    <row r="59" spans="1:11" ht="15.75" customHeight="1">
      <c r="A59" s="3" t="s">
        <v>37</v>
      </c>
      <c r="B59" s="3"/>
      <c r="C59" s="9">
        <v>147</v>
      </c>
      <c r="D59" s="3"/>
      <c r="E59" s="3"/>
      <c r="F59" s="3"/>
      <c r="G59" s="3"/>
      <c r="H59" s="3"/>
      <c r="I59" s="3"/>
      <c r="J59" s="3"/>
      <c r="K59" s="3"/>
    </row>
    <row r="60" spans="1:11" ht="15.75" customHeight="1">
      <c r="A60" s="4"/>
      <c r="B60" s="4"/>
      <c r="C60" s="3"/>
      <c r="D60" s="4"/>
      <c r="E60" s="4"/>
      <c r="F60" s="3"/>
      <c r="G60" s="4"/>
      <c r="H60" s="4"/>
      <c r="I60" s="3"/>
      <c r="J60" s="3"/>
      <c r="K60" s="3"/>
    </row>
    <row r="61" spans="1:11" ht="15.75" customHeight="1">
      <c r="A61" s="1000" t="s">
        <v>3</v>
      </c>
      <c r="B61" s="1001"/>
      <c r="C61" s="5"/>
      <c r="D61" s="1000" t="s">
        <v>19</v>
      </c>
      <c r="E61" s="1001"/>
      <c r="F61" s="5"/>
      <c r="G61" s="1000" t="s">
        <v>18</v>
      </c>
      <c r="H61" s="1001"/>
      <c r="I61" s="3"/>
      <c r="J61" s="3"/>
      <c r="K61" s="3"/>
    </row>
    <row r="62" spans="1:11" ht="15.75" customHeight="1">
      <c r="A62" s="6" t="s">
        <v>6</v>
      </c>
      <c r="B62" s="10">
        <v>0.03</v>
      </c>
      <c r="C62" s="5"/>
      <c r="D62" s="8" t="s">
        <v>22</v>
      </c>
      <c r="E62" s="10">
        <v>0.45</v>
      </c>
      <c r="F62" s="5"/>
      <c r="G62" s="8" t="s">
        <v>20</v>
      </c>
      <c r="H62" s="10">
        <v>0.93</v>
      </c>
      <c r="I62" s="3"/>
      <c r="J62" s="3"/>
      <c r="K62" s="3"/>
    </row>
    <row r="63" spans="1:11" ht="15.75" customHeight="1">
      <c r="A63" s="6" t="s">
        <v>10</v>
      </c>
      <c r="B63" s="10">
        <v>0.18</v>
      </c>
      <c r="C63" s="5"/>
      <c r="D63" s="8" t="s">
        <v>26</v>
      </c>
      <c r="E63" s="11">
        <v>0.55000000000000004</v>
      </c>
      <c r="F63" s="5"/>
      <c r="G63" s="8" t="s">
        <v>24</v>
      </c>
      <c r="H63" s="10">
        <v>0.06</v>
      </c>
      <c r="I63" s="3"/>
      <c r="J63" s="3"/>
      <c r="K63" s="3"/>
    </row>
    <row r="64" spans="1:11" ht="15.75" customHeight="1">
      <c r="A64" s="6" t="s">
        <v>14</v>
      </c>
      <c r="B64" s="11">
        <v>0.49</v>
      </c>
      <c r="C64" s="5"/>
      <c r="D64" s="8" t="s">
        <v>30</v>
      </c>
      <c r="E64" s="10">
        <v>0</v>
      </c>
      <c r="F64" s="5"/>
      <c r="G64" s="8" t="s">
        <v>34</v>
      </c>
      <c r="H64" s="10">
        <v>0.01</v>
      </c>
      <c r="I64" s="3"/>
      <c r="J64" s="3"/>
      <c r="K64" s="3"/>
    </row>
    <row r="65" spans="1:11" ht="15.75" customHeight="1">
      <c r="A65" s="6" t="s">
        <v>16</v>
      </c>
      <c r="B65" s="10">
        <v>0.3</v>
      </c>
      <c r="C65" s="3"/>
      <c r="D65" s="3"/>
      <c r="E65" s="3"/>
      <c r="F65" s="5"/>
      <c r="G65" s="8" t="s">
        <v>32</v>
      </c>
      <c r="H65" s="10">
        <v>0.01</v>
      </c>
      <c r="I65" s="3"/>
      <c r="J65" s="3"/>
      <c r="K65" s="3"/>
    </row>
    <row r="66" spans="1:11" ht="15.75" customHeight="1">
      <c r="A66" s="3"/>
      <c r="B66" s="3"/>
      <c r="C66" s="3"/>
      <c r="D66" s="3"/>
      <c r="E66" s="3"/>
      <c r="F66" s="3"/>
      <c r="G66" s="3"/>
      <c r="H66" s="3"/>
      <c r="I66" s="3"/>
      <c r="J66" s="3"/>
      <c r="K66" s="3"/>
    </row>
    <row r="67" spans="1:11" ht="15.75" customHeight="1">
      <c r="A67" s="993" t="s">
        <v>38</v>
      </c>
      <c r="B67" s="994"/>
      <c r="C67" s="3"/>
      <c r="D67" s="993" t="s">
        <v>39</v>
      </c>
      <c r="E67" s="994"/>
      <c r="F67" s="3"/>
      <c r="G67" s="3"/>
      <c r="H67" s="3"/>
      <c r="I67" s="3"/>
      <c r="J67" s="3"/>
      <c r="K67" s="3"/>
    </row>
    <row r="68" spans="1:11" ht="15.75" customHeight="1">
      <c r="A68" s="6" t="s">
        <v>40</v>
      </c>
      <c r="B68" s="11">
        <v>0.48</v>
      </c>
      <c r="C68" s="5"/>
      <c r="D68" s="8" t="s">
        <v>41</v>
      </c>
      <c r="E68" s="10">
        <v>0.14000000000000001</v>
      </c>
      <c r="F68" s="3"/>
      <c r="G68" s="3"/>
      <c r="H68" s="3"/>
      <c r="I68" s="3"/>
      <c r="J68" s="3"/>
      <c r="K68" s="3"/>
    </row>
    <row r="69" spans="1:11" ht="15.75" customHeight="1">
      <c r="A69" s="6" t="s">
        <v>42</v>
      </c>
      <c r="B69" s="10">
        <v>0.36</v>
      </c>
      <c r="C69" s="5"/>
      <c r="D69" s="8" t="s">
        <v>43</v>
      </c>
      <c r="E69" s="11">
        <v>0.32</v>
      </c>
      <c r="F69" s="3"/>
      <c r="G69" s="3"/>
      <c r="H69" s="3"/>
      <c r="I69" s="3"/>
      <c r="J69" s="3"/>
      <c r="K69" s="3"/>
    </row>
    <row r="70" spans="1:11" ht="15.75" customHeight="1">
      <c r="A70" s="6" t="s">
        <v>44</v>
      </c>
      <c r="B70" s="10">
        <v>0.16</v>
      </c>
      <c r="C70" s="5"/>
      <c r="D70" s="8" t="s">
        <v>45</v>
      </c>
      <c r="E70" s="11">
        <v>0.39</v>
      </c>
      <c r="F70" s="3"/>
      <c r="G70" s="3"/>
      <c r="H70" s="3"/>
      <c r="I70" s="3"/>
      <c r="J70" s="3"/>
      <c r="K70" s="3"/>
    </row>
    <row r="71" spans="1:11" ht="15.75" customHeight="1">
      <c r="A71" s="3"/>
      <c r="B71" s="3"/>
      <c r="C71" s="5"/>
      <c r="D71" s="8" t="s">
        <v>46</v>
      </c>
      <c r="E71" s="10">
        <v>0.15</v>
      </c>
      <c r="F71" s="3"/>
      <c r="G71" s="3"/>
      <c r="H71" s="3"/>
      <c r="I71" s="3"/>
      <c r="J71" s="3"/>
      <c r="K71" s="3"/>
    </row>
    <row r="72" spans="1:11" ht="15.75" customHeight="1">
      <c r="A72" s="3"/>
      <c r="B72" s="3"/>
      <c r="C72" s="3"/>
      <c r="D72" s="3"/>
      <c r="E72" s="3"/>
      <c r="F72" s="3"/>
      <c r="G72" s="3"/>
      <c r="H72" s="3"/>
      <c r="I72" s="3"/>
      <c r="J72" s="3"/>
      <c r="K72" s="3"/>
    </row>
    <row r="73" spans="1:11" ht="15.75" customHeight="1">
      <c r="A73" s="993" t="s">
        <v>47</v>
      </c>
      <c r="B73" s="994"/>
      <c r="C73" s="3"/>
      <c r="D73" s="993" t="s">
        <v>48</v>
      </c>
      <c r="E73" s="994"/>
      <c r="F73" s="3"/>
      <c r="G73" s="3"/>
      <c r="H73" s="3" t="s">
        <v>49</v>
      </c>
      <c r="I73" s="3" t="s">
        <v>50</v>
      </c>
      <c r="J73" s="3"/>
      <c r="K73" s="3"/>
    </row>
    <row r="74" spans="1:11" ht="15.75" customHeight="1">
      <c r="A74" s="6" t="s">
        <v>51</v>
      </c>
      <c r="B74" s="11">
        <v>0.9</v>
      </c>
      <c r="C74" s="5"/>
      <c r="D74" s="8" t="s">
        <v>51</v>
      </c>
      <c r="E74" s="11">
        <v>0.59</v>
      </c>
      <c r="F74" s="3"/>
      <c r="G74" s="3"/>
      <c r="H74" s="9" t="s">
        <v>52</v>
      </c>
      <c r="I74" s="3" t="s">
        <v>53</v>
      </c>
      <c r="J74" s="3"/>
      <c r="K74" s="3"/>
    </row>
    <row r="75" spans="1:11" ht="15.75" customHeight="1">
      <c r="A75" s="6" t="s">
        <v>54</v>
      </c>
      <c r="B75" s="10">
        <v>0.1</v>
      </c>
      <c r="C75" s="5"/>
      <c r="D75" s="8" t="s">
        <v>54</v>
      </c>
      <c r="E75" s="10">
        <v>0.41</v>
      </c>
      <c r="F75" s="3"/>
      <c r="G75" s="3"/>
      <c r="H75" s="3"/>
      <c r="I75" s="3" t="s">
        <v>55</v>
      </c>
      <c r="J75" s="3"/>
      <c r="K75" s="3"/>
    </row>
    <row r="76" spans="1:11" ht="15.75" customHeight="1">
      <c r="A76" s="3"/>
      <c r="B76" s="3"/>
      <c r="C76" s="3"/>
      <c r="D76" s="3"/>
      <c r="E76" s="3"/>
      <c r="F76" s="3"/>
      <c r="G76" s="3"/>
      <c r="H76" s="3" t="s">
        <v>56</v>
      </c>
      <c r="I76" s="3" t="s">
        <v>57</v>
      </c>
      <c r="J76" s="3"/>
      <c r="K76" s="3"/>
    </row>
    <row r="77" spans="1:11" ht="20.25" customHeight="1">
      <c r="A77" s="995" t="s">
        <v>58</v>
      </c>
      <c r="B77" s="996"/>
      <c r="C77" s="3"/>
      <c r="D77" s="995" t="s">
        <v>59</v>
      </c>
      <c r="E77" s="996"/>
      <c r="F77" s="3"/>
      <c r="G77" s="3"/>
      <c r="H77" s="3"/>
      <c r="I77" s="2" t="s">
        <v>60</v>
      </c>
      <c r="J77" s="3"/>
      <c r="K77" s="3"/>
    </row>
    <row r="78" spans="1:11" ht="15.75" customHeight="1">
      <c r="A78" s="997"/>
      <c r="B78" s="998"/>
      <c r="C78" s="3"/>
      <c r="D78" s="997"/>
      <c r="E78" s="998"/>
      <c r="F78" s="3"/>
      <c r="G78" s="3"/>
      <c r="H78" s="3"/>
      <c r="I78" s="3"/>
      <c r="J78" s="3"/>
      <c r="K78" s="3"/>
    </row>
    <row r="79" spans="1:11" ht="15.75" customHeight="1">
      <c r="A79" s="6" t="s">
        <v>61</v>
      </c>
      <c r="B79" s="11">
        <v>0.69</v>
      </c>
      <c r="C79" s="5"/>
      <c r="D79" s="8" t="s">
        <v>62</v>
      </c>
      <c r="E79" s="10">
        <v>0.05</v>
      </c>
      <c r="F79" s="3"/>
      <c r="G79" s="3"/>
      <c r="H79" s="3"/>
      <c r="I79" s="3"/>
      <c r="J79" s="3"/>
      <c r="K79" s="3"/>
    </row>
    <row r="80" spans="1:11" ht="15.75" customHeight="1">
      <c r="A80" s="6" t="s">
        <v>63</v>
      </c>
      <c r="B80" s="10">
        <v>0.3</v>
      </c>
      <c r="C80" s="5"/>
      <c r="D80" s="8" t="s">
        <v>64</v>
      </c>
      <c r="E80" s="10">
        <v>0.05</v>
      </c>
      <c r="F80" s="3"/>
      <c r="G80" s="3"/>
      <c r="H80" s="3"/>
      <c r="I80" s="3"/>
      <c r="J80" s="3"/>
      <c r="K80" s="3"/>
    </row>
    <row r="81" spans="1:11" ht="15.75" customHeight="1">
      <c r="A81" s="6" t="s">
        <v>65</v>
      </c>
      <c r="B81" s="10">
        <v>0</v>
      </c>
      <c r="C81" s="5"/>
      <c r="D81" s="8" t="s">
        <v>66</v>
      </c>
      <c r="E81" s="11">
        <v>0.47</v>
      </c>
      <c r="F81" s="3"/>
      <c r="G81" s="3"/>
      <c r="H81" s="3"/>
      <c r="I81" s="3"/>
      <c r="J81" s="3"/>
      <c r="K81" s="3"/>
    </row>
    <row r="82" spans="1:11" ht="15.75" customHeight="1">
      <c r="A82" s="6" t="s">
        <v>67</v>
      </c>
      <c r="B82" s="10">
        <v>0.01</v>
      </c>
      <c r="C82" s="5"/>
      <c r="D82" s="8" t="s">
        <v>68</v>
      </c>
      <c r="E82" s="10">
        <v>0.02</v>
      </c>
      <c r="F82" s="3"/>
      <c r="G82" s="3"/>
      <c r="H82" s="3"/>
      <c r="I82" s="3"/>
      <c r="J82" s="3"/>
      <c r="K82" s="3"/>
    </row>
    <row r="83" spans="1:11" ht="15.75" customHeight="1">
      <c r="A83" s="3"/>
      <c r="B83" s="3"/>
      <c r="C83" s="5"/>
      <c r="D83" s="8" t="s">
        <v>69</v>
      </c>
      <c r="E83" s="10">
        <v>7.0000000000000007E-2</v>
      </c>
      <c r="F83" s="3"/>
      <c r="G83" s="3"/>
      <c r="H83" s="3"/>
      <c r="I83" s="3"/>
      <c r="J83" s="3"/>
      <c r="K83" s="3"/>
    </row>
    <row r="84" spans="1:11" ht="15.75" customHeight="1">
      <c r="A84" s="3"/>
      <c r="B84" s="3"/>
      <c r="C84" s="5"/>
      <c r="D84" s="8" t="s">
        <v>70</v>
      </c>
      <c r="E84" s="10">
        <v>0.35</v>
      </c>
      <c r="F84" s="3"/>
      <c r="G84" s="3"/>
      <c r="H84" s="3"/>
      <c r="I84" s="3"/>
      <c r="J84" s="3"/>
      <c r="K84" s="3"/>
    </row>
    <row r="85" spans="1:11" ht="20.25" customHeight="1">
      <c r="A85" s="995" t="s">
        <v>71</v>
      </c>
      <c r="B85" s="996"/>
      <c r="C85" s="3"/>
      <c r="D85" s="3"/>
      <c r="E85" s="3"/>
      <c r="F85" s="3"/>
      <c r="G85" s="995" t="s">
        <v>72</v>
      </c>
      <c r="H85" s="996"/>
      <c r="I85" s="3"/>
      <c r="J85" s="999" t="s">
        <v>73</v>
      </c>
      <c r="K85" s="994"/>
    </row>
    <row r="86" spans="1:11" ht="15.75" customHeight="1">
      <c r="A86" s="997"/>
      <c r="B86" s="998"/>
      <c r="C86" s="3"/>
      <c r="D86" s="3"/>
      <c r="E86" s="3"/>
      <c r="F86" s="3"/>
      <c r="G86" s="997"/>
      <c r="H86" s="998"/>
      <c r="I86" s="5"/>
      <c r="J86" s="8" t="s">
        <v>74</v>
      </c>
      <c r="K86" s="10">
        <v>7.0000000000000007E-2</v>
      </c>
    </row>
    <row r="87" spans="1:11" ht="15.75" customHeight="1">
      <c r="A87" s="6" t="s">
        <v>75</v>
      </c>
      <c r="B87" s="10">
        <v>0.26</v>
      </c>
      <c r="C87" s="3"/>
      <c r="D87" s="12" t="s">
        <v>76</v>
      </c>
      <c r="E87" s="12"/>
      <c r="F87" s="5"/>
      <c r="G87" s="8" t="s">
        <v>54</v>
      </c>
      <c r="H87" s="10">
        <v>0.12</v>
      </c>
      <c r="I87" s="5"/>
      <c r="J87" s="8" t="s">
        <v>77</v>
      </c>
      <c r="K87" s="10">
        <v>0.16</v>
      </c>
    </row>
    <row r="88" spans="1:11" ht="15.75" customHeight="1">
      <c r="A88" s="6" t="s">
        <v>78</v>
      </c>
      <c r="B88" s="10">
        <v>0.33</v>
      </c>
      <c r="C88" s="5"/>
      <c r="D88" s="8" t="s">
        <v>79</v>
      </c>
      <c r="E88" s="10">
        <v>0.27</v>
      </c>
      <c r="F88" s="5"/>
      <c r="G88" s="8" t="s">
        <v>51</v>
      </c>
      <c r="H88" s="11">
        <v>0.88</v>
      </c>
      <c r="I88" s="5"/>
      <c r="J88" s="8" t="s">
        <v>80</v>
      </c>
      <c r="K88" s="11">
        <v>0.56000000000000005</v>
      </c>
    </row>
    <row r="89" spans="1:11" ht="15.75" customHeight="1">
      <c r="A89" s="6" t="s">
        <v>81</v>
      </c>
      <c r="B89" s="11">
        <v>0.4</v>
      </c>
      <c r="C89" s="5"/>
      <c r="D89" s="8" t="s">
        <v>82</v>
      </c>
      <c r="E89" s="11">
        <v>0.38</v>
      </c>
      <c r="F89" s="3"/>
      <c r="G89" s="3"/>
      <c r="H89" s="3"/>
      <c r="I89" s="5"/>
      <c r="J89" s="8" t="s">
        <v>83</v>
      </c>
      <c r="K89" s="10">
        <v>0.21</v>
      </c>
    </row>
    <row r="90" spans="1:11" ht="15.75" customHeight="1">
      <c r="A90" s="6" t="s">
        <v>84</v>
      </c>
      <c r="B90" s="10">
        <v>0.01</v>
      </c>
      <c r="C90" s="5"/>
      <c r="D90" s="8" t="s">
        <v>85</v>
      </c>
      <c r="E90" s="10">
        <v>0.35</v>
      </c>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row r="95" spans="1:11" ht="15.75" customHeight="1">
      <c r="A95" s="1" t="s">
        <v>87</v>
      </c>
    </row>
    <row r="96" spans="1:11" ht="15.75" customHeight="1">
      <c r="A96" s="3" t="s">
        <v>37</v>
      </c>
      <c r="B96" s="9">
        <v>12</v>
      </c>
      <c r="C96" s="3"/>
      <c r="D96" s="3"/>
      <c r="E96" s="3"/>
      <c r="F96" s="3"/>
      <c r="G96" s="3"/>
      <c r="H96" s="3"/>
      <c r="I96" s="3"/>
      <c r="J96" s="3"/>
      <c r="K96" s="3"/>
    </row>
    <row r="97" spans="1:11" ht="15.75" customHeight="1">
      <c r="A97" s="4"/>
      <c r="B97" s="4"/>
      <c r="C97" s="3"/>
      <c r="D97" s="4"/>
      <c r="E97" s="4"/>
      <c r="F97" s="3"/>
      <c r="G97" s="4"/>
      <c r="H97" s="4"/>
      <c r="I97" s="3"/>
      <c r="J97" s="3"/>
      <c r="K97" s="3"/>
    </row>
    <row r="98" spans="1:11" ht="15.75" customHeight="1">
      <c r="A98" s="13" t="s">
        <v>3</v>
      </c>
      <c r="B98" s="14"/>
      <c r="C98" s="5"/>
      <c r="D98" s="1000" t="s">
        <v>19</v>
      </c>
      <c r="E98" s="1001"/>
      <c r="F98" s="5"/>
      <c r="G98" s="1000" t="s">
        <v>18</v>
      </c>
      <c r="H98" s="1001"/>
      <c r="I98" s="3"/>
      <c r="J98" s="3"/>
      <c r="K98" s="3"/>
    </row>
    <row r="99" spans="1:11" ht="15.75" customHeight="1">
      <c r="A99" s="6" t="s">
        <v>6</v>
      </c>
      <c r="B99" s="7" t="s">
        <v>88</v>
      </c>
      <c r="C99" s="5"/>
      <c r="D99" s="8" t="s">
        <v>22</v>
      </c>
      <c r="E99" s="7" t="s">
        <v>89</v>
      </c>
      <c r="F99" s="5"/>
      <c r="G99" s="8" t="s">
        <v>20</v>
      </c>
      <c r="H99" s="7" t="s">
        <v>90</v>
      </c>
      <c r="I99" s="3"/>
      <c r="J99" s="3"/>
      <c r="K99" s="3"/>
    </row>
    <row r="100" spans="1:11" ht="15.75" customHeight="1">
      <c r="A100" s="6" t="s">
        <v>10</v>
      </c>
      <c r="B100" s="7" t="s">
        <v>91</v>
      </c>
      <c r="C100" s="5"/>
      <c r="D100" s="8" t="s">
        <v>26</v>
      </c>
      <c r="E100" s="15" t="s">
        <v>92</v>
      </c>
      <c r="F100" s="3"/>
      <c r="G100" s="3"/>
      <c r="H100" s="3"/>
      <c r="I100" s="3"/>
      <c r="J100" s="3"/>
      <c r="K100" s="3"/>
    </row>
    <row r="101" spans="1:11" ht="15.75" customHeight="1">
      <c r="A101" s="6" t="s">
        <v>14</v>
      </c>
      <c r="B101" s="7" t="s">
        <v>93</v>
      </c>
      <c r="C101" s="5"/>
      <c r="D101" s="8" t="s">
        <v>30</v>
      </c>
      <c r="E101" s="8"/>
      <c r="F101" s="3"/>
      <c r="G101" s="3"/>
      <c r="H101" s="3"/>
      <c r="I101" s="3"/>
      <c r="J101" s="3"/>
      <c r="K101" s="3"/>
    </row>
    <row r="102" spans="1:11" ht="15.75" customHeight="1">
      <c r="A102" s="6" t="s">
        <v>16</v>
      </c>
      <c r="B102" s="15" t="s">
        <v>94</v>
      </c>
      <c r="C102" s="3"/>
      <c r="D102" s="3"/>
      <c r="E102" s="3"/>
      <c r="F102" s="3"/>
      <c r="G102" s="3"/>
      <c r="H102" s="3"/>
      <c r="I102" s="3"/>
      <c r="J102" s="3"/>
      <c r="K102" s="3"/>
    </row>
    <row r="103" spans="1:11" ht="15.75" customHeight="1">
      <c r="A103" s="3"/>
      <c r="B103" s="3"/>
      <c r="C103" s="3"/>
      <c r="D103" s="3"/>
      <c r="E103" s="3"/>
      <c r="F103" s="3"/>
      <c r="G103" s="3"/>
      <c r="H103" s="3"/>
      <c r="I103" s="3"/>
      <c r="J103" s="3"/>
      <c r="K103" s="3"/>
    </row>
    <row r="104" spans="1:11" ht="15.75" customHeight="1">
      <c r="A104" s="12" t="s">
        <v>38</v>
      </c>
      <c r="B104" s="12"/>
      <c r="C104" s="3"/>
      <c r="D104" s="993" t="s">
        <v>39</v>
      </c>
      <c r="E104" s="994"/>
      <c r="F104" s="3"/>
      <c r="G104" s="3"/>
      <c r="H104" s="3"/>
      <c r="I104" s="3"/>
      <c r="J104" s="3"/>
      <c r="K104" s="3"/>
    </row>
    <row r="105" spans="1:11" ht="15.75" customHeight="1">
      <c r="A105" s="6" t="s">
        <v>40</v>
      </c>
      <c r="B105" s="10">
        <v>0.25</v>
      </c>
      <c r="C105" s="5"/>
      <c r="D105" s="8" t="s">
        <v>41</v>
      </c>
      <c r="E105" s="10">
        <v>0.33</v>
      </c>
      <c r="F105" s="3"/>
      <c r="G105" s="3"/>
      <c r="H105" s="3"/>
      <c r="I105" s="3"/>
      <c r="J105" s="3"/>
      <c r="K105" s="3"/>
    </row>
    <row r="106" spans="1:11" ht="15.75" customHeight="1">
      <c r="A106" s="6" t="s">
        <v>42</v>
      </c>
      <c r="B106" s="11">
        <v>0.67</v>
      </c>
      <c r="C106" s="5"/>
      <c r="D106" s="8" t="s">
        <v>43</v>
      </c>
      <c r="E106" s="11">
        <v>0.42</v>
      </c>
      <c r="F106" s="3"/>
      <c r="G106" s="3"/>
      <c r="H106" s="3"/>
      <c r="I106" s="3"/>
      <c r="J106" s="3"/>
      <c r="K106" s="3"/>
    </row>
    <row r="107" spans="1:11" ht="15.75" customHeight="1">
      <c r="A107" s="6" t="s">
        <v>44</v>
      </c>
      <c r="B107" s="10">
        <v>0.08</v>
      </c>
      <c r="C107" s="5"/>
      <c r="D107" s="8" t="s">
        <v>45</v>
      </c>
      <c r="E107" s="10">
        <v>0.17</v>
      </c>
      <c r="F107" s="3"/>
      <c r="G107" s="3"/>
      <c r="H107" s="3"/>
      <c r="I107" s="3"/>
      <c r="J107" s="3"/>
      <c r="K107" s="3"/>
    </row>
    <row r="108" spans="1:11" ht="15.75" customHeight="1">
      <c r="A108" s="3"/>
      <c r="B108" s="3"/>
      <c r="C108" s="5"/>
      <c r="D108" s="8" t="s">
        <v>46</v>
      </c>
      <c r="E108" s="10">
        <v>0.08</v>
      </c>
      <c r="F108" s="3"/>
      <c r="G108" s="3"/>
      <c r="H108" s="3"/>
      <c r="I108" s="3"/>
      <c r="J108" s="3"/>
      <c r="K108" s="3"/>
    </row>
    <row r="109" spans="1:11" ht="15.75" customHeight="1">
      <c r="A109" s="3"/>
      <c r="B109" s="3"/>
      <c r="C109" s="3"/>
      <c r="D109" s="3"/>
      <c r="E109" s="3"/>
      <c r="F109" s="3"/>
      <c r="G109" s="3"/>
      <c r="H109" s="3"/>
      <c r="I109" s="3"/>
      <c r="J109" s="3"/>
      <c r="K109" s="3"/>
    </row>
    <row r="110" spans="1:11" ht="24" customHeight="1">
      <c r="A110" s="993" t="s">
        <v>47</v>
      </c>
      <c r="B110" s="994"/>
      <c r="C110" s="3"/>
      <c r="D110" s="993" t="s">
        <v>48</v>
      </c>
      <c r="E110" s="994"/>
      <c r="F110" s="3"/>
      <c r="G110" s="3"/>
      <c r="H110" s="3"/>
      <c r="I110" s="3"/>
      <c r="J110" s="3"/>
      <c r="K110" s="3"/>
    </row>
    <row r="111" spans="1:11" ht="15.75" customHeight="1">
      <c r="A111" s="6" t="s">
        <v>51</v>
      </c>
      <c r="B111" s="11">
        <v>0.67</v>
      </c>
      <c r="C111" s="5"/>
      <c r="D111" s="8" t="s">
        <v>51</v>
      </c>
      <c r="E111" s="10">
        <v>0.5</v>
      </c>
      <c r="F111" s="3"/>
      <c r="G111" s="3"/>
      <c r="H111" s="3"/>
      <c r="I111" s="3"/>
      <c r="J111" s="3"/>
      <c r="K111" s="3"/>
    </row>
    <row r="112" spans="1:11" ht="15.75" customHeight="1">
      <c r="A112" s="6" t="s">
        <v>54</v>
      </c>
      <c r="B112" s="10">
        <v>0.33</v>
      </c>
      <c r="C112" s="5"/>
      <c r="D112" s="8" t="s">
        <v>54</v>
      </c>
      <c r="E112" s="10">
        <v>0.5</v>
      </c>
      <c r="F112" s="3"/>
      <c r="G112" s="3"/>
      <c r="H112" s="3"/>
      <c r="I112" s="3"/>
      <c r="J112" s="3"/>
      <c r="K112" s="3"/>
    </row>
    <row r="113" spans="1:11" ht="15.75" customHeight="1">
      <c r="A113" s="3"/>
      <c r="B113" s="3"/>
      <c r="C113" s="3"/>
      <c r="D113" s="3"/>
      <c r="E113" s="3"/>
      <c r="F113" s="3"/>
      <c r="G113" s="3"/>
      <c r="H113" s="3"/>
      <c r="I113" s="3"/>
      <c r="J113" s="3"/>
      <c r="K113" s="3"/>
    </row>
    <row r="114" spans="1:11" ht="20.25" customHeight="1">
      <c r="A114" s="995" t="s">
        <v>58</v>
      </c>
      <c r="B114" s="996"/>
      <c r="C114" s="3"/>
      <c r="D114" s="995" t="s">
        <v>59</v>
      </c>
      <c r="E114" s="996"/>
      <c r="F114" s="3"/>
      <c r="G114" s="3"/>
      <c r="H114" s="3"/>
      <c r="I114" s="3"/>
      <c r="J114" s="3"/>
      <c r="K114" s="3"/>
    </row>
    <row r="115" spans="1:11" ht="15.75" customHeight="1">
      <c r="A115" s="997"/>
      <c r="B115" s="998"/>
      <c r="C115" s="3"/>
      <c r="D115" s="997"/>
      <c r="E115" s="998"/>
      <c r="F115" s="3"/>
      <c r="G115" s="3"/>
      <c r="H115" s="3"/>
      <c r="I115" s="3"/>
      <c r="J115" s="3"/>
      <c r="K115" s="3"/>
    </row>
    <row r="116" spans="1:11" ht="15.75" customHeight="1">
      <c r="A116" s="6" t="s">
        <v>61</v>
      </c>
      <c r="B116" s="10">
        <v>0.25</v>
      </c>
      <c r="C116" s="5"/>
      <c r="D116" s="8" t="s">
        <v>62</v>
      </c>
      <c r="E116" s="10">
        <v>0.25</v>
      </c>
      <c r="F116" s="3"/>
      <c r="G116" s="3"/>
      <c r="H116" s="3"/>
      <c r="I116" s="3"/>
      <c r="J116" s="3"/>
      <c r="K116" s="3"/>
    </row>
    <row r="117" spans="1:11" ht="15.75" customHeight="1">
      <c r="A117" s="6" t="s">
        <v>63</v>
      </c>
      <c r="B117" s="11">
        <v>0.5</v>
      </c>
      <c r="C117" s="5"/>
      <c r="D117" s="8" t="s">
        <v>64</v>
      </c>
      <c r="E117" s="10">
        <v>0.25</v>
      </c>
      <c r="F117" s="3"/>
      <c r="G117" s="3"/>
      <c r="H117" s="3"/>
      <c r="I117" s="3"/>
      <c r="J117" s="3"/>
      <c r="K117" s="3"/>
    </row>
    <row r="118" spans="1:11" ht="15.75" customHeight="1">
      <c r="A118" s="6" t="s">
        <v>65</v>
      </c>
      <c r="B118" s="10">
        <v>0.08</v>
      </c>
      <c r="C118" s="5"/>
      <c r="D118" s="8" t="s">
        <v>66</v>
      </c>
      <c r="E118" s="10">
        <v>0.25</v>
      </c>
      <c r="F118" s="3"/>
      <c r="G118" s="3"/>
      <c r="H118" s="3"/>
      <c r="I118" s="3"/>
      <c r="J118" s="3"/>
      <c r="K118" s="3"/>
    </row>
    <row r="119" spans="1:11" ht="15.75" customHeight="1">
      <c r="A119" s="6" t="s">
        <v>67</v>
      </c>
      <c r="B119" s="10">
        <v>0.17</v>
      </c>
      <c r="C119" s="5"/>
      <c r="D119" s="8" t="s">
        <v>68</v>
      </c>
      <c r="E119" s="10">
        <v>0.08</v>
      </c>
      <c r="F119" s="3"/>
      <c r="G119" s="3"/>
      <c r="H119" s="3"/>
      <c r="I119" s="3"/>
      <c r="J119" s="3"/>
      <c r="K119" s="3"/>
    </row>
    <row r="120" spans="1:11" ht="15.75" customHeight="1">
      <c r="A120" s="3"/>
      <c r="B120" s="3"/>
      <c r="C120" s="5"/>
      <c r="D120" s="8" t="s">
        <v>69</v>
      </c>
      <c r="E120" s="10">
        <v>0.17</v>
      </c>
      <c r="F120" s="3"/>
      <c r="G120" s="3"/>
      <c r="H120" s="3"/>
      <c r="I120" s="3"/>
      <c r="J120" s="3"/>
      <c r="K120" s="3"/>
    </row>
    <row r="121" spans="1:11" ht="15.75" customHeight="1">
      <c r="A121" s="3"/>
      <c r="B121" s="3"/>
      <c r="C121" s="3"/>
      <c r="D121" s="3"/>
      <c r="E121" s="3"/>
      <c r="F121" s="3"/>
      <c r="G121" s="3"/>
      <c r="H121" s="3"/>
      <c r="I121" s="3"/>
      <c r="J121" s="3"/>
      <c r="K121" s="3"/>
    </row>
    <row r="122" spans="1:11" ht="15.75" customHeight="1">
      <c r="A122" s="995" t="s">
        <v>71</v>
      </c>
      <c r="B122" s="996"/>
      <c r="C122" s="3"/>
      <c r="D122" s="993" t="s">
        <v>76</v>
      </c>
      <c r="E122" s="994"/>
      <c r="F122" s="3"/>
      <c r="G122" s="995" t="s">
        <v>72</v>
      </c>
      <c r="H122" s="996"/>
      <c r="I122" s="3"/>
      <c r="J122" s="999" t="s">
        <v>73</v>
      </c>
      <c r="K122" s="994"/>
    </row>
    <row r="123" spans="1:11" ht="15.75" customHeight="1">
      <c r="A123" s="997"/>
      <c r="B123" s="998"/>
      <c r="C123" s="5"/>
      <c r="D123" s="8" t="s">
        <v>79</v>
      </c>
      <c r="E123" s="11">
        <v>0.67</v>
      </c>
      <c r="F123" s="3"/>
      <c r="G123" s="997"/>
      <c r="H123" s="998"/>
      <c r="I123" s="5"/>
      <c r="J123" s="8" t="s">
        <v>74</v>
      </c>
      <c r="K123" s="10">
        <v>0.25</v>
      </c>
    </row>
    <row r="124" spans="1:11" ht="15.75" customHeight="1">
      <c r="A124" s="6" t="s">
        <v>75</v>
      </c>
      <c r="B124" s="10">
        <v>0.33</v>
      </c>
      <c r="C124" s="5"/>
      <c r="D124" s="8" t="s">
        <v>82</v>
      </c>
      <c r="E124" s="10">
        <v>0.17</v>
      </c>
      <c r="F124" s="5"/>
      <c r="G124" s="8" t="s">
        <v>51</v>
      </c>
      <c r="H124" s="11">
        <v>0.67</v>
      </c>
      <c r="I124" s="5"/>
      <c r="J124" s="8" t="s">
        <v>77</v>
      </c>
      <c r="K124" s="10">
        <v>0.25</v>
      </c>
    </row>
    <row r="125" spans="1:11" ht="15.75" customHeight="1">
      <c r="A125" s="6" t="s">
        <v>78</v>
      </c>
      <c r="B125" s="10">
        <v>0.17</v>
      </c>
      <c r="C125" s="5"/>
      <c r="D125" s="8" t="s">
        <v>85</v>
      </c>
      <c r="E125" s="10">
        <v>0.17</v>
      </c>
      <c r="F125" s="5"/>
      <c r="G125" s="8" t="s">
        <v>54</v>
      </c>
      <c r="H125" s="10">
        <v>0.33</v>
      </c>
      <c r="I125" s="5"/>
      <c r="J125" s="8" t="s">
        <v>80</v>
      </c>
      <c r="K125" s="11">
        <v>0.5</v>
      </c>
    </row>
    <row r="126" spans="1:11" ht="15.75" customHeight="1">
      <c r="A126" s="6" t="s">
        <v>81</v>
      </c>
      <c r="B126" s="11">
        <v>0.42</v>
      </c>
      <c r="C126" s="3"/>
      <c r="D126" s="3"/>
      <c r="E126" s="3"/>
      <c r="F126" s="3"/>
      <c r="G126" s="3"/>
      <c r="H126" s="3"/>
      <c r="I126" s="3"/>
      <c r="J126" s="3"/>
      <c r="K126" s="3"/>
    </row>
    <row r="127" spans="1:11" ht="15.75" customHeight="1">
      <c r="A127" s="6" t="s">
        <v>84</v>
      </c>
      <c r="B127" s="10">
        <v>0.08</v>
      </c>
      <c r="C127" s="3"/>
      <c r="D127" s="3"/>
      <c r="E127" s="3"/>
      <c r="F127" s="3"/>
      <c r="G127" s="3"/>
      <c r="H127" s="3"/>
      <c r="I127" s="3"/>
      <c r="J127" s="3"/>
      <c r="K127" s="3"/>
    </row>
    <row r="128" spans="1:11" ht="15.75" customHeight="1">
      <c r="A128" s="3"/>
      <c r="B128" s="3"/>
      <c r="C128" s="3"/>
      <c r="D128" s="3"/>
      <c r="E128" s="3"/>
      <c r="F128" s="3"/>
      <c r="G128" s="3"/>
      <c r="H128" s="3"/>
      <c r="I128" s="3"/>
      <c r="J128" s="3"/>
      <c r="K128" s="3"/>
    </row>
    <row r="129" spans="1:11" ht="15.75" customHeight="1">
      <c r="A129" s="3"/>
      <c r="B129" s="3"/>
      <c r="C129" s="3"/>
      <c r="D129" s="3"/>
      <c r="E129" s="3"/>
      <c r="F129" s="3"/>
      <c r="G129" s="3"/>
      <c r="H129" s="3"/>
      <c r="I129" s="3"/>
      <c r="J129" s="3"/>
      <c r="K129" s="3"/>
    </row>
    <row r="130" spans="1:11" ht="15.75" customHeight="1">
      <c r="A130" s="3"/>
      <c r="B130" s="3"/>
      <c r="C130" s="3"/>
      <c r="D130" s="3"/>
      <c r="E130" s="3"/>
      <c r="F130" s="3"/>
      <c r="G130" s="3"/>
      <c r="H130" s="3"/>
      <c r="I130" s="3"/>
      <c r="J130" s="3"/>
      <c r="K130" s="3"/>
    </row>
    <row r="131" spans="1:11" ht="15.75" customHeight="1">
      <c r="A131" s="3"/>
      <c r="B131" s="3"/>
      <c r="C131" s="3"/>
      <c r="D131" s="3"/>
      <c r="E131" s="3"/>
      <c r="F131" s="3"/>
      <c r="G131" s="3"/>
      <c r="H131" s="3"/>
      <c r="I131" s="3"/>
      <c r="J131" s="3"/>
      <c r="K131" s="3"/>
    </row>
    <row r="132" spans="1:11" ht="15.75" customHeight="1">
      <c r="A132" s="3"/>
      <c r="B132" s="3"/>
      <c r="C132" s="3"/>
      <c r="D132" s="3"/>
      <c r="E132" s="3"/>
      <c r="F132" s="3"/>
      <c r="G132" s="3"/>
      <c r="H132" s="3"/>
      <c r="I132" s="3"/>
      <c r="J132" s="3"/>
      <c r="K132" s="3"/>
    </row>
    <row r="133" spans="1:11" ht="15.75" customHeight="1"/>
    <row r="134" spans="1:11" ht="15.75" customHeight="1"/>
    <row r="135" spans="1:11" ht="15.75" customHeight="1"/>
    <row r="136" spans="1:11" ht="15.75" customHeight="1"/>
    <row r="137" spans="1:11" ht="15.75" customHeight="1"/>
    <row r="138" spans="1:11" ht="15.75" customHeight="1"/>
    <row r="139" spans="1:11" ht="15.75" customHeight="1"/>
    <row r="140" spans="1:11" ht="15.75" customHeight="1"/>
    <row r="141" spans="1:11" ht="15.75" customHeight="1"/>
    <row r="142" spans="1:11" ht="15.75" customHeight="1"/>
    <row r="143" spans="1:11" ht="15.75" customHeight="1"/>
    <row r="144" spans="1:1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A5:B5"/>
    <mergeCell ref="D5:E5"/>
    <mergeCell ref="A11:B11"/>
    <mergeCell ref="D11:E11"/>
    <mergeCell ref="A20:B20"/>
    <mergeCell ref="D23:E23"/>
    <mergeCell ref="G23:H23"/>
    <mergeCell ref="A47:B48"/>
    <mergeCell ref="G47:H48"/>
    <mergeCell ref="J47:K47"/>
    <mergeCell ref="A23:B23"/>
    <mergeCell ref="A29:B29"/>
    <mergeCell ref="D29:E29"/>
    <mergeCell ref="A35:B35"/>
    <mergeCell ref="D35:E35"/>
    <mergeCell ref="A39:B40"/>
    <mergeCell ref="D39:E40"/>
    <mergeCell ref="A57:B57"/>
    <mergeCell ref="A61:B61"/>
    <mergeCell ref="D61:E61"/>
    <mergeCell ref="G61:H61"/>
    <mergeCell ref="A67:B67"/>
    <mergeCell ref="D67:E67"/>
    <mergeCell ref="D73:E73"/>
    <mergeCell ref="A73:B73"/>
    <mergeCell ref="A77:B78"/>
    <mergeCell ref="D77:E78"/>
    <mergeCell ref="A85:B86"/>
    <mergeCell ref="G85:H86"/>
    <mergeCell ref="J85:K85"/>
    <mergeCell ref="G98:H98"/>
    <mergeCell ref="D122:E122"/>
    <mergeCell ref="G122:H123"/>
    <mergeCell ref="J122:K122"/>
    <mergeCell ref="D98:E98"/>
    <mergeCell ref="D104:E104"/>
    <mergeCell ref="A110:B110"/>
    <mergeCell ref="D110:E110"/>
    <mergeCell ref="A114:B115"/>
    <mergeCell ref="D114:E115"/>
    <mergeCell ref="A122:B1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A13" workbookViewId="0">
      <selection activeCell="F24" sqref="F24"/>
    </sheetView>
  </sheetViews>
  <sheetFormatPr baseColWidth="10" defaultColWidth="14.42578125" defaultRowHeight="15" customHeight="1"/>
  <cols>
    <col min="1" max="1" width="16.140625" customWidth="1"/>
    <col min="2" max="2" width="47.7109375" customWidth="1"/>
    <col min="3" max="3" width="9" customWidth="1"/>
    <col min="4" max="4" width="28.7109375" customWidth="1"/>
    <col min="5" max="5" width="19.140625" customWidth="1"/>
  </cols>
  <sheetData>
    <row r="1" spans="1:26">
      <c r="A1" s="16" t="s">
        <v>95</v>
      </c>
      <c r="B1" s="1"/>
      <c r="C1" s="1"/>
      <c r="D1" s="1"/>
      <c r="E1" s="1"/>
      <c r="F1" s="1"/>
      <c r="G1" s="1"/>
      <c r="H1" s="1"/>
      <c r="I1" s="1"/>
      <c r="J1" s="1"/>
      <c r="K1" s="1"/>
      <c r="L1" s="1"/>
      <c r="M1" s="1"/>
      <c r="N1" s="1"/>
      <c r="O1" s="1"/>
      <c r="P1" s="1"/>
      <c r="Q1" s="1"/>
      <c r="R1" s="1"/>
      <c r="S1" s="1"/>
      <c r="T1" s="1"/>
      <c r="U1" s="1"/>
      <c r="V1" s="1"/>
      <c r="W1" s="1"/>
      <c r="X1" s="1"/>
      <c r="Y1" s="1"/>
      <c r="Z1" s="1"/>
    </row>
    <row r="2" spans="1:26">
      <c r="A2" s="1"/>
      <c r="B2" s="1"/>
      <c r="C2" s="1"/>
      <c r="D2" s="1"/>
      <c r="E2" s="1"/>
      <c r="F2" s="1"/>
      <c r="G2" s="1"/>
      <c r="H2" s="1"/>
      <c r="I2" s="1"/>
      <c r="J2" s="1"/>
      <c r="K2" s="1"/>
      <c r="L2" s="1"/>
      <c r="M2" s="1"/>
      <c r="N2" s="1"/>
      <c r="O2" s="1"/>
      <c r="P2" s="1"/>
      <c r="Q2" s="1"/>
      <c r="R2" s="1"/>
      <c r="S2" s="1"/>
      <c r="T2" s="1"/>
      <c r="U2" s="1"/>
      <c r="V2" s="1"/>
      <c r="W2" s="1"/>
      <c r="X2" s="1"/>
      <c r="Y2" s="1"/>
      <c r="Z2" s="1"/>
    </row>
    <row r="3" spans="1:26" ht="42.75" customHeight="1">
      <c r="A3" s="1012" t="s">
        <v>96</v>
      </c>
      <c r="B3" s="1013"/>
      <c r="C3" s="17" t="s">
        <v>97</v>
      </c>
      <c r="D3" s="18" t="s">
        <v>98</v>
      </c>
      <c r="E3" s="17" t="s">
        <v>99</v>
      </c>
      <c r="F3" s="1"/>
      <c r="G3" s="1"/>
      <c r="H3" s="19"/>
      <c r="I3" s="20"/>
      <c r="J3" s="20"/>
      <c r="K3" s="20"/>
      <c r="L3" s="20"/>
      <c r="M3" s="20"/>
      <c r="N3" s="20"/>
      <c r="O3" s="20"/>
      <c r="P3" s="1"/>
      <c r="Q3" s="1"/>
      <c r="R3" s="1"/>
      <c r="S3" s="1"/>
      <c r="T3" s="1"/>
      <c r="U3" s="1"/>
      <c r="V3" s="1"/>
      <c r="W3" s="1"/>
      <c r="X3" s="1"/>
      <c r="Y3" s="1"/>
      <c r="Z3" s="1"/>
    </row>
    <row r="4" spans="1:26">
      <c r="A4" s="1014" t="s">
        <v>100</v>
      </c>
      <c r="B4" s="21" t="s">
        <v>101</v>
      </c>
      <c r="C4" s="22">
        <v>0.12</v>
      </c>
      <c r="D4" s="23">
        <v>4</v>
      </c>
      <c r="E4" s="23">
        <f t="shared" ref="E4:E13" si="0">C4*D4</f>
        <v>0.48</v>
      </c>
      <c r="F4" s="1"/>
      <c r="G4" s="1"/>
      <c r="H4" s="24"/>
      <c r="I4" s="25"/>
      <c r="J4" s="25"/>
      <c r="K4" s="25"/>
      <c r="L4" s="25"/>
      <c r="M4" s="25"/>
      <c r="N4" s="25"/>
      <c r="O4" s="25"/>
      <c r="P4" s="1"/>
      <c r="Q4" s="1"/>
      <c r="R4" s="1"/>
      <c r="S4" s="1"/>
      <c r="T4" s="1"/>
      <c r="U4" s="1"/>
      <c r="V4" s="1"/>
      <c r="W4" s="1"/>
      <c r="X4" s="1"/>
      <c r="Y4" s="1"/>
      <c r="Z4" s="1"/>
    </row>
    <row r="5" spans="1:26" ht="30">
      <c r="A5" s="1015"/>
      <c r="B5" s="26" t="s">
        <v>102</v>
      </c>
      <c r="C5" s="22">
        <v>0.1</v>
      </c>
      <c r="D5" s="23">
        <v>3</v>
      </c>
      <c r="E5" s="23">
        <f t="shared" si="0"/>
        <v>0.30000000000000004</v>
      </c>
      <c r="F5" s="1"/>
      <c r="G5" s="1"/>
      <c r="H5" s="24"/>
      <c r="I5" s="25"/>
      <c r="J5" s="25"/>
      <c r="K5" s="25"/>
      <c r="L5" s="25"/>
      <c r="M5" s="25"/>
      <c r="N5" s="25"/>
      <c r="O5" s="25"/>
      <c r="P5" s="1"/>
      <c r="Q5" s="1"/>
      <c r="R5" s="1"/>
      <c r="S5" s="1"/>
      <c r="T5" s="1"/>
      <c r="U5" s="1"/>
      <c r="V5" s="1"/>
      <c r="W5" s="1"/>
      <c r="X5" s="1"/>
      <c r="Y5" s="1"/>
      <c r="Z5" s="1"/>
    </row>
    <row r="6" spans="1:26" ht="30">
      <c r="A6" s="1015"/>
      <c r="B6" s="26" t="s">
        <v>103</v>
      </c>
      <c r="C6" s="22">
        <v>0.1</v>
      </c>
      <c r="D6" s="23">
        <v>4</v>
      </c>
      <c r="E6" s="23">
        <f t="shared" si="0"/>
        <v>0.4</v>
      </c>
      <c r="F6" s="1"/>
      <c r="G6" s="1"/>
      <c r="H6" s="24"/>
      <c r="I6" s="25"/>
      <c r="J6" s="25"/>
      <c r="K6" s="25"/>
      <c r="L6" s="25"/>
      <c r="M6" s="25"/>
      <c r="N6" s="25"/>
      <c r="O6" s="25"/>
      <c r="P6" s="1"/>
      <c r="Q6" s="1"/>
      <c r="R6" s="1"/>
      <c r="S6" s="1"/>
      <c r="T6" s="1"/>
      <c r="U6" s="1"/>
      <c r="V6" s="1"/>
      <c r="W6" s="1"/>
      <c r="X6" s="1"/>
      <c r="Y6" s="1"/>
      <c r="Z6" s="1"/>
    </row>
    <row r="7" spans="1:26">
      <c r="A7" s="1015"/>
      <c r="B7" s="27" t="s">
        <v>104</v>
      </c>
      <c r="C7" s="22">
        <v>0.05</v>
      </c>
      <c r="D7" s="23">
        <v>3</v>
      </c>
      <c r="E7" s="23">
        <f t="shared" si="0"/>
        <v>0.15000000000000002</v>
      </c>
      <c r="F7" s="1"/>
      <c r="G7" s="1"/>
      <c r="H7" s="24"/>
      <c r="I7" s="25"/>
      <c r="J7" s="25"/>
      <c r="K7" s="25"/>
      <c r="L7" s="25"/>
      <c r="M7" s="25"/>
      <c r="N7" s="25"/>
      <c r="O7" s="25"/>
      <c r="P7" s="1"/>
      <c r="Q7" s="1"/>
      <c r="R7" s="1"/>
      <c r="S7" s="1"/>
      <c r="T7" s="1"/>
      <c r="U7" s="1"/>
      <c r="V7" s="1"/>
      <c r="W7" s="1"/>
      <c r="X7" s="1"/>
      <c r="Y7" s="1"/>
      <c r="Z7" s="1"/>
    </row>
    <row r="8" spans="1:26">
      <c r="A8" s="1015"/>
      <c r="B8" s="21" t="s">
        <v>105</v>
      </c>
      <c r="C8" s="22">
        <v>0.15</v>
      </c>
      <c r="D8" s="23">
        <v>3</v>
      </c>
      <c r="E8" s="23">
        <f t="shared" si="0"/>
        <v>0.44999999999999996</v>
      </c>
      <c r="F8" s="1"/>
      <c r="G8" s="1"/>
      <c r="H8" s="24"/>
      <c r="I8" s="25"/>
      <c r="J8" s="25"/>
      <c r="K8" s="25"/>
      <c r="L8" s="25"/>
      <c r="M8" s="25"/>
      <c r="N8" s="25"/>
      <c r="O8" s="25"/>
      <c r="P8" s="1"/>
      <c r="Q8" s="1"/>
      <c r="R8" s="1"/>
      <c r="S8" s="1"/>
      <c r="T8" s="1"/>
      <c r="U8" s="1"/>
      <c r="V8" s="1"/>
      <c r="W8" s="1"/>
      <c r="X8" s="1"/>
      <c r="Y8" s="1"/>
      <c r="Z8" s="1"/>
    </row>
    <row r="9" spans="1:26">
      <c r="A9" s="1016" t="s">
        <v>106</v>
      </c>
      <c r="B9" s="21" t="s">
        <v>107</v>
      </c>
      <c r="C9" s="22">
        <v>0.06</v>
      </c>
      <c r="D9" s="23">
        <v>1</v>
      </c>
      <c r="E9" s="23">
        <f t="shared" si="0"/>
        <v>0.06</v>
      </c>
      <c r="F9" s="1"/>
      <c r="G9" s="1"/>
      <c r="H9" s="28"/>
      <c r="I9" s="28"/>
      <c r="J9" s="28"/>
      <c r="K9" s="28"/>
      <c r="L9" s="28"/>
      <c r="M9" s="29"/>
      <c r="N9" s="28"/>
      <c r="O9" s="28"/>
      <c r="P9" s="1"/>
      <c r="Q9" s="1"/>
      <c r="R9" s="1"/>
      <c r="S9" s="1"/>
      <c r="T9" s="1"/>
      <c r="U9" s="1"/>
      <c r="V9" s="1"/>
      <c r="W9" s="1"/>
      <c r="X9" s="1"/>
      <c r="Y9" s="1"/>
      <c r="Z9" s="1"/>
    </row>
    <row r="10" spans="1:26">
      <c r="A10" s="1016"/>
      <c r="B10" s="21" t="s">
        <v>108</v>
      </c>
      <c r="C10" s="22">
        <v>0.09</v>
      </c>
      <c r="D10" s="23">
        <v>2</v>
      </c>
      <c r="E10" s="23">
        <f t="shared" si="0"/>
        <v>0.18</v>
      </c>
      <c r="F10" s="1"/>
      <c r="G10" s="1"/>
      <c r="H10" s="1"/>
      <c r="I10" s="1"/>
      <c r="J10" s="1"/>
      <c r="K10" s="1"/>
      <c r="L10" s="1"/>
      <c r="M10" s="1"/>
      <c r="N10" s="1"/>
      <c r="O10" s="1"/>
      <c r="P10" s="1"/>
      <c r="Q10" s="1"/>
      <c r="R10" s="1"/>
      <c r="S10" s="1"/>
      <c r="T10" s="1"/>
      <c r="U10" s="1"/>
      <c r="V10" s="1"/>
      <c r="W10" s="1"/>
      <c r="X10" s="1"/>
      <c r="Y10" s="1"/>
      <c r="Z10" s="1"/>
    </row>
    <row r="11" spans="1:26">
      <c r="A11" s="1016"/>
      <c r="B11" s="27" t="s">
        <v>109</v>
      </c>
      <c r="C11" s="22">
        <v>0.1</v>
      </c>
      <c r="D11" s="23">
        <v>2</v>
      </c>
      <c r="E11" s="23">
        <f t="shared" si="0"/>
        <v>0.2</v>
      </c>
      <c r="F11" s="1"/>
      <c r="G11" s="1"/>
      <c r="H11" s="1"/>
      <c r="I11" s="1"/>
      <c r="J11" s="1"/>
      <c r="K11" s="1"/>
      <c r="L11" s="1"/>
      <c r="M11" s="1"/>
      <c r="N11" s="1"/>
      <c r="O11" s="1"/>
      <c r="P11" s="1"/>
      <c r="Q11" s="1"/>
      <c r="R11" s="1"/>
      <c r="S11" s="1"/>
      <c r="T11" s="1"/>
      <c r="U11" s="1"/>
      <c r="V11" s="1"/>
      <c r="W11" s="1"/>
      <c r="X11" s="1"/>
      <c r="Y11" s="1"/>
      <c r="Z11" s="1"/>
    </row>
    <row r="12" spans="1:26">
      <c r="A12" s="1016"/>
      <c r="B12" s="27" t="s">
        <v>110</v>
      </c>
      <c r="C12" s="22">
        <v>0.1</v>
      </c>
      <c r="D12" s="23">
        <v>2</v>
      </c>
      <c r="E12" s="23">
        <f t="shared" si="0"/>
        <v>0.2</v>
      </c>
      <c r="F12" s="1"/>
      <c r="G12" s="1"/>
      <c r="H12" s="1"/>
      <c r="I12" s="1"/>
      <c r="J12" s="1"/>
      <c r="K12" s="1"/>
      <c r="L12" s="1"/>
      <c r="M12" s="1"/>
      <c r="N12" s="1"/>
      <c r="O12" s="1"/>
      <c r="P12" s="1"/>
      <c r="Q12" s="1"/>
      <c r="R12" s="1"/>
      <c r="S12" s="1"/>
      <c r="T12" s="1"/>
      <c r="U12" s="1"/>
      <c r="V12" s="1"/>
      <c r="W12" s="1"/>
      <c r="X12" s="1"/>
      <c r="Y12" s="1"/>
      <c r="Z12" s="1"/>
    </row>
    <row r="13" spans="1:26">
      <c r="A13" s="1016"/>
      <c r="B13" s="30" t="s">
        <v>111</v>
      </c>
      <c r="C13" s="23">
        <v>0.13</v>
      </c>
      <c r="D13" s="23">
        <v>2</v>
      </c>
      <c r="E13" s="23">
        <f t="shared" si="0"/>
        <v>0.26</v>
      </c>
      <c r="F13" s="1"/>
      <c r="G13" s="1"/>
      <c r="H13" s="1"/>
      <c r="I13" s="1"/>
      <c r="J13" s="1"/>
      <c r="K13" s="1"/>
      <c r="L13" s="1"/>
      <c r="M13" s="1"/>
      <c r="N13" s="1"/>
      <c r="O13" s="1"/>
      <c r="P13" s="1"/>
      <c r="Q13" s="1"/>
      <c r="R13" s="1"/>
      <c r="S13" s="1"/>
      <c r="T13" s="1"/>
      <c r="U13" s="1"/>
      <c r="V13" s="1"/>
      <c r="W13" s="1"/>
      <c r="X13" s="1"/>
      <c r="Y13" s="1"/>
      <c r="Z13" s="1"/>
    </row>
    <row r="14" spans="1:26">
      <c r="A14" s="31"/>
      <c r="B14" s="31"/>
      <c r="C14" s="32">
        <f>C4+C5+C6+C7+C8+C9+C10+C11+C12+C13</f>
        <v>1</v>
      </c>
      <c r="D14" s="31"/>
      <c r="E14" s="33">
        <f>E4+E5+E6+E7+E8+E9+E10+E11+E12+E13</f>
        <v>2.6800000000000006</v>
      </c>
      <c r="F14" s="1"/>
      <c r="G14" s="1"/>
      <c r="H14" s="1"/>
      <c r="I14" s="1"/>
      <c r="J14" s="1"/>
      <c r="K14" s="1"/>
      <c r="L14" s="1"/>
      <c r="M14" s="1"/>
      <c r="N14" s="1"/>
      <c r="O14" s="1"/>
      <c r="P14" s="1"/>
      <c r="Q14" s="1"/>
      <c r="R14" s="1"/>
      <c r="S14" s="1"/>
      <c r="T14" s="1"/>
      <c r="U14" s="1"/>
      <c r="V14" s="1"/>
      <c r="W14" s="1"/>
      <c r="X14" s="1"/>
      <c r="Y14" s="1"/>
      <c r="Z14" s="1"/>
    </row>
    <row r="15"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c r="A20" s="1" t="s">
        <v>112</v>
      </c>
      <c r="B20" s="34" t="s">
        <v>113</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6" t="s">
        <v>114</v>
      </c>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48" customHeight="1">
      <c r="A25" s="1007" t="s">
        <v>96</v>
      </c>
      <c r="B25" s="1008"/>
      <c r="C25" s="17" t="s">
        <v>97</v>
      </c>
      <c r="D25" s="18" t="s">
        <v>115</v>
      </c>
      <c r="E25" s="17" t="s">
        <v>99</v>
      </c>
      <c r="F25" s="1"/>
      <c r="G25" s="1"/>
      <c r="H25" s="1"/>
      <c r="I25" s="1"/>
      <c r="J25" s="1"/>
      <c r="K25" s="1"/>
      <c r="L25" s="1"/>
      <c r="M25" s="1"/>
      <c r="N25" s="1"/>
      <c r="O25" s="1"/>
      <c r="P25" s="1"/>
      <c r="Q25" s="1"/>
      <c r="R25" s="1"/>
      <c r="S25" s="1"/>
      <c r="T25" s="1"/>
      <c r="U25" s="1"/>
      <c r="V25" s="1"/>
      <c r="W25" s="1"/>
      <c r="X25" s="1"/>
      <c r="Y25" s="1"/>
      <c r="Z25" s="1"/>
    </row>
    <row r="26" spans="1:26" ht="15.75" customHeight="1">
      <c r="A26" s="1009" t="s">
        <v>116</v>
      </c>
      <c r="B26" s="30" t="s">
        <v>741</v>
      </c>
      <c r="C26" s="23">
        <v>0.12</v>
      </c>
      <c r="D26" s="23">
        <v>4</v>
      </c>
      <c r="E26" s="23">
        <f t="shared" ref="E26:E35" si="1">C26*D26</f>
        <v>0.48</v>
      </c>
      <c r="F26" s="1"/>
      <c r="G26" s="1"/>
      <c r="H26" s="1"/>
      <c r="I26" s="1"/>
      <c r="J26" s="1"/>
      <c r="K26" s="1"/>
      <c r="L26" s="1"/>
      <c r="M26" s="1"/>
      <c r="N26" s="1"/>
      <c r="O26" s="1"/>
      <c r="P26" s="1"/>
      <c r="Q26" s="1"/>
      <c r="R26" s="1"/>
      <c r="S26" s="1"/>
      <c r="T26" s="1"/>
      <c r="U26" s="1"/>
      <c r="V26" s="1"/>
      <c r="W26" s="1"/>
      <c r="X26" s="1"/>
      <c r="Y26" s="1"/>
      <c r="Z26" s="1"/>
    </row>
    <row r="27" spans="1:26" ht="15.75" customHeight="1">
      <c r="A27" s="1010"/>
      <c r="B27" s="35" t="s">
        <v>742</v>
      </c>
      <c r="C27" s="23">
        <v>0.12</v>
      </c>
      <c r="D27" s="23">
        <v>4</v>
      </c>
      <c r="E27" s="23">
        <f t="shared" si="1"/>
        <v>0.48</v>
      </c>
      <c r="F27" s="1"/>
      <c r="G27" s="1"/>
      <c r="H27" s="1"/>
      <c r="I27" s="1"/>
      <c r="J27" s="1"/>
      <c r="K27" s="1"/>
      <c r="L27" s="1"/>
      <c r="M27" s="1"/>
      <c r="N27" s="1"/>
      <c r="O27" s="1"/>
      <c r="P27" s="1"/>
      <c r="Q27" s="1"/>
      <c r="R27" s="1"/>
      <c r="S27" s="1"/>
      <c r="T27" s="1"/>
      <c r="U27" s="1"/>
      <c r="V27" s="1"/>
      <c r="W27" s="1"/>
      <c r="X27" s="1"/>
      <c r="Y27" s="1"/>
      <c r="Z27" s="1"/>
    </row>
    <row r="28" spans="1:26" ht="15.75" customHeight="1">
      <c r="A28" s="1010"/>
      <c r="B28" s="36" t="s">
        <v>743</v>
      </c>
      <c r="C28" s="23">
        <v>0.1</v>
      </c>
      <c r="D28" s="23">
        <v>3</v>
      </c>
      <c r="E28" s="23">
        <f t="shared" si="1"/>
        <v>0.30000000000000004</v>
      </c>
      <c r="F28" s="1"/>
      <c r="G28" s="1"/>
      <c r="H28" s="1"/>
      <c r="I28" s="1"/>
      <c r="J28" s="1"/>
      <c r="K28" s="1"/>
      <c r="L28" s="1"/>
      <c r="M28" s="1"/>
      <c r="N28" s="1"/>
      <c r="O28" s="1"/>
      <c r="P28" s="1"/>
      <c r="Q28" s="1"/>
      <c r="R28" s="1"/>
      <c r="S28" s="1"/>
      <c r="T28" s="1"/>
      <c r="U28" s="1"/>
      <c r="V28" s="1"/>
      <c r="W28" s="1"/>
      <c r="X28" s="1"/>
      <c r="Y28" s="1"/>
      <c r="Z28" s="1"/>
    </row>
    <row r="29" spans="1:26" ht="15.75" customHeight="1">
      <c r="A29" s="1010"/>
      <c r="B29" s="37" t="s">
        <v>744</v>
      </c>
      <c r="C29" s="38">
        <v>0.1</v>
      </c>
      <c r="D29" s="23">
        <v>4</v>
      </c>
      <c r="E29" s="23">
        <f t="shared" si="1"/>
        <v>0.4</v>
      </c>
      <c r="F29" s="1"/>
      <c r="G29" s="1"/>
      <c r="H29" s="1"/>
      <c r="I29" s="1"/>
      <c r="J29" s="1"/>
      <c r="K29" s="1"/>
      <c r="L29" s="1"/>
      <c r="M29" s="1"/>
      <c r="N29" s="1"/>
      <c r="O29" s="1"/>
      <c r="P29" s="1"/>
      <c r="Q29" s="1"/>
      <c r="R29" s="1"/>
      <c r="S29" s="1"/>
      <c r="T29" s="1"/>
      <c r="U29" s="1"/>
      <c r="V29" s="1"/>
      <c r="W29" s="1"/>
      <c r="X29" s="1"/>
      <c r="Y29" s="1"/>
      <c r="Z29" s="1"/>
    </row>
    <row r="30" spans="1:26" ht="15.75" customHeight="1">
      <c r="A30" s="1010"/>
      <c r="B30" s="30" t="s">
        <v>745</v>
      </c>
      <c r="C30" s="23">
        <v>0.1</v>
      </c>
      <c r="D30" s="23">
        <v>4</v>
      </c>
      <c r="E30" s="23">
        <f t="shared" si="1"/>
        <v>0.4</v>
      </c>
      <c r="F30" s="1"/>
      <c r="G30" s="1"/>
      <c r="H30" s="1"/>
      <c r="I30" s="1"/>
      <c r="J30" s="1"/>
      <c r="K30" s="1"/>
      <c r="L30" s="1"/>
      <c r="M30" s="1"/>
      <c r="N30" s="1"/>
      <c r="O30" s="1"/>
      <c r="P30" s="1"/>
      <c r="Q30" s="1"/>
      <c r="R30" s="1"/>
      <c r="S30" s="1"/>
      <c r="T30" s="1"/>
      <c r="U30" s="1"/>
      <c r="V30" s="1"/>
      <c r="W30" s="1"/>
      <c r="X30" s="1"/>
      <c r="Y30" s="1"/>
      <c r="Z30" s="1"/>
    </row>
    <row r="31" spans="1:26" ht="15.75" customHeight="1">
      <c r="A31" s="1011" t="s">
        <v>117</v>
      </c>
      <c r="B31" s="21" t="s">
        <v>746</v>
      </c>
      <c r="C31" s="22">
        <v>0.12</v>
      </c>
      <c r="D31" s="23">
        <v>2</v>
      </c>
      <c r="E31" s="23">
        <f t="shared" si="1"/>
        <v>0.24</v>
      </c>
      <c r="F31" s="1"/>
      <c r="G31" s="1"/>
      <c r="H31" s="1"/>
      <c r="I31" s="1"/>
      <c r="J31" s="1"/>
      <c r="K31" s="1"/>
      <c r="L31" s="1"/>
      <c r="M31" s="1"/>
      <c r="N31" s="1"/>
      <c r="O31" s="1"/>
      <c r="P31" s="1"/>
      <c r="Q31" s="1"/>
      <c r="R31" s="1"/>
      <c r="S31" s="1"/>
      <c r="T31" s="1"/>
      <c r="U31" s="1"/>
      <c r="V31" s="1"/>
      <c r="W31" s="1"/>
      <c r="X31" s="1"/>
      <c r="Y31" s="1"/>
      <c r="Z31" s="1"/>
    </row>
    <row r="32" spans="1:26" ht="15.75" customHeight="1">
      <c r="A32" s="1011"/>
      <c r="B32" s="27" t="s">
        <v>747</v>
      </c>
      <c r="C32" s="22">
        <v>0.15</v>
      </c>
      <c r="D32" s="23">
        <v>2</v>
      </c>
      <c r="E32" s="23">
        <f t="shared" si="1"/>
        <v>0.3</v>
      </c>
      <c r="F32" s="1"/>
      <c r="G32" s="1"/>
      <c r="H32" s="1"/>
      <c r="I32" s="1"/>
      <c r="J32" s="1"/>
      <c r="K32" s="1"/>
      <c r="L32" s="1"/>
      <c r="M32" s="1"/>
      <c r="N32" s="1"/>
      <c r="O32" s="1"/>
      <c r="P32" s="1"/>
      <c r="Q32" s="1"/>
      <c r="R32" s="1"/>
      <c r="S32" s="1"/>
      <c r="T32" s="1"/>
      <c r="U32" s="1"/>
      <c r="V32" s="1"/>
      <c r="W32" s="1"/>
      <c r="X32" s="1"/>
      <c r="Y32" s="1"/>
      <c r="Z32" s="1"/>
    </row>
    <row r="33" spans="1:26" ht="15.75" customHeight="1">
      <c r="A33" s="1011"/>
      <c r="B33" s="27" t="s">
        <v>748</v>
      </c>
      <c r="C33" s="22">
        <v>0.05</v>
      </c>
      <c r="D33" s="23">
        <v>1</v>
      </c>
      <c r="E33" s="23">
        <f t="shared" si="1"/>
        <v>0.05</v>
      </c>
      <c r="F33" s="1"/>
      <c r="G33" s="1"/>
      <c r="H33" s="1"/>
      <c r="I33" s="1"/>
      <c r="J33" s="1"/>
      <c r="K33" s="1"/>
      <c r="L33" s="1"/>
      <c r="M33" s="1"/>
      <c r="N33" s="1"/>
      <c r="O33" s="1"/>
      <c r="P33" s="1"/>
      <c r="Q33" s="1"/>
      <c r="R33" s="1"/>
      <c r="S33" s="1"/>
      <c r="T33" s="1"/>
      <c r="U33" s="1"/>
      <c r="V33" s="1"/>
      <c r="W33" s="1"/>
      <c r="X33" s="1"/>
      <c r="Y33" s="1"/>
      <c r="Z33" s="1"/>
    </row>
    <row r="34" spans="1:26" ht="15.75" customHeight="1">
      <c r="A34" s="1011"/>
      <c r="B34" s="27" t="s">
        <v>749</v>
      </c>
      <c r="C34" s="22">
        <v>0.05</v>
      </c>
      <c r="D34" s="23">
        <v>1</v>
      </c>
      <c r="E34" s="23">
        <f t="shared" si="1"/>
        <v>0.05</v>
      </c>
      <c r="F34" s="1"/>
      <c r="G34" s="1"/>
      <c r="H34" s="1"/>
      <c r="I34" s="1"/>
      <c r="J34" s="1"/>
      <c r="K34" s="1"/>
      <c r="L34" s="1"/>
      <c r="M34" s="1"/>
      <c r="N34" s="1"/>
      <c r="O34" s="1"/>
      <c r="P34" s="1"/>
      <c r="Q34" s="1"/>
      <c r="R34" s="1"/>
      <c r="S34" s="1"/>
      <c r="T34" s="1"/>
      <c r="U34" s="1"/>
      <c r="V34" s="1"/>
      <c r="W34" s="1"/>
      <c r="X34" s="1"/>
      <c r="Y34" s="1"/>
      <c r="Z34" s="1"/>
    </row>
    <row r="35" spans="1:26" ht="15.75" customHeight="1">
      <c r="A35" s="1011"/>
      <c r="B35" s="27" t="s">
        <v>750</v>
      </c>
      <c r="C35" s="22">
        <v>0.09</v>
      </c>
      <c r="D35" s="23">
        <v>2</v>
      </c>
      <c r="E35" s="23">
        <f t="shared" si="1"/>
        <v>0.18</v>
      </c>
      <c r="F35" s="1"/>
      <c r="G35" s="1"/>
      <c r="H35" s="1"/>
      <c r="I35" s="1"/>
      <c r="J35" s="1"/>
      <c r="K35" s="1"/>
      <c r="L35" s="1"/>
      <c r="M35" s="1"/>
      <c r="N35" s="1"/>
      <c r="O35" s="1"/>
      <c r="P35" s="1"/>
      <c r="Q35" s="1"/>
      <c r="R35" s="1"/>
      <c r="S35" s="1"/>
      <c r="T35" s="1"/>
      <c r="U35" s="1"/>
      <c r="V35" s="1"/>
      <c r="W35" s="1"/>
      <c r="X35" s="1"/>
      <c r="Y35" s="1"/>
      <c r="Z35" s="1"/>
    </row>
    <row r="36" spans="1:26" ht="15.75" customHeight="1">
      <c r="A36" s="31"/>
      <c r="B36" s="1"/>
      <c r="C36" s="39">
        <f>C26+C27+C28+C29+C30+C31+C32+C33+C34+C35</f>
        <v>1</v>
      </c>
      <c r="D36" s="31"/>
      <c r="E36" s="40">
        <f>SUM(E26:E35)</f>
        <v>2.8799999999999994</v>
      </c>
      <c r="F36" s="1"/>
      <c r="G36" s="1"/>
      <c r="H36" s="1"/>
      <c r="I36" s="1"/>
      <c r="J36" s="1"/>
      <c r="K36" s="1"/>
      <c r="L36" s="1"/>
      <c r="M36" s="1"/>
      <c r="N36" s="1"/>
      <c r="O36" s="1"/>
      <c r="P36" s="1"/>
      <c r="Q36" s="1"/>
      <c r="R36" s="1"/>
      <c r="S36" s="1"/>
      <c r="T36" s="1"/>
      <c r="U36" s="1"/>
      <c r="V36" s="1"/>
      <c r="W36" s="1"/>
      <c r="X36" s="1"/>
      <c r="Y36" s="1"/>
      <c r="Z36" s="1"/>
    </row>
    <row r="37" spans="1:26" ht="15.75" customHeight="1">
      <c r="A37" s="28"/>
      <c r="B37" s="1"/>
      <c r="C37" s="41"/>
      <c r="D37" s="28"/>
      <c r="E37" s="28"/>
      <c r="F37" s="1"/>
      <c r="G37" s="1"/>
      <c r="H37" s="1"/>
      <c r="I37" s="1"/>
      <c r="J37" s="1"/>
      <c r="K37" s="1"/>
      <c r="L37" s="1"/>
      <c r="M37" s="1"/>
      <c r="N37" s="1"/>
      <c r="O37" s="1"/>
      <c r="P37" s="1"/>
      <c r="Q37" s="1"/>
      <c r="R37" s="1"/>
      <c r="S37" s="1"/>
      <c r="T37" s="1"/>
      <c r="U37" s="1"/>
      <c r="V37" s="1"/>
      <c r="W37" s="1"/>
      <c r="X37" s="1"/>
      <c r="Y37" s="1"/>
      <c r="Z37" s="1"/>
    </row>
    <row r="38" spans="1:26" ht="15.75" customHeight="1">
      <c r="A38" s="16"/>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006"/>
      <c r="B42" s="1006"/>
      <c r="C42" s="1006"/>
      <c r="D42" s="1006"/>
      <c r="E42" s="1006"/>
      <c r="F42" s="1006"/>
      <c r="G42" s="1006"/>
      <c r="H42" s="1"/>
      <c r="I42" s="1"/>
      <c r="J42" s="1"/>
      <c r="K42" s="1"/>
      <c r="L42" s="1"/>
      <c r="M42" s="1"/>
      <c r="N42" s="1"/>
      <c r="O42" s="1"/>
      <c r="P42" s="1"/>
      <c r="Q42" s="1"/>
      <c r="R42" s="1"/>
      <c r="S42" s="1"/>
      <c r="T42" s="1"/>
      <c r="U42" s="1"/>
      <c r="V42" s="1"/>
      <c r="W42" s="1"/>
      <c r="X42" s="1"/>
      <c r="Y42" s="1"/>
      <c r="Z42" s="1"/>
    </row>
    <row r="43" spans="1:26" ht="15.75" customHeight="1">
      <c r="A43" s="579"/>
      <c r="B43" s="579"/>
      <c r="C43" s="579"/>
      <c r="D43" s="579"/>
      <c r="E43" s="579"/>
      <c r="F43" s="579"/>
      <c r="G43" s="579"/>
      <c r="H43" s="1"/>
      <c r="I43" s="1"/>
      <c r="J43" s="1"/>
      <c r="K43" s="1"/>
      <c r="L43" s="1"/>
      <c r="M43" s="1"/>
      <c r="N43" s="1"/>
      <c r="O43" s="1"/>
      <c r="P43" s="1"/>
      <c r="Q43" s="1"/>
      <c r="R43" s="1"/>
      <c r="S43" s="1"/>
      <c r="T43" s="1"/>
      <c r="U43" s="1"/>
      <c r="V43" s="1"/>
      <c r="W43" s="1"/>
      <c r="X43" s="1"/>
      <c r="Y43" s="1"/>
      <c r="Z43" s="1"/>
    </row>
    <row r="44" spans="1:26" ht="15.75" customHeight="1">
      <c r="A44" s="579"/>
      <c r="B44" s="579"/>
      <c r="C44" s="579"/>
      <c r="D44" s="579"/>
      <c r="E44" s="579"/>
      <c r="F44" s="579"/>
      <c r="G44" s="579"/>
      <c r="H44" s="1"/>
      <c r="I44" s="1"/>
      <c r="J44" s="1"/>
      <c r="K44" s="1"/>
      <c r="L44" s="1"/>
      <c r="M44" s="1"/>
      <c r="N44" s="1"/>
      <c r="O44" s="1"/>
      <c r="P44" s="1"/>
      <c r="Q44" s="1"/>
      <c r="R44" s="1"/>
      <c r="S44" s="1"/>
      <c r="T44" s="1"/>
      <c r="U44" s="1"/>
      <c r="V44" s="1"/>
      <c r="W44" s="1"/>
      <c r="X44" s="1"/>
      <c r="Y44" s="1"/>
      <c r="Z44" s="1"/>
    </row>
    <row r="45" spans="1:26" ht="15.75" customHeight="1">
      <c r="A45" s="579"/>
      <c r="B45" s="579"/>
      <c r="C45" s="579"/>
      <c r="D45" s="579"/>
      <c r="E45" s="579"/>
      <c r="F45" s="579"/>
      <c r="G45" s="579"/>
      <c r="H45" s="1"/>
      <c r="I45" s="1"/>
      <c r="J45" s="1"/>
      <c r="K45" s="1"/>
      <c r="L45" s="1"/>
      <c r="M45" s="1"/>
      <c r="N45" s="1"/>
      <c r="O45" s="1"/>
      <c r="P45" s="1"/>
      <c r="Q45" s="1"/>
      <c r="R45" s="1"/>
      <c r="S45" s="1"/>
      <c r="T45" s="1"/>
      <c r="U45" s="1"/>
      <c r="V45" s="1"/>
      <c r="W45" s="1"/>
      <c r="X45" s="1"/>
      <c r="Y45" s="1"/>
      <c r="Z45" s="1"/>
    </row>
    <row r="46" spans="1:26" ht="15.75" customHeight="1">
      <c r="A46" s="579"/>
      <c r="B46" s="579"/>
      <c r="C46" s="579"/>
      <c r="D46" s="579"/>
      <c r="E46" s="579"/>
      <c r="F46" s="579"/>
      <c r="G46" s="579"/>
      <c r="H46" s="1"/>
      <c r="I46" s="1"/>
      <c r="J46" s="1"/>
      <c r="K46" s="1"/>
      <c r="L46" s="1"/>
      <c r="M46" s="1"/>
      <c r="N46" s="1"/>
      <c r="O46" s="1"/>
      <c r="P46" s="1"/>
      <c r="Q46" s="1"/>
      <c r="R46" s="1"/>
      <c r="S46" s="1"/>
      <c r="T46" s="1"/>
      <c r="U46" s="1"/>
      <c r="V46" s="1"/>
      <c r="W46" s="1"/>
      <c r="X46" s="1"/>
      <c r="Y46" s="1"/>
      <c r="Z46" s="1"/>
    </row>
    <row r="47" spans="1:26" ht="15.75" customHeight="1">
      <c r="A47" s="579"/>
      <c r="B47" s="579"/>
      <c r="C47" s="579"/>
      <c r="D47" s="579"/>
      <c r="E47" s="579"/>
      <c r="F47" s="579"/>
      <c r="G47" s="579"/>
      <c r="H47" s="1"/>
      <c r="I47" s="1"/>
      <c r="J47" s="1"/>
      <c r="K47" s="1"/>
      <c r="L47" s="1"/>
      <c r="M47" s="1"/>
      <c r="N47" s="1"/>
      <c r="O47" s="1"/>
      <c r="P47" s="1"/>
      <c r="Q47" s="1"/>
      <c r="R47" s="1"/>
      <c r="S47" s="1"/>
      <c r="T47" s="1"/>
      <c r="U47" s="1"/>
      <c r="V47" s="1"/>
      <c r="W47" s="1"/>
      <c r="X47" s="1"/>
      <c r="Y47" s="1"/>
      <c r="Z47" s="1"/>
    </row>
    <row r="48" spans="1:26" ht="15.75" customHeight="1">
      <c r="A48" s="579"/>
      <c r="B48" s="579"/>
      <c r="C48" s="579"/>
      <c r="D48" s="579"/>
      <c r="E48" s="579"/>
      <c r="F48" s="579"/>
      <c r="G48" s="579"/>
      <c r="H48" s="1"/>
      <c r="I48" s="1"/>
      <c r="J48" s="1"/>
      <c r="K48" s="1"/>
      <c r="L48" s="1"/>
      <c r="M48" s="1"/>
      <c r="N48" s="1"/>
      <c r="O48" s="1"/>
      <c r="P48" s="1"/>
      <c r="Q48" s="1"/>
      <c r="R48" s="1"/>
      <c r="S48" s="1"/>
      <c r="T48" s="1"/>
      <c r="U48" s="1"/>
      <c r="V48" s="1"/>
      <c r="W48" s="1"/>
      <c r="X48" s="1"/>
      <c r="Y48" s="1"/>
      <c r="Z48" s="1"/>
    </row>
    <row r="49" spans="1:26" ht="15.75" customHeight="1">
      <c r="A49" s="579"/>
      <c r="B49" s="579"/>
      <c r="C49" s="579"/>
      <c r="D49" s="579"/>
      <c r="E49" s="579"/>
      <c r="F49" s="579"/>
      <c r="G49" s="579"/>
      <c r="H49" s="1"/>
      <c r="I49" s="1"/>
      <c r="J49" s="1"/>
      <c r="K49" s="1"/>
      <c r="L49" s="1"/>
      <c r="M49" s="1"/>
      <c r="N49" s="1"/>
      <c r="O49" s="1"/>
      <c r="P49" s="1"/>
      <c r="Q49" s="1"/>
      <c r="R49" s="1"/>
      <c r="S49" s="1"/>
      <c r="T49" s="1"/>
      <c r="U49" s="1"/>
      <c r="V49" s="1"/>
      <c r="W49" s="1"/>
      <c r="X49" s="1"/>
      <c r="Y49" s="1"/>
      <c r="Z49" s="1"/>
    </row>
    <row r="50" spans="1:26" ht="15.75" customHeight="1">
      <c r="A50" s="579"/>
      <c r="B50" s="579"/>
      <c r="C50" s="579"/>
      <c r="D50" s="579"/>
      <c r="E50" s="579"/>
      <c r="F50" s="579"/>
      <c r="G50" s="579"/>
      <c r="H50" s="1"/>
      <c r="I50" s="1"/>
      <c r="J50" s="1"/>
      <c r="K50" s="1"/>
      <c r="L50" s="1"/>
      <c r="M50" s="1"/>
      <c r="N50" s="1"/>
      <c r="O50" s="1"/>
      <c r="P50" s="1"/>
      <c r="Q50" s="1"/>
      <c r="R50" s="1"/>
      <c r="S50" s="1"/>
      <c r="T50" s="1"/>
      <c r="U50" s="1"/>
      <c r="V50" s="1"/>
      <c r="W50" s="1"/>
      <c r="X50" s="1"/>
      <c r="Y50" s="1"/>
      <c r="Z50" s="1"/>
    </row>
    <row r="51" spans="1:26" ht="26.25" customHeight="1">
      <c r="A51" s="579"/>
      <c r="B51" s="579"/>
      <c r="C51" s="579"/>
      <c r="D51" s="579"/>
      <c r="E51" s="579"/>
      <c r="F51" s="579"/>
      <c r="G51" s="579"/>
      <c r="H51" s="1"/>
      <c r="I51" s="1"/>
      <c r="J51" s="1"/>
      <c r="K51" s="1"/>
      <c r="L51" s="1"/>
      <c r="M51" s="1"/>
      <c r="N51" s="1"/>
      <c r="O51" s="1"/>
      <c r="P51" s="1"/>
      <c r="Q51" s="1"/>
      <c r="R51" s="1"/>
      <c r="S51" s="1"/>
      <c r="T51" s="1"/>
      <c r="U51" s="1"/>
      <c r="V51" s="1"/>
      <c r="W51" s="1"/>
      <c r="X51" s="1"/>
      <c r="Y51" s="1"/>
      <c r="Z51" s="1"/>
    </row>
    <row r="52" spans="1:26" ht="15.75" customHeight="1">
      <c r="A52" s="579"/>
      <c r="B52" s="579"/>
      <c r="C52" s="579"/>
      <c r="D52" s="579"/>
      <c r="E52" s="579"/>
      <c r="F52" s="579"/>
      <c r="G52" s="579"/>
      <c r="H52" s="1"/>
      <c r="I52" s="1"/>
      <c r="J52" s="1"/>
      <c r="K52" s="1"/>
      <c r="L52" s="1"/>
      <c r="M52" s="1"/>
      <c r="N52" s="1"/>
      <c r="O52" s="1"/>
      <c r="P52" s="1"/>
      <c r="Q52" s="1"/>
      <c r="R52" s="1"/>
      <c r="S52" s="1"/>
      <c r="T52" s="1"/>
      <c r="U52" s="1"/>
      <c r="V52" s="1"/>
      <c r="W52" s="1"/>
      <c r="X52" s="1"/>
      <c r="Y52" s="1"/>
      <c r="Z52" s="1"/>
    </row>
    <row r="53" spans="1:26" ht="15.75" customHeight="1">
      <c r="A53" s="579"/>
      <c r="B53" s="579"/>
      <c r="C53" s="579"/>
      <c r="D53" s="579"/>
      <c r="E53" s="579"/>
      <c r="F53" s="579"/>
      <c r="G53" s="579"/>
      <c r="H53" s="1"/>
      <c r="I53" s="1"/>
      <c r="J53" s="1"/>
      <c r="K53" s="1"/>
      <c r="L53" s="1"/>
      <c r="M53" s="1"/>
      <c r="N53" s="1"/>
      <c r="O53" s="1"/>
      <c r="P53" s="1"/>
      <c r="Q53" s="1"/>
      <c r="R53" s="1"/>
      <c r="S53" s="1"/>
      <c r="T53" s="1"/>
      <c r="U53" s="1"/>
      <c r="V53" s="1"/>
      <c r="W53" s="1"/>
      <c r="X53" s="1"/>
      <c r="Y53" s="1"/>
      <c r="Z53" s="1"/>
    </row>
    <row r="54" spans="1:26" ht="15.75" customHeight="1">
      <c r="A54" s="579"/>
      <c r="B54" s="579"/>
      <c r="C54" s="579"/>
      <c r="D54" s="579"/>
      <c r="E54" s="579"/>
      <c r="F54" s="579"/>
      <c r="G54" s="579"/>
      <c r="H54" s="1"/>
      <c r="I54" s="1"/>
      <c r="J54" s="1"/>
      <c r="K54" s="1"/>
      <c r="L54" s="1"/>
      <c r="M54" s="1"/>
      <c r="N54" s="1"/>
      <c r="O54" s="1"/>
      <c r="P54" s="1"/>
      <c r="Q54" s="1"/>
      <c r="R54" s="1"/>
      <c r="S54" s="1"/>
      <c r="T54" s="1"/>
      <c r="U54" s="1"/>
      <c r="V54" s="1"/>
      <c r="W54" s="1"/>
      <c r="X54" s="1"/>
      <c r="Y54" s="1"/>
      <c r="Z54" s="1"/>
    </row>
    <row r="55" spans="1:26" ht="27" customHeight="1">
      <c r="A55" s="579"/>
      <c r="B55" s="579"/>
      <c r="C55" s="579"/>
      <c r="D55" s="579"/>
      <c r="E55" s="579"/>
      <c r="F55" s="579"/>
      <c r="G55" s="579"/>
      <c r="H55" s="1"/>
      <c r="I55" s="1"/>
      <c r="J55" s="1"/>
      <c r="K55" s="1"/>
      <c r="L55" s="1"/>
      <c r="M55" s="1"/>
      <c r="N55" s="1"/>
      <c r="O55" s="1"/>
      <c r="P55" s="1"/>
      <c r="Q55" s="1"/>
      <c r="R55" s="1"/>
      <c r="S55" s="1"/>
      <c r="T55" s="1"/>
      <c r="U55" s="1"/>
      <c r="V55" s="1"/>
      <c r="W55" s="1"/>
      <c r="X55" s="1"/>
      <c r="Y55" s="1"/>
      <c r="Z55" s="1"/>
    </row>
    <row r="56" spans="1:26" ht="15.75" customHeight="1">
      <c r="A56" s="579"/>
      <c r="B56" s="579"/>
      <c r="C56" s="579"/>
      <c r="D56" s="579"/>
      <c r="E56" s="579"/>
      <c r="F56" s="579"/>
      <c r="G56" s="579"/>
      <c r="H56" s="1"/>
      <c r="I56" s="1"/>
      <c r="J56" s="1"/>
      <c r="K56" s="1"/>
      <c r="L56" s="1"/>
      <c r="M56" s="1"/>
      <c r="N56" s="1"/>
      <c r="O56" s="1"/>
      <c r="P56" s="1"/>
      <c r="Q56" s="1"/>
      <c r="R56" s="1"/>
      <c r="S56" s="1"/>
      <c r="T56" s="1"/>
      <c r="U56" s="1"/>
      <c r="V56" s="1"/>
      <c r="W56" s="1"/>
      <c r="X56" s="1"/>
      <c r="Y56" s="1"/>
      <c r="Z56" s="1"/>
    </row>
    <row r="57" spans="1:26" ht="15.75" customHeight="1">
      <c r="A57" s="579"/>
      <c r="B57" s="579"/>
      <c r="C57" s="579"/>
      <c r="D57" s="579"/>
      <c r="E57" s="579"/>
      <c r="F57" s="579"/>
      <c r="G57" s="579"/>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7">
    <mergeCell ref="A42:G42"/>
    <mergeCell ref="A25:B25"/>
    <mergeCell ref="A26:A30"/>
    <mergeCell ref="A31:A35"/>
    <mergeCell ref="A3:B3"/>
    <mergeCell ref="A4:A8"/>
    <mergeCell ref="A9:A13"/>
  </mergeCells>
  <hyperlinks>
    <hyperlink ref="B20" r:id="rId1" xr:uid="{00000000-0004-0000-0100-000000000000}"/>
  </hyperlinks>
  <pageMargins left="0.7" right="0.7" top="0.75" bottom="0.75" header="0" footer="0"/>
  <pageSetup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5"/>
  <sheetViews>
    <sheetView topLeftCell="A91" zoomScale="68" zoomScaleNormal="68" workbookViewId="0">
      <selection activeCell="K20" sqref="K20"/>
    </sheetView>
  </sheetViews>
  <sheetFormatPr baseColWidth="10" defaultColWidth="14.42578125" defaultRowHeight="15" customHeight="1"/>
  <cols>
    <col min="2" max="2" width="28.85546875" customWidth="1"/>
    <col min="3" max="3" width="32.5703125" customWidth="1"/>
    <col min="4" max="4" width="29.5703125" customWidth="1"/>
    <col min="5" max="5" width="25" customWidth="1"/>
    <col min="6" max="6" width="31.140625" customWidth="1"/>
    <col min="7" max="7" width="29.28515625" customWidth="1"/>
    <col min="8" max="8" width="22.42578125" customWidth="1"/>
    <col min="9" max="9" width="21.5703125" customWidth="1"/>
    <col min="10" max="10" width="19.28515625" customWidth="1"/>
    <col min="11" max="11" width="19.7109375" customWidth="1"/>
    <col min="12" max="12" width="17.7109375" customWidth="1"/>
    <col min="13" max="13" width="18.42578125" customWidth="1"/>
    <col min="14" max="14" width="19.140625" customWidth="1"/>
    <col min="15" max="15" width="17.42578125" customWidth="1"/>
    <col min="16" max="16" width="18.42578125" customWidth="1"/>
    <col min="17" max="17" width="17" customWidth="1"/>
  </cols>
  <sheetData>
    <row r="1" spans="1:26" ht="31.5" customHeight="1">
      <c r="A1" s="1"/>
      <c r="B1" s="1360" t="s">
        <v>118</v>
      </c>
      <c r="C1" s="1360"/>
      <c r="D1" s="1360"/>
      <c r="E1" s="1360"/>
      <c r="F1" s="1360"/>
      <c r="G1" s="1360"/>
      <c r="H1" s="1361"/>
      <c r="I1" s="1"/>
      <c r="J1" s="1"/>
      <c r="K1" s="1"/>
      <c r="L1" s="1"/>
      <c r="M1" s="1"/>
      <c r="N1" s="1"/>
      <c r="O1" s="1"/>
      <c r="P1" s="1"/>
      <c r="Q1" s="1"/>
      <c r="R1" s="1"/>
      <c r="S1" s="1"/>
      <c r="T1" s="1"/>
      <c r="U1" s="1"/>
      <c r="V1" s="1"/>
      <c r="W1" s="1"/>
      <c r="X1" s="1"/>
      <c r="Y1" s="1"/>
      <c r="Z1" s="1"/>
    </row>
    <row r="2" spans="1:26" ht="23.25">
      <c r="A2" s="1"/>
      <c r="B2" s="1046" t="s">
        <v>755</v>
      </c>
      <c r="C2" s="1047"/>
      <c r="D2" s="1047"/>
      <c r="E2" s="1047"/>
      <c r="F2" s="1047"/>
      <c r="G2" s="1047"/>
      <c r="H2" s="1048"/>
      <c r="I2" s="579"/>
      <c r="J2" s="1"/>
      <c r="K2" s="1"/>
      <c r="L2" s="1"/>
      <c r="M2" s="1"/>
      <c r="N2" s="1"/>
      <c r="O2" s="1"/>
      <c r="P2" s="1"/>
      <c r="Q2" s="1"/>
      <c r="R2" s="1"/>
      <c r="S2" s="1"/>
      <c r="T2" s="1"/>
      <c r="U2" s="1"/>
      <c r="V2" s="1"/>
      <c r="W2" s="1"/>
      <c r="X2" s="1"/>
      <c r="Y2" s="1"/>
      <c r="Z2" s="1"/>
    </row>
    <row r="3" spans="1:26" ht="23.25">
      <c r="A3" s="1"/>
      <c r="B3" s="920" t="s">
        <v>119</v>
      </c>
      <c r="C3" s="920"/>
      <c r="D3" s="920"/>
      <c r="E3" s="920"/>
      <c r="F3" s="920"/>
      <c r="G3" s="921">
        <v>33035304</v>
      </c>
      <c r="H3" s="633"/>
      <c r="I3" s="44"/>
      <c r="J3" s="1"/>
      <c r="K3" s="1"/>
      <c r="L3" s="1"/>
      <c r="M3" s="1"/>
      <c r="N3" s="1"/>
      <c r="O3" s="1"/>
      <c r="P3" s="1"/>
      <c r="Q3" s="1"/>
      <c r="R3" s="1"/>
      <c r="S3" s="1"/>
      <c r="T3" s="1"/>
      <c r="U3" s="1"/>
      <c r="V3" s="1"/>
      <c r="W3" s="1"/>
      <c r="X3" s="1"/>
      <c r="Y3" s="1"/>
      <c r="Z3" s="1"/>
    </row>
    <row r="4" spans="1:26" ht="23.25">
      <c r="A4" s="1"/>
      <c r="B4" s="1069" t="s">
        <v>751</v>
      </c>
      <c r="C4" s="1070"/>
      <c r="D4" s="42"/>
      <c r="E4" s="42"/>
      <c r="F4" s="1051" t="s">
        <v>752</v>
      </c>
      <c r="G4" s="43">
        <v>10004141</v>
      </c>
      <c r="H4" s="1"/>
      <c r="I4" s="44"/>
      <c r="J4" s="1"/>
      <c r="K4" s="1"/>
      <c r="L4" s="1"/>
      <c r="M4" s="1"/>
      <c r="N4" s="1"/>
      <c r="O4" s="1"/>
      <c r="P4" s="1"/>
      <c r="Q4" s="1"/>
      <c r="R4" s="1"/>
      <c r="S4" s="1"/>
      <c r="T4" s="1"/>
      <c r="U4" s="1"/>
      <c r="V4" s="1"/>
      <c r="W4" s="1"/>
      <c r="X4" s="1"/>
      <c r="Y4" s="1"/>
      <c r="Z4" s="1"/>
    </row>
    <row r="5" spans="1:26" ht="23.25">
      <c r="A5" s="1"/>
      <c r="B5" s="42" t="s">
        <v>120</v>
      </c>
      <c r="C5" s="42"/>
      <c r="D5" s="45" t="s">
        <v>121</v>
      </c>
      <c r="E5" s="45" t="s">
        <v>121</v>
      </c>
      <c r="F5" s="1052"/>
      <c r="G5" s="43">
        <v>2210915.1609999998</v>
      </c>
      <c r="H5" s="1"/>
      <c r="I5" s="44"/>
      <c r="J5" s="1"/>
      <c r="K5" s="1"/>
      <c r="L5" s="1"/>
      <c r="M5" s="1"/>
      <c r="N5" s="1"/>
      <c r="O5" s="1"/>
      <c r="P5" s="1"/>
      <c r="Q5" s="1"/>
      <c r="R5" s="1"/>
      <c r="S5" s="1"/>
      <c r="T5" s="1"/>
      <c r="U5" s="1"/>
      <c r="V5" s="1"/>
      <c r="W5" s="1"/>
      <c r="X5" s="1"/>
      <c r="Y5" s="1"/>
      <c r="Z5" s="1"/>
    </row>
    <row r="6" spans="1:26" ht="23.25">
      <c r="A6" s="1"/>
      <c r="B6" s="42" t="s">
        <v>122</v>
      </c>
      <c r="C6" s="45"/>
      <c r="D6" s="45" t="s">
        <v>123</v>
      </c>
      <c r="E6" s="45" t="s">
        <v>124</v>
      </c>
      <c r="F6" s="46"/>
      <c r="G6" s="45"/>
      <c r="H6" s="47"/>
      <c r="I6" s="44"/>
      <c r="J6" s="1"/>
      <c r="K6" s="1"/>
      <c r="L6" s="1"/>
      <c r="M6" s="1"/>
      <c r="N6" s="1"/>
      <c r="O6" s="1"/>
      <c r="P6" s="1"/>
      <c r="Q6" s="1"/>
      <c r="R6" s="1"/>
      <c r="S6" s="1"/>
      <c r="T6" s="1"/>
      <c r="U6" s="1"/>
      <c r="V6" s="1"/>
      <c r="W6" s="1"/>
      <c r="X6" s="1"/>
      <c r="Y6" s="1"/>
      <c r="Z6" s="1"/>
    </row>
    <row r="7" spans="1:26" ht="23.25">
      <c r="A7" s="1"/>
      <c r="B7" s="42"/>
      <c r="C7" s="45" t="s">
        <v>125</v>
      </c>
      <c r="D7" s="48">
        <v>689600</v>
      </c>
      <c r="E7" s="48">
        <f t="shared" ref="E7:E8" si="0">D7*69.1%</f>
        <v>476513.6</v>
      </c>
      <c r="F7" s="48">
        <f t="shared" ref="F7:F8" si="1">((E7*20.7%)*59.9%)*30.6%</f>
        <v>18079.811346268798</v>
      </c>
      <c r="G7" s="48">
        <f t="shared" ref="G7:G8" si="2">F7</f>
        <v>18079.811346268798</v>
      </c>
      <c r="H7" s="47"/>
      <c r="I7" s="44"/>
      <c r="J7" s="1"/>
      <c r="K7" s="1"/>
      <c r="L7" s="1"/>
      <c r="M7" s="1"/>
      <c r="N7" s="1"/>
      <c r="O7" s="1"/>
      <c r="P7" s="1"/>
      <c r="Q7" s="1"/>
      <c r="R7" s="1"/>
      <c r="S7" s="1"/>
      <c r="T7" s="1"/>
      <c r="U7" s="1"/>
      <c r="V7" s="1"/>
      <c r="W7" s="1"/>
      <c r="X7" s="1"/>
      <c r="Y7" s="1"/>
      <c r="Z7" s="1"/>
    </row>
    <row r="8" spans="1:26" ht="23.25">
      <c r="A8" s="1"/>
      <c r="B8" s="42"/>
      <c r="C8" s="45" t="s">
        <v>126</v>
      </c>
      <c r="D8" s="48">
        <v>606200</v>
      </c>
      <c r="E8" s="48">
        <f t="shared" si="0"/>
        <v>418884.19999999995</v>
      </c>
      <c r="F8" s="48">
        <f t="shared" si="1"/>
        <v>15893.244834843597</v>
      </c>
      <c r="G8" s="48">
        <f t="shared" si="2"/>
        <v>15893.244834843597</v>
      </c>
      <c r="H8" s="47"/>
      <c r="I8" s="44"/>
      <c r="J8" s="1"/>
      <c r="K8" s="1"/>
      <c r="L8" s="1"/>
      <c r="M8" s="1"/>
      <c r="N8" s="1"/>
      <c r="O8" s="1"/>
      <c r="P8" s="1"/>
      <c r="Q8" s="1"/>
      <c r="R8" s="1"/>
      <c r="S8" s="1"/>
      <c r="T8" s="1"/>
      <c r="U8" s="1"/>
      <c r="V8" s="1"/>
      <c r="W8" s="1"/>
      <c r="X8" s="1"/>
      <c r="Y8" s="1"/>
      <c r="Z8" s="1"/>
    </row>
    <row r="9" spans="1:26" ht="157.5" customHeight="1">
      <c r="A9" s="1"/>
      <c r="B9" s="1071" t="s">
        <v>753</v>
      </c>
      <c r="C9" s="1072"/>
      <c r="D9" s="1072"/>
      <c r="E9" s="1073"/>
      <c r="F9" s="49"/>
      <c r="G9" s="50">
        <f>G7+G8</f>
        <v>33973.056181112392</v>
      </c>
      <c r="H9" s="51" t="s">
        <v>127</v>
      </c>
      <c r="I9" s="1"/>
      <c r="J9" s="1"/>
      <c r="K9" s="1"/>
      <c r="L9" s="1"/>
      <c r="M9" s="1"/>
      <c r="N9" s="1"/>
      <c r="O9" s="1"/>
      <c r="P9" s="1"/>
      <c r="Q9" s="1"/>
      <c r="R9" s="1"/>
      <c r="S9" s="1"/>
      <c r="T9" s="1"/>
      <c r="U9" s="1"/>
      <c r="V9" s="1"/>
      <c r="W9" s="1"/>
      <c r="X9" s="1"/>
      <c r="Y9" s="1"/>
      <c r="Z9" s="1"/>
    </row>
    <row r="10" spans="1:26" ht="128.25" customHeight="1">
      <c r="A10" s="1"/>
      <c r="B10" s="1071" t="s">
        <v>754</v>
      </c>
      <c r="C10" s="1074"/>
      <c r="D10" s="1074"/>
      <c r="E10" s="1075"/>
      <c r="F10" s="52">
        <v>1.9E-2</v>
      </c>
      <c r="G10" s="53">
        <f>G9*F10</f>
        <v>645.4880674411354</v>
      </c>
      <c r="H10" s="54" t="s">
        <v>128</v>
      </c>
      <c r="I10" s="47"/>
      <c r="J10" s="1"/>
      <c r="K10" s="1"/>
      <c r="L10" s="1"/>
      <c r="M10" s="1"/>
      <c r="N10" s="1"/>
      <c r="O10" s="1"/>
      <c r="P10" s="1"/>
      <c r="Q10" s="1"/>
      <c r="R10" s="1"/>
      <c r="S10" s="1"/>
      <c r="T10" s="1"/>
      <c r="U10" s="1"/>
      <c r="V10" s="1"/>
      <c r="W10" s="1"/>
      <c r="X10" s="1"/>
      <c r="Y10" s="1"/>
      <c r="Z10" s="1"/>
    </row>
    <row r="11" spans="1:26" ht="15" customHeight="1">
      <c r="A11" s="1"/>
      <c r="B11" s="1"/>
      <c r="C11" s="1"/>
      <c r="D11" s="1"/>
      <c r="E11" s="1"/>
      <c r="F11" s="1076" t="s">
        <v>760</v>
      </c>
      <c r="G11" s="1"/>
      <c r="H11" s="1"/>
      <c r="I11" s="1"/>
      <c r="J11" s="1"/>
      <c r="K11" s="1"/>
      <c r="L11" s="1"/>
      <c r="M11" s="1"/>
      <c r="N11" s="1"/>
      <c r="O11" s="1"/>
      <c r="P11" s="1"/>
      <c r="Q11" s="1"/>
      <c r="R11" s="1"/>
      <c r="S11" s="1"/>
      <c r="T11" s="1"/>
      <c r="U11" s="1"/>
      <c r="V11" s="1"/>
      <c r="W11" s="1"/>
      <c r="X11" s="1"/>
      <c r="Y11" s="1"/>
      <c r="Z11" s="1"/>
    </row>
    <row r="12" spans="1:26" ht="15" customHeight="1">
      <c r="A12" s="1"/>
      <c r="B12" s="1" t="s">
        <v>129</v>
      </c>
      <c r="C12" s="1" t="s">
        <v>130</v>
      </c>
      <c r="D12" s="1"/>
      <c r="E12" s="1"/>
      <c r="F12" s="1077"/>
      <c r="G12" s="1"/>
      <c r="H12" s="1"/>
      <c r="I12" s="1"/>
      <c r="J12" s="1"/>
      <c r="K12" s="1"/>
      <c r="L12" s="1"/>
      <c r="M12" s="1"/>
      <c r="N12" s="1"/>
      <c r="O12" s="1"/>
      <c r="P12" s="1"/>
      <c r="Q12" s="1"/>
      <c r="R12" s="1"/>
      <c r="S12" s="1"/>
      <c r="T12" s="1"/>
      <c r="U12" s="1"/>
      <c r="V12" s="1"/>
      <c r="W12" s="1"/>
      <c r="X12" s="1"/>
      <c r="Y12" s="1"/>
      <c r="Z12" s="1"/>
    </row>
    <row r="13" spans="1:26" ht="15" customHeight="1">
      <c r="A13" s="1"/>
      <c r="B13" s="1"/>
      <c r="C13" s="1"/>
      <c r="D13" s="1"/>
      <c r="E13" s="1"/>
      <c r="F13" s="1077"/>
      <c r="G13" s="1"/>
      <c r="H13" s="1"/>
      <c r="I13" s="1"/>
      <c r="J13" s="1"/>
      <c r="K13" s="1"/>
      <c r="L13" s="1"/>
      <c r="M13" s="1"/>
      <c r="N13" s="1"/>
      <c r="O13" s="1"/>
      <c r="P13" s="1"/>
      <c r="Q13" s="1"/>
      <c r="R13" s="1"/>
      <c r="S13" s="1"/>
      <c r="T13" s="1"/>
      <c r="U13" s="1"/>
      <c r="V13" s="1"/>
      <c r="W13" s="1"/>
      <c r="X13" s="1"/>
      <c r="Y13" s="1"/>
      <c r="Z13" s="1"/>
    </row>
    <row r="14" spans="1:26" ht="23.25">
      <c r="A14" s="1"/>
      <c r="B14" s="922" t="s">
        <v>131</v>
      </c>
      <c r="C14" s="923" t="s">
        <v>132</v>
      </c>
      <c r="D14" s="924" t="s">
        <v>133</v>
      </c>
      <c r="E14" s="1"/>
      <c r="F14" s="1077"/>
      <c r="G14" s="1"/>
      <c r="H14" s="1"/>
      <c r="I14" s="1"/>
      <c r="J14" s="1"/>
      <c r="K14" s="1"/>
      <c r="L14" s="1"/>
      <c r="M14" s="1"/>
      <c r="N14" s="1"/>
      <c r="O14" s="1"/>
      <c r="P14" s="1"/>
      <c r="Q14" s="1"/>
      <c r="R14" s="1"/>
      <c r="S14" s="1"/>
      <c r="T14" s="1"/>
      <c r="U14" s="1"/>
      <c r="V14" s="1"/>
      <c r="W14" s="1"/>
      <c r="X14" s="1"/>
      <c r="Y14" s="1"/>
      <c r="Z14" s="1"/>
    </row>
    <row r="15" spans="1:26" ht="23.25">
      <c r="A15" s="1"/>
      <c r="B15" s="925" t="s">
        <v>134</v>
      </c>
      <c r="C15" s="56" t="s">
        <v>135</v>
      </c>
      <c r="D15" s="926" t="s">
        <v>135</v>
      </c>
      <c r="E15" s="1"/>
      <c r="F15" s="1077"/>
      <c r="G15" s="1"/>
      <c r="H15" s="1"/>
      <c r="I15" s="1"/>
      <c r="J15" s="1"/>
      <c r="K15" s="1"/>
      <c r="L15" s="1"/>
      <c r="M15" s="1"/>
      <c r="N15" s="1"/>
      <c r="O15" s="1"/>
      <c r="P15" s="1"/>
      <c r="Q15" s="1"/>
      <c r="R15" s="1"/>
      <c r="S15" s="1"/>
      <c r="T15" s="1"/>
      <c r="U15" s="1"/>
      <c r="V15" s="1"/>
      <c r="W15" s="1"/>
      <c r="X15" s="1"/>
      <c r="Y15" s="1"/>
      <c r="Z15" s="1"/>
    </row>
    <row r="16" spans="1:26" ht="18.95" customHeight="1">
      <c r="A16" s="1"/>
      <c r="B16" s="925" t="s">
        <v>136</v>
      </c>
      <c r="C16" s="57">
        <v>2304</v>
      </c>
      <c r="D16" s="927">
        <v>1344</v>
      </c>
      <c r="E16" s="1"/>
      <c r="F16" s="1077"/>
      <c r="G16" s="1"/>
      <c r="H16" s="1"/>
      <c r="I16" s="1"/>
      <c r="J16" s="1"/>
      <c r="K16" s="1"/>
      <c r="L16" s="1"/>
      <c r="M16" s="1"/>
      <c r="N16" s="1"/>
      <c r="O16" s="1"/>
      <c r="P16" s="1"/>
      <c r="Q16" s="1"/>
      <c r="R16" s="1"/>
      <c r="S16" s="1"/>
      <c r="T16" s="1"/>
      <c r="U16" s="1"/>
      <c r="V16" s="1"/>
      <c r="W16" s="1"/>
      <c r="X16" s="1"/>
      <c r="Y16" s="1"/>
      <c r="Z16" s="1"/>
    </row>
    <row r="17" spans="1:26" ht="18.95" customHeight="1">
      <c r="A17" s="1"/>
      <c r="B17" s="925" t="s">
        <v>137</v>
      </c>
      <c r="C17" s="57">
        <v>2000</v>
      </c>
      <c r="D17" s="928">
        <v>1300</v>
      </c>
      <c r="E17" s="1"/>
      <c r="F17" s="1077"/>
      <c r="G17" s="1"/>
      <c r="H17" s="1"/>
      <c r="I17" s="1"/>
      <c r="J17" s="1"/>
      <c r="K17" s="1"/>
      <c r="L17" s="1"/>
      <c r="M17" s="1"/>
      <c r="N17" s="1"/>
      <c r="O17" s="1"/>
      <c r="P17" s="1"/>
      <c r="Q17" s="1"/>
      <c r="R17" s="1"/>
      <c r="S17" s="1"/>
      <c r="T17" s="1"/>
      <c r="U17" s="1"/>
      <c r="V17" s="1"/>
      <c r="W17" s="1"/>
      <c r="X17" s="1"/>
      <c r="Y17" s="1"/>
      <c r="Z17" s="1"/>
    </row>
    <row r="18" spans="1:26" ht="18.95" customHeight="1">
      <c r="A18" s="1"/>
      <c r="B18" s="925" t="s">
        <v>138</v>
      </c>
      <c r="C18" s="57">
        <v>2090</v>
      </c>
      <c r="D18" s="928">
        <v>1500</v>
      </c>
      <c r="E18" s="1"/>
      <c r="F18" s="1077"/>
      <c r="G18" s="1"/>
      <c r="H18" s="1"/>
      <c r="I18" s="1"/>
      <c r="J18" s="1"/>
      <c r="K18" s="1"/>
      <c r="L18" s="1"/>
      <c r="M18" s="1"/>
      <c r="N18" s="1"/>
      <c r="O18" s="1"/>
      <c r="P18" s="1"/>
      <c r="Q18" s="1"/>
      <c r="R18" s="1"/>
      <c r="S18" s="1"/>
      <c r="T18" s="1"/>
      <c r="U18" s="1"/>
      <c r="V18" s="1"/>
      <c r="W18" s="1"/>
      <c r="X18" s="1"/>
      <c r="Y18" s="1"/>
      <c r="Z18" s="1"/>
    </row>
    <row r="19" spans="1:26" ht="18.95" customHeight="1">
      <c r="A19" s="1"/>
      <c r="B19" s="929" t="s">
        <v>139</v>
      </c>
      <c r="C19" s="930">
        <v>1800</v>
      </c>
      <c r="D19" s="931">
        <v>1100</v>
      </c>
      <c r="E19" s="1"/>
      <c r="F19" s="1077"/>
      <c r="G19" s="1"/>
      <c r="H19" s="1"/>
      <c r="I19" s="1"/>
      <c r="J19" s="1"/>
      <c r="K19" s="1"/>
      <c r="L19" s="1"/>
      <c r="M19" s="1"/>
      <c r="N19" s="1"/>
      <c r="O19" s="1"/>
      <c r="P19" s="1"/>
      <c r="Q19" s="1"/>
      <c r="R19" s="1"/>
      <c r="S19" s="1"/>
      <c r="T19" s="1"/>
      <c r="U19" s="1"/>
      <c r="V19" s="1"/>
      <c r="W19" s="1"/>
      <c r="X19" s="1"/>
      <c r="Y19" s="1"/>
      <c r="Z19" s="1"/>
    </row>
    <row r="20" spans="1:26" ht="58.5" customHeight="1">
      <c r="A20" s="1"/>
      <c r="B20" s="1366" t="s">
        <v>853</v>
      </c>
      <c r="C20" s="1367">
        <f t="shared" ref="C20:D20" si="3">AVERAGE(C15:C19)</f>
        <v>2048.5</v>
      </c>
      <c r="D20" s="1367">
        <f t="shared" si="3"/>
        <v>1311</v>
      </c>
      <c r="E20" s="1"/>
      <c r="F20" s="1077"/>
      <c r="G20" s="1"/>
      <c r="H20" s="1"/>
      <c r="I20" s="1"/>
      <c r="J20" s="1"/>
      <c r="K20" s="1"/>
      <c r="L20" s="1"/>
      <c r="M20" s="1"/>
      <c r="N20" s="1"/>
      <c r="O20" s="1"/>
      <c r="P20" s="1"/>
      <c r="Q20" s="1"/>
      <c r="R20" s="1"/>
      <c r="S20" s="1"/>
      <c r="T20" s="1"/>
      <c r="U20" s="1"/>
      <c r="V20" s="1"/>
      <c r="W20" s="1"/>
      <c r="X20" s="1"/>
      <c r="Y20" s="1"/>
      <c r="Z20" s="1"/>
    </row>
    <row r="21" spans="1:26" ht="18.95" customHeight="1">
      <c r="A21" s="1"/>
      <c r="B21" s="61" t="s">
        <v>140</v>
      </c>
      <c r="C21" s="62">
        <f>C20*0.7</f>
        <v>1433.9499999999998</v>
      </c>
      <c r="D21" s="62">
        <f>D20*0.7</f>
        <v>917.69999999999993</v>
      </c>
      <c r="E21" s="563"/>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564"/>
      <c r="F22" s="1"/>
      <c r="G22" s="1"/>
      <c r="H22" s="1"/>
      <c r="I22" s="1"/>
      <c r="J22" s="1"/>
      <c r="K22" s="1"/>
      <c r="L22" s="1"/>
      <c r="M22" s="1"/>
      <c r="N22" s="1"/>
      <c r="O22" s="1"/>
      <c r="P22" s="1"/>
      <c r="Q22" s="1"/>
      <c r="R22" s="1"/>
      <c r="S22" s="1"/>
      <c r="T22" s="1"/>
      <c r="U22" s="1"/>
      <c r="V22" s="1"/>
      <c r="W22" s="1"/>
      <c r="X22" s="1"/>
      <c r="Y22" s="1"/>
      <c r="Z22" s="1"/>
    </row>
    <row r="23" spans="1:26" ht="15.75" customHeight="1">
      <c r="A23" s="1"/>
      <c r="B23" s="63" t="s">
        <v>141</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36" customHeight="1">
      <c r="A26" s="1"/>
      <c r="B26" s="64" t="s">
        <v>142</v>
      </c>
      <c r="C26" s="64"/>
      <c r="D26" s="64"/>
      <c r="E26" s="1"/>
      <c r="F26" s="1"/>
      <c r="G26" s="1066" t="s">
        <v>814</v>
      </c>
      <c r="H26" s="1067"/>
      <c r="I26" s="1067"/>
      <c r="J26" s="1068"/>
      <c r="K26" s="1"/>
      <c r="L26" s="1"/>
      <c r="M26" s="1"/>
      <c r="N26" s="1"/>
      <c r="O26" s="1"/>
      <c r="P26" s="1"/>
      <c r="Q26" s="1"/>
      <c r="R26" s="1"/>
      <c r="S26" s="1"/>
      <c r="T26" s="1"/>
      <c r="U26" s="1"/>
      <c r="V26" s="1"/>
      <c r="W26" s="1"/>
      <c r="X26" s="1"/>
      <c r="Y26" s="1"/>
      <c r="Z26" s="1"/>
    </row>
    <row r="27" spans="1:26" ht="27.75" customHeight="1">
      <c r="A27" s="1"/>
      <c r="B27" s="65" t="s">
        <v>359</v>
      </c>
      <c r="C27" s="66" t="s">
        <v>181</v>
      </c>
      <c r="D27" s="66" t="s">
        <v>143</v>
      </c>
      <c r="E27" s="1"/>
      <c r="F27" s="1"/>
      <c r="G27" s="67">
        <v>0.44</v>
      </c>
      <c r="H27" s="68">
        <v>1</v>
      </c>
      <c r="I27" s="612">
        <f>B28*G27*H27</f>
        <v>284.01474967409956</v>
      </c>
      <c r="J27" s="612">
        <f>I27/12</f>
        <v>23.667895806174965</v>
      </c>
      <c r="K27" s="1"/>
      <c r="L27" s="1"/>
      <c r="M27" s="1"/>
      <c r="N27" s="1"/>
      <c r="O27" s="1"/>
      <c r="P27" s="1"/>
      <c r="Q27" s="1"/>
      <c r="R27" s="1"/>
      <c r="S27" s="1"/>
      <c r="T27" s="1"/>
      <c r="U27" s="1"/>
      <c r="V27" s="1"/>
      <c r="W27" s="1"/>
      <c r="X27" s="1"/>
      <c r="Y27" s="1"/>
      <c r="Z27" s="1"/>
    </row>
    <row r="28" spans="1:26" ht="24.75" customHeight="1">
      <c r="A28" s="1"/>
      <c r="B28" s="69">
        <f>G10</f>
        <v>645.4880674411354</v>
      </c>
      <c r="C28" s="69">
        <f>I30</f>
        <v>671.30759013878082</v>
      </c>
      <c r="D28" s="69">
        <f>C28/12</f>
        <v>55.942299178231735</v>
      </c>
      <c r="E28" s="1"/>
      <c r="F28" s="1"/>
      <c r="G28" s="67">
        <v>0.3</v>
      </c>
      <c r="H28" s="68">
        <v>2</v>
      </c>
      <c r="I28" s="612">
        <f>(B28*G28)*H28</f>
        <v>387.29284046468121</v>
      </c>
      <c r="J28" s="612">
        <f>I28/12</f>
        <v>32.274403372056767</v>
      </c>
      <c r="K28" s="1"/>
      <c r="L28" s="1"/>
      <c r="M28" s="1"/>
      <c r="N28" s="1"/>
      <c r="O28" s="1"/>
      <c r="P28" s="1"/>
      <c r="Q28" s="1"/>
      <c r="R28" s="1"/>
      <c r="S28" s="1"/>
      <c r="T28" s="1"/>
      <c r="U28" s="1"/>
      <c r="V28" s="1"/>
      <c r="W28" s="1"/>
      <c r="X28" s="1"/>
      <c r="Y28" s="1"/>
      <c r="Z28" s="1"/>
    </row>
    <row r="29" spans="1:26" ht="25.5" customHeight="1">
      <c r="A29" s="1"/>
      <c r="B29" s="1"/>
      <c r="C29" s="1"/>
      <c r="D29" s="1"/>
      <c r="E29" s="1"/>
      <c r="F29" s="1"/>
      <c r="G29" s="67">
        <v>0.26</v>
      </c>
      <c r="H29" s="68">
        <v>0</v>
      </c>
      <c r="I29" s="70">
        <v>0</v>
      </c>
      <c r="J29" s="1064" t="s">
        <v>766</v>
      </c>
      <c r="K29" s="1"/>
      <c r="L29" s="1"/>
      <c r="M29" s="1"/>
      <c r="N29" s="1"/>
      <c r="O29" s="1"/>
      <c r="P29" s="1"/>
      <c r="Q29" s="1"/>
      <c r="R29" s="1"/>
      <c r="S29" s="1"/>
      <c r="T29" s="1"/>
      <c r="U29" s="1"/>
      <c r="V29" s="1"/>
      <c r="W29" s="1"/>
      <c r="X29" s="1"/>
      <c r="Y29" s="1"/>
      <c r="Z29" s="1"/>
    </row>
    <row r="30" spans="1:26" ht="39.75" customHeight="1">
      <c r="A30" s="1"/>
      <c r="B30" s="1"/>
      <c r="C30" s="1"/>
      <c r="D30" s="1"/>
      <c r="E30" s="1"/>
      <c r="F30" s="1"/>
      <c r="G30" s="67">
        <v>1</v>
      </c>
      <c r="H30" s="71"/>
      <c r="I30" s="605">
        <f>I27+I28</f>
        <v>671.30759013878082</v>
      </c>
      <c r="J30" s="1065"/>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579"/>
      <c r="C34" s="1"/>
      <c r="D34" s="1"/>
      <c r="E34" s="1"/>
      <c r="F34" s="1"/>
      <c r="G34" s="1"/>
      <c r="H34" s="1"/>
      <c r="I34" s="1"/>
      <c r="J34" s="1"/>
      <c r="K34" s="1"/>
      <c r="L34" s="1"/>
      <c r="M34" s="1"/>
      <c r="N34" s="1"/>
      <c r="O34" s="1"/>
      <c r="P34" s="1"/>
      <c r="Q34" s="1"/>
      <c r="R34" s="1"/>
      <c r="S34" s="1"/>
      <c r="T34" s="1"/>
      <c r="U34" s="1"/>
      <c r="V34" s="1"/>
      <c r="W34" s="1"/>
      <c r="X34" s="1"/>
      <c r="Y34" s="1"/>
      <c r="Z34" s="1"/>
    </row>
    <row r="35" spans="1:26" ht="44.25" customHeight="1">
      <c r="A35" s="1"/>
      <c r="B35" s="72" t="s">
        <v>144</v>
      </c>
      <c r="C35" s="73" t="s">
        <v>145</v>
      </c>
      <c r="D35" s="73" t="s">
        <v>146</v>
      </c>
      <c r="E35" s="73" t="s">
        <v>147</v>
      </c>
      <c r="F35" s="73" t="s">
        <v>148</v>
      </c>
      <c r="G35" s="579"/>
      <c r="H35" s="1"/>
      <c r="I35" s="1"/>
      <c r="J35" s="1"/>
      <c r="K35" s="1"/>
      <c r="L35" s="1"/>
      <c r="M35" s="1"/>
      <c r="N35" s="1"/>
      <c r="O35" s="1"/>
      <c r="P35" s="1"/>
      <c r="Q35" s="1"/>
      <c r="R35" s="1"/>
      <c r="S35" s="1"/>
      <c r="T35" s="1"/>
      <c r="U35" s="1"/>
      <c r="V35" s="1"/>
      <c r="W35" s="1"/>
      <c r="X35" s="1"/>
      <c r="Y35" s="1"/>
      <c r="Z35" s="1"/>
    </row>
    <row r="36" spans="1:26" ht="27.75" customHeight="1">
      <c r="A36" s="1"/>
      <c r="B36" s="625">
        <f>B28</f>
        <v>645.4880674411354</v>
      </c>
      <c r="C36" s="621">
        <v>1.04</v>
      </c>
      <c r="D36" s="621">
        <f>D28</f>
        <v>55.942299178231735</v>
      </c>
      <c r="E36" s="74">
        <v>12</v>
      </c>
      <c r="F36" s="625">
        <f>D36*E36</f>
        <v>671.30759013878082</v>
      </c>
      <c r="G36" s="579"/>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579"/>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30" customHeight="1">
      <c r="A39" s="1"/>
      <c r="B39" s="1362" t="s">
        <v>149</v>
      </c>
      <c r="C39" s="1362"/>
      <c r="D39" s="1362"/>
      <c r="E39" s="1362"/>
      <c r="F39" s="1362"/>
      <c r="G39" s="1"/>
      <c r="H39" s="1"/>
      <c r="I39" s="1"/>
      <c r="J39" s="1"/>
      <c r="K39" s="1"/>
      <c r="L39" s="1"/>
      <c r="M39" s="1"/>
      <c r="N39" s="1"/>
      <c r="O39" s="1"/>
      <c r="P39" s="1"/>
      <c r="Q39" s="1"/>
      <c r="R39" s="1"/>
      <c r="S39" s="1"/>
      <c r="T39" s="1"/>
      <c r="U39" s="1"/>
      <c r="V39" s="1"/>
      <c r="W39" s="1"/>
      <c r="X39" s="1"/>
      <c r="Y39" s="1"/>
      <c r="Z39" s="1"/>
    </row>
    <row r="40" spans="1:26" ht="23.25">
      <c r="A40" s="1"/>
      <c r="B40" s="1046" t="s">
        <v>756</v>
      </c>
      <c r="C40" s="1055"/>
      <c r="D40" s="1055"/>
      <c r="E40" s="1055"/>
      <c r="F40" s="1056"/>
      <c r="G40" s="579"/>
      <c r="H40" s="579"/>
      <c r="I40" s="1"/>
      <c r="J40" s="1"/>
      <c r="K40" s="1"/>
      <c r="L40" s="1"/>
      <c r="M40" s="1"/>
      <c r="N40" s="1"/>
      <c r="O40" s="1"/>
      <c r="P40" s="1"/>
      <c r="Q40" s="1"/>
      <c r="R40" s="1"/>
      <c r="S40" s="1"/>
      <c r="T40" s="1"/>
      <c r="U40" s="1"/>
      <c r="V40" s="1"/>
      <c r="W40" s="1"/>
      <c r="X40" s="1"/>
      <c r="Y40" s="1"/>
      <c r="Z40" s="1"/>
    </row>
    <row r="41" spans="1:26" ht="23.25">
      <c r="A41" s="1"/>
      <c r="B41" s="1049" t="s">
        <v>751</v>
      </c>
      <c r="C41" s="1050"/>
      <c r="D41" s="920"/>
      <c r="E41" s="920"/>
      <c r="F41" s="921">
        <v>10004141</v>
      </c>
      <c r="G41" s="1"/>
      <c r="H41" s="44"/>
      <c r="I41" s="1"/>
      <c r="J41" s="1"/>
      <c r="K41" s="1"/>
      <c r="L41" s="1"/>
      <c r="M41" s="1"/>
      <c r="N41" s="1"/>
      <c r="O41" s="1"/>
      <c r="P41" s="1"/>
      <c r="Q41" s="1"/>
      <c r="R41" s="1"/>
      <c r="S41" s="1"/>
      <c r="T41" s="1"/>
      <c r="U41" s="1"/>
      <c r="V41" s="1"/>
      <c r="W41" s="1"/>
      <c r="X41" s="1"/>
      <c r="Y41" s="1"/>
      <c r="Z41" s="1"/>
    </row>
    <row r="42" spans="1:26" ht="54" customHeight="1">
      <c r="A42" s="1"/>
      <c r="B42" s="1040" t="s">
        <v>150</v>
      </c>
      <c r="C42" s="1041"/>
      <c r="D42" s="42"/>
      <c r="E42" s="42"/>
      <c r="F42" s="75">
        <v>13500</v>
      </c>
      <c r="G42" s="1"/>
      <c r="H42" s="44"/>
      <c r="I42" s="1"/>
      <c r="J42" s="1"/>
      <c r="K42" s="1"/>
      <c r="L42" s="1"/>
      <c r="M42" s="1"/>
      <c r="N42" s="1"/>
      <c r="O42" s="1"/>
      <c r="P42" s="1"/>
      <c r="Q42" s="1"/>
      <c r="R42" s="1"/>
      <c r="S42" s="1"/>
      <c r="T42" s="1"/>
      <c r="U42" s="1"/>
      <c r="V42" s="1"/>
      <c r="W42" s="1"/>
      <c r="X42" s="1"/>
      <c r="Y42" s="1"/>
      <c r="Z42" s="1"/>
    </row>
    <row r="43" spans="1:26" ht="52.5" customHeight="1">
      <c r="A43" s="1"/>
      <c r="B43" s="1040" t="s">
        <v>151</v>
      </c>
      <c r="C43" s="1041"/>
      <c r="D43" s="42"/>
      <c r="E43" s="42"/>
      <c r="F43" s="75">
        <v>410080</v>
      </c>
      <c r="G43" s="1"/>
      <c r="H43" s="44"/>
      <c r="I43" s="1"/>
      <c r="J43" s="1"/>
      <c r="K43" s="1"/>
      <c r="L43" s="1"/>
      <c r="M43" s="1"/>
      <c r="N43" s="1"/>
      <c r="O43" s="1"/>
      <c r="P43" s="1"/>
      <c r="Q43" s="1"/>
      <c r="R43" s="1"/>
      <c r="S43" s="1"/>
      <c r="T43" s="1"/>
      <c r="U43" s="1"/>
      <c r="V43" s="1"/>
      <c r="W43" s="1"/>
      <c r="X43" s="1"/>
      <c r="Y43" s="1"/>
      <c r="Z43" s="1"/>
    </row>
    <row r="44" spans="1:26" ht="23.25">
      <c r="A44" s="1"/>
      <c r="B44" s="1040" t="s">
        <v>152</v>
      </c>
      <c r="C44" s="1042"/>
      <c r="D44" s="76">
        <v>0.151</v>
      </c>
      <c r="E44" s="46"/>
      <c r="F44" s="75">
        <f t="shared" ref="F44:F45" si="4">F42*D44</f>
        <v>2038.5</v>
      </c>
      <c r="G44" s="47"/>
      <c r="H44" s="44"/>
      <c r="I44" s="1"/>
      <c r="J44" s="1"/>
      <c r="K44" s="1"/>
      <c r="L44" s="1"/>
      <c r="M44" s="1"/>
      <c r="N44" s="1"/>
      <c r="O44" s="1"/>
      <c r="P44" s="1"/>
      <c r="Q44" s="1"/>
      <c r="R44" s="1"/>
      <c r="S44" s="1"/>
      <c r="T44" s="1"/>
      <c r="U44" s="1"/>
      <c r="V44" s="1"/>
      <c r="W44" s="1"/>
      <c r="X44" s="1"/>
      <c r="Y44" s="1"/>
      <c r="Z44" s="1"/>
    </row>
    <row r="45" spans="1:26" ht="23.25">
      <c r="A45" s="1"/>
      <c r="B45" s="1043" t="s">
        <v>153</v>
      </c>
      <c r="C45" s="1042"/>
      <c r="D45" s="76">
        <v>0.74399999999999999</v>
      </c>
      <c r="E45" s="46"/>
      <c r="F45" s="75">
        <f t="shared" si="4"/>
        <v>305099.52000000002</v>
      </c>
      <c r="G45" s="47"/>
      <c r="H45" s="1"/>
      <c r="I45" s="1"/>
      <c r="J45" s="1"/>
      <c r="K45" s="1"/>
      <c r="L45" s="1"/>
      <c r="M45" s="1"/>
      <c r="N45" s="1"/>
      <c r="O45" s="1"/>
      <c r="P45" s="1"/>
      <c r="Q45" s="1"/>
      <c r="R45" s="1"/>
      <c r="S45" s="1"/>
      <c r="T45" s="1"/>
      <c r="U45" s="1"/>
      <c r="V45" s="1"/>
      <c r="W45" s="1"/>
      <c r="X45" s="1"/>
      <c r="Y45" s="1"/>
      <c r="Z45" s="1"/>
    </row>
    <row r="46" spans="1:26" ht="23.25">
      <c r="A46" s="1"/>
      <c r="B46" s="1040" t="s">
        <v>154</v>
      </c>
      <c r="C46" s="1042"/>
      <c r="D46" s="45"/>
      <c r="E46" s="46"/>
      <c r="F46" s="75">
        <v>1485</v>
      </c>
      <c r="G46" s="47"/>
      <c r="H46" s="44"/>
      <c r="I46" s="1"/>
      <c r="J46" s="1"/>
      <c r="K46" s="1"/>
      <c r="L46" s="1"/>
      <c r="M46" s="1"/>
      <c r="N46" s="1"/>
      <c r="O46" s="1"/>
      <c r="P46" s="1"/>
      <c r="Q46" s="1"/>
      <c r="R46" s="1"/>
      <c r="S46" s="1"/>
      <c r="T46" s="1"/>
      <c r="U46" s="1"/>
      <c r="V46" s="1"/>
      <c r="W46" s="1"/>
      <c r="X46" s="1"/>
      <c r="Y46" s="1"/>
      <c r="Z46" s="1"/>
    </row>
    <row r="47" spans="1:26" ht="23.25">
      <c r="A47" s="1"/>
      <c r="B47" s="1040" t="s">
        <v>155</v>
      </c>
      <c r="C47" s="1042"/>
      <c r="D47" s="45"/>
      <c r="E47" s="46"/>
      <c r="F47" s="75">
        <v>8724</v>
      </c>
      <c r="G47" s="1"/>
      <c r="H47" s="44"/>
      <c r="I47" s="1"/>
      <c r="J47" s="1"/>
      <c r="K47" s="1"/>
      <c r="L47" s="1"/>
      <c r="M47" s="1"/>
      <c r="N47" s="1"/>
      <c r="O47" s="1"/>
      <c r="P47" s="1"/>
      <c r="Q47" s="1"/>
      <c r="R47" s="1"/>
      <c r="S47" s="1"/>
      <c r="T47" s="1"/>
      <c r="U47" s="1"/>
      <c r="V47" s="1"/>
      <c r="W47" s="1"/>
      <c r="X47" s="1"/>
      <c r="Y47" s="1"/>
      <c r="Z47" s="1"/>
    </row>
    <row r="48" spans="1:26" ht="105">
      <c r="A48" s="1"/>
      <c r="B48" s="1044" t="s">
        <v>757</v>
      </c>
      <c r="C48" s="1045"/>
      <c r="D48" s="1041"/>
      <c r="E48" s="77"/>
      <c r="F48" s="50">
        <f>F47+F46</f>
        <v>10209</v>
      </c>
      <c r="G48" s="51" t="s">
        <v>127</v>
      </c>
      <c r="H48" s="1"/>
      <c r="I48" s="1"/>
      <c r="J48" s="1"/>
      <c r="K48" s="1"/>
      <c r="L48" s="1"/>
      <c r="M48" s="1"/>
      <c r="N48" s="1"/>
      <c r="O48" s="1"/>
      <c r="P48" s="1"/>
      <c r="Q48" s="1"/>
      <c r="R48" s="1"/>
      <c r="S48" s="1"/>
      <c r="T48" s="1"/>
      <c r="U48" s="1"/>
      <c r="V48" s="1"/>
      <c r="W48" s="1"/>
      <c r="X48" s="1"/>
      <c r="Y48" s="1"/>
      <c r="Z48" s="1"/>
    </row>
    <row r="49" spans="1:26" ht="96" customHeight="1">
      <c r="A49" s="1"/>
      <c r="B49" s="1044" t="s">
        <v>758</v>
      </c>
      <c r="C49" s="1053"/>
      <c r="D49" s="1054"/>
      <c r="E49" s="52">
        <f>G55</f>
        <v>7.4999999999999997E-3</v>
      </c>
      <c r="F49" s="613">
        <f>F48*E49</f>
        <v>76.567499999999995</v>
      </c>
      <c r="G49" s="54" t="s">
        <v>128</v>
      </c>
      <c r="H49" s="47"/>
      <c r="I49" s="1"/>
      <c r="J49" s="1"/>
      <c r="K49" s="1"/>
      <c r="L49" s="1"/>
      <c r="M49" s="1"/>
      <c r="N49" s="1"/>
      <c r="O49" s="1"/>
      <c r="P49" s="1"/>
      <c r="Q49" s="1"/>
      <c r="R49" s="1"/>
      <c r="S49" s="1"/>
      <c r="T49" s="1"/>
      <c r="U49" s="1"/>
      <c r="V49" s="1"/>
      <c r="W49" s="1"/>
      <c r="X49" s="1"/>
      <c r="Y49" s="1"/>
      <c r="Z49" s="1"/>
    </row>
    <row r="50" spans="1:26" ht="1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 customHeight="1">
      <c r="A51" s="1"/>
      <c r="B51" s="1" t="s">
        <v>129</v>
      </c>
      <c r="C51" s="1" t="s">
        <v>130</v>
      </c>
      <c r="D51" s="1"/>
      <c r="E51" s="1"/>
      <c r="F51" s="1"/>
      <c r="G51" s="1"/>
      <c r="H51" s="1"/>
      <c r="I51" s="1"/>
      <c r="J51" s="1"/>
      <c r="K51" s="1"/>
      <c r="L51" s="1"/>
      <c r="M51" s="1"/>
      <c r="N51" s="1"/>
      <c r="O51" s="1"/>
      <c r="P51" s="1"/>
      <c r="Q51" s="1"/>
      <c r="R51" s="1"/>
      <c r="S51" s="1"/>
      <c r="T51" s="1"/>
      <c r="U51" s="1"/>
      <c r="V51" s="1"/>
      <c r="W51" s="1"/>
      <c r="X51" s="1"/>
      <c r="Y51" s="1"/>
      <c r="Z51" s="1"/>
    </row>
    <row r="52" spans="1:26" ht="1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63.75" customHeight="1">
      <c r="A54" s="1"/>
      <c r="B54" s="1"/>
      <c r="C54" s="78" t="s">
        <v>156</v>
      </c>
      <c r="D54" s="1"/>
      <c r="E54" s="1"/>
      <c r="F54" s="565" t="s">
        <v>157</v>
      </c>
      <c r="G54" s="607" t="s">
        <v>759</v>
      </c>
      <c r="H54" s="1"/>
      <c r="I54" s="1"/>
      <c r="J54" s="1"/>
      <c r="K54" s="1"/>
      <c r="L54" s="1"/>
      <c r="M54" s="1"/>
      <c r="N54" s="1"/>
      <c r="O54" s="1"/>
      <c r="P54" s="1"/>
      <c r="Q54" s="1"/>
      <c r="R54" s="1"/>
      <c r="S54" s="1"/>
      <c r="T54" s="1"/>
      <c r="U54" s="1"/>
      <c r="V54" s="1"/>
      <c r="W54" s="1"/>
      <c r="X54" s="1"/>
      <c r="Y54" s="1"/>
      <c r="Z54" s="1"/>
    </row>
    <row r="55" spans="1:26" ht="18" customHeight="1">
      <c r="A55" s="1"/>
      <c r="B55" s="79" t="s">
        <v>158</v>
      </c>
      <c r="C55" s="80" t="s">
        <v>159</v>
      </c>
      <c r="D55" s="81"/>
      <c r="E55" s="1"/>
      <c r="F55" s="82">
        <v>0.01</v>
      </c>
      <c r="G55" s="83">
        <v>7.4999999999999997E-3</v>
      </c>
      <c r="H55" s="1"/>
      <c r="I55" s="1"/>
      <c r="J55" s="1"/>
      <c r="K55" s="1"/>
      <c r="L55" s="1"/>
      <c r="M55" s="1"/>
      <c r="N55" s="1"/>
      <c r="O55" s="1"/>
      <c r="P55" s="1"/>
      <c r="Q55" s="1"/>
      <c r="R55" s="1"/>
      <c r="S55" s="1"/>
      <c r="T55" s="1"/>
      <c r="U55" s="1"/>
      <c r="V55" s="1"/>
      <c r="W55" s="1"/>
      <c r="X55" s="1"/>
      <c r="Y55" s="1"/>
      <c r="Z55" s="1"/>
    </row>
    <row r="56" spans="1:26" ht="15.75" customHeight="1">
      <c r="A56" s="1"/>
      <c r="B56" s="79" t="s">
        <v>160</v>
      </c>
      <c r="C56" s="75">
        <v>423580</v>
      </c>
      <c r="D56" s="84"/>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85" t="s">
        <v>161</v>
      </c>
      <c r="C57" s="86">
        <v>307139</v>
      </c>
      <c r="D57" s="87"/>
      <c r="E57" s="1"/>
      <c r="F57" s="1"/>
      <c r="G57" s="1"/>
      <c r="H57" s="1"/>
      <c r="I57" s="1"/>
      <c r="J57" s="1"/>
      <c r="K57" s="1"/>
      <c r="L57" s="1"/>
      <c r="M57" s="1"/>
      <c r="N57" s="1"/>
      <c r="O57" s="1"/>
      <c r="P57" s="1"/>
      <c r="Q57" s="1"/>
      <c r="R57" s="1"/>
      <c r="S57" s="1"/>
      <c r="T57" s="1"/>
      <c r="U57" s="1"/>
      <c r="V57" s="1"/>
      <c r="W57" s="1"/>
      <c r="X57" s="1"/>
      <c r="Y57" s="1"/>
      <c r="Z57" s="1"/>
    </row>
    <row r="58" spans="1:26" ht="28.5" customHeight="1">
      <c r="A58" s="1"/>
      <c r="B58" s="606" t="s">
        <v>162</v>
      </c>
      <c r="C58" s="75">
        <f>F46+F47</f>
        <v>10209</v>
      </c>
      <c r="D58" s="84"/>
      <c r="E58" s="1"/>
      <c r="F58" s="1"/>
      <c r="G58" s="1"/>
      <c r="H58" s="1"/>
      <c r="I58" s="1"/>
      <c r="J58" s="1"/>
      <c r="K58" s="1"/>
      <c r="L58" s="1"/>
      <c r="M58" s="1"/>
      <c r="N58" s="1"/>
      <c r="O58" s="1"/>
      <c r="P58" s="1"/>
      <c r="Q58" s="1"/>
      <c r="R58" s="1"/>
      <c r="S58" s="1"/>
      <c r="T58" s="1"/>
      <c r="U58" s="1"/>
      <c r="V58" s="1"/>
      <c r="W58" s="1"/>
      <c r="X58" s="1"/>
      <c r="Y58" s="1"/>
      <c r="Z58" s="1"/>
    </row>
    <row r="59" spans="1:26" ht="15" customHeight="1">
      <c r="A59" s="1"/>
      <c r="B59" s="79"/>
      <c r="C59" s="88"/>
      <c r="D59" s="8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79" t="s">
        <v>163</v>
      </c>
      <c r="C60" s="75">
        <f>C58*D60</f>
        <v>459.40499999999997</v>
      </c>
      <c r="D60" s="608">
        <v>4.4999999999999998E-2</v>
      </c>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79" t="s">
        <v>164</v>
      </c>
      <c r="C61" s="75">
        <f>C58*D61</f>
        <v>9596.4599999999991</v>
      </c>
      <c r="D61" s="84">
        <v>0.94</v>
      </c>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79" t="s">
        <v>165</v>
      </c>
      <c r="C62" s="75">
        <f>C58*D62</f>
        <v>153.13499999999999</v>
      </c>
      <c r="D62" s="608">
        <v>1.4999999999999999E-2</v>
      </c>
      <c r="E62" s="1"/>
      <c r="F62" s="1"/>
      <c r="G62" s="1"/>
      <c r="H62" s="1"/>
      <c r="I62" s="1"/>
      <c r="J62" s="1"/>
      <c r="K62" s="1"/>
      <c r="L62" s="1"/>
      <c r="M62" s="1"/>
      <c r="N62" s="1"/>
      <c r="O62" s="1"/>
      <c r="P62" s="1"/>
      <c r="Q62" s="1"/>
      <c r="R62" s="1"/>
      <c r="S62" s="1"/>
      <c r="T62" s="1"/>
      <c r="U62" s="1"/>
      <c r="V62" s="1"/>
      <c r="W62" s="1"/>
      <c r="X62" s="1"/>
      <c r="Y62" s="1"/>
      <c r="Z62" s="1"/>
    </row>
    <row r="63" spans="1:26" ht="15" customHeight="1">
      <c r="A63" s="1"/>
      <c r="B63" s="1"/>
      <c r="C63" s="566"/>
      <c r="D63" s="1"/>
      <c r="E63" s="1"/>
      <c r="F63" s="1"/>
      <c r="G63" s="1"/>
      <c r="H63" s="1"/>
      <c r="I63" s="1"/>
      <c r="J63" s="1"/>
      <c r="K63" s="1"/>
      <c r="L63" s="1"/>
      <c r="M63" s="1"/>
      <c r="N63" s="1"/>
      <c r="O63" s="1"/>
      <c r="P63" s="1"/>
      <c r="Q63" s="1"/>
      <c r="R63" s="1"/>
      <c r="S63" s="1"/>
      <c r="T63" s="1"/>
      <c r="U63" s="1"/>
      <c r="V63" s="1"/>
      <c r="W63" s="1"/>
      <c r="X63" s="1"/>
      <c r="Y63" s="1"/>
      <c r="Z63" s="1"/>
    </row>
    <row r="64" spans="1:26" ht="40.5" customHeight="1">
      <c r="A64" s="1"/>
      <c r="B64" s="609" t="s">
        <v>761</v>
      </c>
      <c r="C64" s="1"/>
      <c r="D64" s="1"/>
      <c r="E64" s="89">
        <v>11</v>
      </c>
      <c r="F64" s="1"/>
      <c r="G64" s="1"/>
      <c r="H64" s="1"/>
      <c r="I64" s="1"/>
      <c r="J64" s="1"/>
      <c r="K64" s="1"/>
      <c r="L64" s="1"/>
      <c r="M64" s="1"/>
      <c r="N64" s="1"/>
      <c r="O64" s="1"/>
      <c r="P64" s="1"/>
      <c r="Q64" s="1"/>
      <c r="R64" s="1"/>
      <c r="S64" s="1"/>
      <c r="T64" s="1"/>
      <c r="U64" s="1"/>
      <c r="V64" s="1"/>
      <c r="W64" s="1"/>
      <c r="X64" s="1"/>
      <c r="Y64" s="1"/>
      <c r="Z64" s="1"/>
    </row>
    <row r="65" spans="1:26" ht="15" customHeight="1">
      <c r="A65" s="1"/>
      <c r="B65" s="21" t="s">
        <v>166</v>
      </c>
      <c r="C65" s="90">
        <v>0.61</v>
      </c>
      <c r="D65" s="9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21" t="s">
        <v>167</v>
      </c>
      <c r="C66" s="90">
        <v>0.19</v>
      </c>
      <c r="D66" s="1"/>
      <c r="E66" s="1"/>
      <c r="F66" s="1"/>
      <c r="G66" s="1"/>
      <c r="H66" s="1"/>
      <c r="I66" s="1"/>
      <c r="J66" s="1"/>
      <c r="K66" s="1"/>
      <c r="L66" s="1"/>
      <c r="M66" s="1"/>
      <c r="N66" s="1"/>
      <c r="O66" s="1"/>
      <c r="P66" s="1"/>
      <c r="Q66" s="1"/>
      <c r="R66" s="1"/>
      <c r="S66" s="1"/>
      <c r="T66" s="1"/>
      <c r="U66" s="1"/>
      <c r="V66" s="1"/>
      <c r="W66" s="1"/>
      <c r="X66" s="1"/>
      <c r="Y66" s="1"/>
      <c r="Z66" s="1"/>
    </row>
    <row r="67" spans="1:26" ht="15" customHeight="1">
      <c r="A67" s="1"/>
      <c r="B67" s="21" t="s">
        <v>168</v>
      </c>
      <c r="C67" s="90">
        <v>0.14000000000000001</v>
      </c>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21" t="s">
        <v>169</v>
      </c>
      <c r="C68" s="90">
        <v>0.04</v>
      </c>
      <c r="D68" s="1"/>
      <c r="E68" s="1"/>
      <c r="F68" s="1"/>
      <c r="G68" s="1"/>
      <c r="H68" s="1"/>
      <c r="I68" s="1"/>
      <c r="J68" s="1"/>
      <c r="K68" s="1"/>
      <c r="L68" s="1"/>
      <c r="M68" s="1"/>
      <c r="N68" s="1"/>
      <c r="O68" s="1"/>
      <c r="P68" s="92"/>
      <c r="Q68" s="1"/>
      <c r="R68" s="1"/>
      <c r="S68" s="1"/>
      <c r="T68" s="1"/>
      <c r="U68" s="1"/>
      <c r="V68" s="1"/>
      <c r="W68" s="1"/>
      <c r="X68" s="1"/>
      <c r="Y68" s="1"/>
      <c r="Z68" s="1"/>
    </row>
    <row r="69" spans="1:26" ht="15.75" customHeight="1">
      <c r="A69" s="1"/>
      <c r="B69" s="21" t="s">
        <v>170</v>
      </c>
      <c r="C69" s="90">
        <v>0.01</v>
      </c>
      <c r="D69" s="1"/>
      <c r="E69" s="1"/>
      <c r="F69" s="1"/>
      <c r="G69" s="1"/>
      <c r="H69" s="1"/>
      <c r="I69" s="1"/>
      <c r="J69" s="1"/>
      <c r="K69" s="1"/>
      <c r="L69" s="1"/>
      <c r="M69" s="1"/>
      <c r="N69" s="1"/>
      <c r="O69" s="1"/>
      <c r="P69" s="92"/>
      <c r="Q69" s="1"/>
      <c r="R69" s="92"/>
      <c r="S69" s="92"/>
      <c r="T69" s="92"/>
      <c r="U69" s="92"/>
      <c r="V69" s="92"/>
      <c r="W69" s="1"/>
      <c r="X69" s="1"/>
      <c r="Y69" s="1"/>
      <c r="Z69" s="1"/>
    </row>
    <row r="70" spans="1:26" ht="15.75" customHeight="1">
      <c r="A70" s="1"/>
      <c r="B70" s="21" t="s">
        <v>171</v>
      </c>
      <c r="C70" s="90">
        <v>0.01</v>
      </c>
      <c r="D70" s="93">
        <f>C70/C62</f>
        <v>6.5301857837855496E-5</v>
      </c>
      <c r="E70" s="21" t="s">
        <v>172</v>
      </c>
      <c r="F70" s="1"/>
      <c r="G70" s="1"/>
      <c r="H70" s="1"/>
      <c r="I70" s="1"/>
      <c r="J70" s="1"/>
      <c r="K70" s="1"/>
      <c r="L70" s="1"/>
      <c r="M70" s="1"/>
      <c r="N70" s="1"/>
      <c r="O70" s="1"/>
      <c r="P70" s="92"/>
      <c r="Q70" s="1"/>
      <c r="R70" s="92"/>
      <c r="S70" s="92"/>
      <c r="T70" s="92"/>
      <c r="U70" s="92"/>
      <c r="V70" s="92"/>
      <c r="W70" s="1"/>
      <c r="X70" s="1"/>
      <c r="Y70" s="1"/>
      <c r="Z70" s="1"/>
    </row>
    <row r="71" spans="1:26" ht="15.75" customHeight="1">
      <c r="A71" s="1"/>
      <c r="B71" s="1"/>
      <c r="C71" s="1"/>
      <c r="D71" s="1"/>
      <c r="E71" s="1"/>
      <c r="F71" s="1"/>
      <c r="G71" s="1"/>
      <c r="H71" s="1"/>
      <c r="I71" s="1"/>
      <c r="J71" s="1"/>
      <c r="K71" s="1"/>
      <c r="L71" s="1"/>
      <c r="M71" s="1"/>
      <c r="N71" s="1"/>
      <c r="O71" s="1"/>
      <c r="P71" s="92"/>
      <c r="Q71" s="1"/>
      <c r="R71" s="92"/>
      <c r="S71" s="92"/>
      <c r="T71" s="92"/>
      <c r="U71" s="92"/>
      <c r="V71" s="92"/>
      <c r="W71" s="1"/>
      <c r="X71" s="1"/>
      <c r="Y71" s="1"/>
      <c r="Z71" s="1"/>
    </row>
    <row r="72" spans="1:26" ht="37.5">
      <c r="A72" s="1"/>
      <c r="B72" s="932" t="s">
        <v>173</v>
      </c>
      <c r="C72" s="932" t="s">
        <v>174</v>
      </c>
      <c r="D72" s="1"/>
      <c r="E72" s="1"/>
      <c r="F72" s="1"/>
      <c r="G72" s="1"/>
      <c r="H72" s="1"/>
      <c r="I72" s="1"/>
      <c r="J72" s="1"/>
      <c r="K72" s="1"/>
      <c r="L72" s="1"/>
      <c r="M72" s="1"/>
      <c r="N72" s="1"/>
      <c r="O72" s="1"/>
      <c r="P72" s="92"/>
      <c r="Q72" s="1"/>
      <c r="R72" s="92"/>
      <c r="S72" s="92"/>
      <c r="T72" s="92"/>
      <c r="U72" s="92"/>
      <c r="V72" s="92"/>
      <c r="W72" s="1"/>
      <c r="X72" s="1"/>
      <c r="Y72" s="1"/>
      <c r="Z72" s="1"/>
    </row>
    <row r="73" spans="1:26" ht="18.75">
      <c r="A73" s="1"/>
      <c r="B73" s="95" t="s">
        <v>134</v>
      </c>
      <c r="C73" s="96" t="s">
        <v>135</v>
      </c>
      <c r="D73" s="1"/>
      <c r="E73" s="1057" t="s">
        <v>175</v>
      </c>
      <c r="F73" s="1035"/>
      <c r="G73" s="1036"/>
      <c r="H73" s="1"/>
      <c r="I73" s="1"/>
      <c r="J73" s="1"/>
      <c r="K73" s="1"/>
      <c r="L73" s="1"/>
      <c r="M73" s="1"/>
      <c r="N73" s="1"/>
      <c r="O73" s="1"/>
      <c r="P73" s="92"/>
      <c r="Q73" s="1"/>
      <c r="R73" s="92"/>
      <c r="S73" s="92"/>
      <c r="T73" s="92"/>
      <c r="U73" s="92"/>
      <c r="V73" s="92"/>
      <c r="W73" s="1"/>
      <c r="X73" s="1"/>
      <c r="Y73" s="1"/>
      <c r="Z73" s="1"/>
    </row>
    <row r="74" spans="1:26" ht="18.75">
      <c r="A74" s="1"/>
      <c r="B74" s="95" t="s">
        <v>176</v>
      </c>
      <c r="C74" s="97">
        <v>500</v>
      </c>
      <c r="D74" s="1"/>
      <c r="E74" s="1058"/>
      <c r="F74" s="1003"/>
      <c r="G74" s="1059"/>
      <c r="H74" s="1"/>
      <c r="I74" s="1"/>
      <c r="J74" s="1"/>
      <c r="K74" s="1"/>
      <c r="L74" s="1"/>
      <c r="M74" s="1"/>
      <c r="N74" s="1"/>
      <c r="O74" s="1"/>
      <c r="P74" s="92"/>
      <c r="Q74" s="1"/>
      <c r="R74" s="92"/>
      <c r="S74" s="92"/>
      <c r="T74" s="92"/>
      <c r="U74" s="92"/>
      <c r="V74" s="92"/>
      <c r="W74" s="1"/>
      <c r="X74" s="1"/>
      <c r="Y74" s="1"/>
      <c r="Z74" s="1"/>
    </row>
    <row r="75" spans="1:26" ht="37.5">
      <c r="A75" s="1"/>
      <c r="B75" s="95" t="s">
        <v>177</v>
      </c>
      <c r="C75" s="98">
        <v>750</v>
      </c>
      <c r="D75" s="1"/>
      <c r="E75" s="1060"/>
      <c r="F75" s="1061"/>
      <c r="G75" s="1062"/>
      <c r="H75" s="1"/>
      <c r="I75" s="1"/>
      <c r="J75" s="1"/>
      <c r="K75" s="1"/>
      <c r="L75" s="1"/>
      <c r="M75" s="1"/>
      <c r="N75" s="1"/>
      <c r="O75" s="1"/>
      <c r="P75" s="92"/>
      <c r="Q75" s="1"/>
      <c r="R75" s="92"/>
      <c r="S75" s="92"/>
      <c r="T75" s="92"/>
      <c r="U75" s="92"/>
      <c r="V75" s="92"/>
      <c r="W75" s="1"/>
      <c r="X75" s="1"/>
      <c r="Y75" s="1"/>
      <c r="Z75" s="1"/>
    </row>
    <row r="76" spans="1:26" ht="18.75">
      <c r="A76" s="1"/>
      <c r="B76" s="95" t="s">
        <v>178</v>
      </c>
      <c r="C76" s="98">
        <v>1100</v>
      </c>
      <c r="D76" s="1"/>
      <c r="E76" s="1"/>
      <c r="F76" s="1"/>
      <c r="G76" s="1"/>
      <c r="H76" s="1"/>
      <c r="I76" s="1"/>
      <c r="J76" s="1"/>
      <c r="K76" s="1"/>
      <c r="L76" s="1"/>
      <c r="M76" s="1"/>
      <c r="N76" s="1"/>
      <c r="O76" s="1"/>
      <c r="P76" s="92"/>
      <c r="Q76" s="1"/>
      <c r="R76" s="92"/>
      <c r="S76" s="92"/>
      <c r="T76" s="92"/>
      <c r="U76" s="92"/>
      <c r="V76" s="92"/>
      <c r="W76" s="1"/>
      <c r="X76" s="1"/>
      <c r="Y76" s="1"/>
      <c r="Z76" s="1"/>
    </row>
    <row r="77" spans="1:26" ht="37.5">
      <c r="A77" s="1"/>
      <c r="B77" s="94" t="s">
        <v>852</v>
      </c>
      <c r="C77" s="99">
        <f>AVERAGE(C73:C76)</f>
        <v>783.33333333333337</v>
      </c>
      <c r="D77" s="1"/>
      <c r="E77" s="1"/>
      <c r="F77" s="1"/>
      <c r="G77" s="1"/>
      <c r="H77" s="1"/>
      <c r="I77" s="1"/>
      <c r="J77" s="1"/>
      <c r="K77" s="1"/>
      <c r="L77" s="1"/>
      <c r="M77" s="1"/>
      <c r="N77" s="1"/>
      <c r="O77" s="1"/>
      <c r="P77" s="92"/>
      <c r="Q77" s="1"/>
      <c r="R77" s="92"/>
      <c r="S77" s="92"/>
      <c r="T77" s="92"/>
      <c r="U77" s="92"/>
      <c r="V77" s="92"/>
      <c r="W77" s="1"/>
      <c r="X77" s="1"/>
      <c r="Y77" s="1"/>
      <c r="Z77" s="1"/>
    </row>
    <row r="78" spans="1:26" ht="15.75" customHeight="1">
      <c r="A78" s="1"/>
      <c r="B78" s="1"/>
      <c r="C78" s="1"/>
      <c r="D78" s="1"/>
      <c r="E78" s="1"/>
      <c r="F78" s="1"/>
      <c r="G78" s="1"/>
      <c r="H78" s="1"/>
      <c r="I78" s="1"/>
      <c r="J78" s="1"/>
      <c r="K78" s="1"/>
      <c r="L78" s="1"/>
      <c r="M78" s="1"/>
      <c r="N78" s="1"/>
      <c r="O78" s="1"/>
      <c r="P78" s="92"/>
      <c r="Q78" s="1"/>
      <c r="R78" s="92"/>
      <c r="S78" s="92"/>
      <c r="T78" s="92"/>
      <c r="U78" s="92"/>
      <c r="V78" s="92"/>
      <c r="W78" s="1"/>
      <c r="X78" s="1"/>
      <c r="Y78" s="1"/>
      <c r="Z78" s="1"/>
    </row>
    <row r="79" spans="1:26" ht="15.75" customHeight="1">
      <c r="A79" s="1"/>
      <c r="B79" s="63" t="s">
        <v>141</v>
      </c>
      <c r="C79" s="1"/>
      <c r="D79" s="1"/>
      <c r="E79" s="1"/>
      <c r="F79" s="1"/>
      <c r="G79" s="1"/>
      <c r="H79" s="1"/>
      <c r="I79" s="1"/>
      <c r="J79" s="1"/>
      <c r="K79" s="1"/>
      <c r="L79" s="1"/>
      <c r="M79" s="1"/>
      <c r="N79" s="1"/>
      <c r="O79" s="1"/>
      <c r="P79" s="92"/>
      <c r="Q79" s="1"/>
      <c r="R79" s="92"/>
      <c r="S79" s="92"/>
      <c r="T79" s="92"/>
      <c r="U79" s="92"/>
      <c r="V79" s="92"/>
      <c r="W79" s="1"/>
      <c r="X79" s="1"/>
      <c r="Y79" s="1"/>
      <c r="Z79" s="1"/>
    </row>
    <row r="80" spans="1:26" ht="15.75" customHeight="1">
      <c r="A80" s="1"/>
      <c r="B80" s="63"/>
      <c r="C80" s="1"/>
      <c r="D80" s="1"/>
      <c r="E80" s="1"/>
      <c r="F80" s="1"/>
      <c r="G80" s="1"/>
      <c r="H80" s="1"/>
      <c r="I80" s="1"/>
      <c r="J80" s="1"/>
      <c r="K80" s="1"/>
      <c r="L80" s="1"/>
      <c r="M80" s="1"/>
      <c r="N80" s="1"/>
      <c r="O80" s="1"/>
      <c r="P80" s="92"/>
      <c r="Q80" s="1"/>
      <c r="R80" s="92"/>
      <c r="S80" s="92"/>
      <c r="T80" s="92"/>
      <c r="U80" s="92"/>
      <c r="V80" s="92"/>
      <c r="W80" s="1"/>
      <c r="X80" s="1"/>
      <c r="Y80" s="1"/>
      <c r="Z80" s="1"/>
    </row>
    <row r="81" spans="1:26" ht="15.75" customHeight="1">
      <c r="A81" s="1"/>
      <c r="B81" s="1"/>
      <c r="C81" s="1"/>
      <c r="D81" s="1"/>
      <c r="E81" s="1"/>
      <c r="F81" s="1"/>
      <c r="G81" s="1"/>
      <c r="H81" s="1"/>
      <c r="I81" s="1"/>
      <c r="J81" s="1"/>
      <c r="K81" s="1"/>
      <c r="L81" s="1"/>
      <c r="M81" s="1"/>
      <c r="N81" s="1"/>
      <c r="O81" s="1"/>
      <c r="P81" s="92"/>
      <c r="Q81" s="1"/>
      <c r="R81" s="92"/>
      <c r="S81" s="92"/>
      <c r="T81" s="92"/>
      <c r="U81" s="92"/>
      <c r="V81" s="92"/>
      <c r="W81" s="1"/>
      <c r="X81" s="1"/>
      <c r="Y81" s="1"/>
      <c r="Z81" s="1"/>
    </row>
    <row r="82" spans="1:26" ht="44.25" customHeight="1">
      <c r="A82" s="1"/>
      <c r="B82" s="1063" t="s">
        <v>142</v>
      </c>
      <c r="C82" s="1045"/>
      <c r="D82" s="1041"/>
      <c r="E82" s="81"/>
      <c r="F82" s="1026" t="s">
        <v>815</v>
      </c>
      <c r="G82" s="1027"/>
      <c r="H82" s="1028"/>
      <c r="I82" s="100" t="s">
        <v>179</v>
      </c>
      <c r="J82" s="1"/>
      <c r="K82" s="1"/>
      <c r="L82" s="1"/>
      <c r="M82" s="1"/>
      <c r="N82" s="1"/>
      <c r="O82" s="1"/>
      <c r="P82" s="92"/>
      <c r="Q82" s="1"/>
      <c r="R82" s="92"/>
      <c r="S82" s="92"/>
      <c r="T82" s="92"/>
      <c r="U82" s="92"/>
      <c r="V82" s="92"/>
      <c r="W82" s="1"/>
      <c r="X82" s="1"/>
      <c r="Y82" s="1"/>
      <c r="Z82" s="1"/>
    </row>
    <row r="83" spans="1:26" ht="26.25">
      <c r="A83" s="1"/>
      <c r="B83" s="65" t="s">
        <v>180</v>
      </c>
      <c r="C83" s="66" t="s">
        <v>181</v>
      </c>
      <c r="D83" s="66" t="s">
        <v>143</v>
      </c>
      <c r="E83" s="81"/>
      <c r="F83" s="84">
        <v>0.14549999999999999</v>
      </c>
      <c r="G83" s="101">
        <v>4</v>
      </c>
      <c r="H83" s="936">
        <f>(B84*F83)*G83</f>
        <v>44.562284999999996</v>
      </c>
      <c r="I83" s="616" t="s">
        <v>767</v>
      </c>
      <c r="J83" s="1"/>
      <c r="K83" s="1"/>
      <c r="L83" s="1"/>
      <c r="M83" s="1"/>
      <c r="N83" s="1"/>
      <c r="O83" s="1"/>
      <c r="P83" s="92"/>
      <c r="Q83" s="1"/>
      <c r="R83" s="92"/>
      <c r="S83" s="92"/>
      <c r="T83" s="92"/>
      <c r="U83" s="92"/>
      <c r="V83" s="92"/>
      <c r="W83" s="1"/>
      <c r="X83" s="1"/>
      <c r="Y83" s="1"/>
      <c r="Z83" s="1"/>
    </row>
    <row r="84" spans="1:26" ht="21">
      <c r="A84" s="1"/>
      <c r="B84" s="102">
        <f>F49</f>
        <v>76.567499999999995</v>
      </c>
      <c r="C84" s="102">
        <v>175</v>
      </c>
      <c r="D84" s="102">
        <f>C84/12</f>
        <v>14.583333333333334</v>
      </c>
      <c r="E84" s="81"/>
      <c r="F84" s="84">
        <v>0.85450000000000004</v>
      </c>
      <c r="G84" s="101">
        <v>2</v>
      </c>
      <c r="H84" s="936">
        <f>(B84*F84)*G84</f>
        <v>130.8538575</v>
      </c>
      <c r="I84" s="75" t="s">
        <v>182</v>
      </c>
      <c r="J84" s="1"/>
      <c r="K84" s="1"/>
      <c r="L84" s="1"/>
      <c r="M84" s="1"/>
      <c r="N84" s="1"/>
      <c r="O84" s="1"/>
      <c r="P84" s="92"/>
      <c r="Q84" s="1"/>
      <c r="R84" s="92"/>
      <c r="S84" s="92"/>
      <c r="T84" s="92"/>
      <c r="U84" s="92"/>
      <c r="V84" s="92"/>
      <c r="W84" s="1"/>
      <c r="X84" s="1"/>
      <c r="Y84" s="1"/>
      <c r="Z84" s="1"/>
    </row>
    <row r="85" spans="1:26" ht="21">
      <c r="A85" s="1"/>
      <c r="B85" s="81"/>
      <c r="C85" s="81"/>
      <c r="D85" s="81"/>
      <c r="E85" s="81"/>
      <c r="F85" s="84">
        <v>0</v>
      </c>
      <c r="G85" s="101">
        <v>0</v>
      </c>
      <c r="H85" s="937"/>
      <c r="I85" s="75"/>
      <c r="J85" s="1"/>
      <c r="K85" s="1"/>
      <c r="L85" s="1"/>
      <c r="M85" s="1"/>
      <c r="N85" s="1"/>
      <c r="O85" s="1"/>
      <c r="P85" s="92"/>
      <c r="Q85" s="1"/>
      <c r="R85" s="92"/>
      <c r="S85" s="92"/>
      <c r="T85" s="92"/>
      <c r="U85" s="92"/>
      <c r="V85" s="92"/>
      <c r="W85" s="1"/>
      <c r="X85" s="1"/>
      <c r="Y85" s="1"/>
      <c r="Z85" s="1"/>
    </row>
    <row r="86" spans="1:26" ht="42">
      <c r="A86" s="1"/>
      <c r="B86" s="1"/>
      <c r="C86" s="1"/>
      <c r="D86" s="1"/>
      <c r="E86" s="1"/>
      <c r="F86" s="84">
        <f>SUM(F83:F85)</f>
        <v>1</v>
      </c>
      <c r="G86" s="103"/>
      <c r="H86" s="614">
        <f>SUM(H83:H84)</f>
        <v>175.41614250000001</v>
      </c>
      <c r="I86" s="615" t="s">
        <v>766</v>
      </c>
      <c r="J86" s="1"/>
      <c r="K86" s="1"/>
      <c r="L86" s="1"/>
      <c r="M86" s="1"/>
      <c r="N86" s="1"/>
      <c r="O86" s="1"/>
      <c r="P86" s="92"/>
      <c r="Q86" s="1"/>
      <c r="R86" s="92"/>
      <c r="S86" s="92"/>
      <c r="T86" s="92"/>
      <c r="U86" s="92"/>
      <c r="V86" s="92"/>
      <c r="W86" s="1"/>
      <c r="X86" s="1"/>
      <c r="Y86" s="1"/>
      <c r="Z86" s="1"/>
    </row>
    <row r="87" spans="1:26" ht="16.5" customHeight="1">
      <c r="A87" s="1"/>
      <c r="B87" s="1"/>
      <c r="C87" s="1"/>
      <c r="D87" s="1"/>
      <c r="E87" s="1"/>
      <c r="F87" s="1"/>
      <c r="G87" s="1"/>
      <c r="H87" s="1"/>
      <c r="I87" s="1"/>
      <c r="J87" s="1"/>
      <c r="K87" s="1"/>
      <c r="L87" s="1"/>
      <c r="M87" s="1"/>
      <c r="N87" s="1"/>
      <c r="O87" s="1"/>
      <c r="P87" s="92"/>
      <c r="Q87" s="1"/>
      <c r="R87" s="92"/>
      <c r="S87" s="92"/>
      <c r="T87" s="92"/>
      <c r="U87" s="92"/>
      <c r="V87" s="92"/>
      <c r="W87" s="1"/>
      <c r="X87" s="1"/>
      <c r="Y87" s="1"/>
      <c r="Z87" s="1"/>
    </row>
    <row r="88" spans="1:26" ht="15.75" customHeight="1">
      <c r="A88" s="1"/>
      <c r="B88" s="579"/>
      <c r="C88" s="579"/>
      <c r="D88" s="579"/>
      <c r="E88" s="579"/>
      <c r="F88" s="579"/>
      <c r="G88" s="1"/>
      <c r="H88" s="1"/>
      <c r="I88" s="1"/>
      <c r="J88" s="1"/>
      <c r="K88" s="1"/>
      <c r="L88" s="1"/>
      <c r="M88" s="1"/>
      <c r="N88" s="1"/>
      <c r="O88" s="1"/>
      <c r="P88" s="92"/>
      <c r="Q88" s="1"/>
      <c r="R88" s="92"/>
      <c r="S88" s="92"/>
      <c r="T88" s="92"/>
      <c r="U88" s="92"/>
      <c r="V88" s="92"/>
      <c r="W88" s="1"/>
      <c r="X88" s="1"/>
      <c r="Y88" s="1"/>
      <c r="Z88" s="1"/>
    </row>
    <row r="89" spans="1:26" ht="15.75" customHeight="1">
      <c r="A89" s="1"/>
      <c r="B89" s="579"/>
      <c r="C89" s="579"/>
      <c r="D89" s="579"/>
      <c r="E89" s="92"/>
      <c r="F89" s="579"/>
      <c r="G89" s="1"/>
      <c r="H89" s="1"/>
      <c r="I89" s="1"/>
      <c r="J89" s="1"/>
      <c r="K89" s="1"/>
      <c r="L89" s="1"/>
      <c r="M89" s="1"/>
      <c r="N89" s="1"/>
      <c r="O89" s="1"/>
      <c r="P89" s="92"/>
      <c r="Q89" s="1"/>
      <c r="R89" s="92"/>
      <c r="S89" s="92"/>
      <c r="T89" s="92"/>
      <c r="U89" s="92"/>
      <c r="V89" s="92"/>
      <c r="W89" s="1"/>
      <c r="X89" s="1"/>
      <c r="Y89" s="1"/>
      <c r="Z89" s="1"/>
    </row>
    <row r="90" spans="1:26" ht="15.75" customHeight="1">
      <c r="A90" s="1"/>
      <c r="B90" s="72" t="s">
        <v>144</v>
      </c>
      <c r="C90" s="620" t="s">
        <v>772</v>
      </c>
      <c r="D90" s="73" t="s">
        <v>146</v>
      </c>
      <c r="E90" s="579"/>
      <c r="F90" s="579"/>
      <c r="G90" s="1"/>
      <c r="H90" s="1"/>
      <c r="I90" s="92"/>
      <c r="J90" s="92"/>
      <c r="K90" s="92"/>
      <c r="L90" s="92"/>
      <c r="M90" s="92"/>
      <c r="N90" s="92"/>
      <c r="O90" s="92"/>
      <c r="P90" s="92"/>
      <c r="Q90" s="1"/>
      <c r="R90" s="92"/>
      <c r="S90" s="92"/>
      <c r="T90" s="92"/>
      <c r="U90" s="92"/>
      <c r="V90" s="92"/>
      <c r="W90" s="1"/>
      <c r="X90" s="1"/>
      <c r="Y90" s="1"/>
      <c r="Z90" s="1"/>
    </row>
    <row r="91" spans="1:26" ht="15.75" customHeight="1">
      <c r="A91" s="1"/>
      <c r="B91" s="619" t="s">
        <v>771</v>
      </c>
      <c r="C91" s="622">
        <f>H86</f>
        <v>175.41614250000001</v>
      </c>
      <c r="D91" s="74">
        <f>D84</f>
        <v>14.583333333333334</v>
      </c>
      <c r="E91" s="92"/>
      <c r="F91" s="579"/>
      <c r="G91" s="1"/>
      <c r="H91" s="1"/>
      <c r="I91" s="1"/>
      <c r="J91" s="1"/>
      <c r="K91" s="1"/>
      <c r="L91" s="1"/>
      <c r="M91" s="1"/>
      <c r="N91" s="1"/>
      <c r="O91" s="1"/>
      <c r="P91" s="1"/>
      <c r="Q91" s="1"/>
      <c r="R91" s="92"/>
      <c r="S91" s="92"/>
      <c r="T91" s="92"/>
      <c r="U91" s="92"/>
      <c r="V91" s="92"/>
      <c r="W91" s="1"/>
      <c r="X91" s="1"/>
      <c r="Y91" s="1"/>
      <c r="Z91" s="1"/>
    </row>
    <row r="92" spans="1:26" ht="15.75" customHeight="1">
      <c r="A92" s="1"/>
      <c r="B92" s="92"/>
      <c r="C92" s="92"/>
      <c r="D92" s="92"/>
      <c r="E92" s="92"/>
      <c r="F92" s="92"/>
      <c r="G92" s="92"/>
      <c r="H92" s="92"/>
      <c r="I92" s="92"/>
      <c r="J92" s="92"/>
      <c r="K92" s="92"/>
      <c r="L92" s="92"/>
      <c r="M92" s="92"/>
      <c r="N92" s="92"/>
      <c r="O92" s="92"/>
      <c r="P92" s="92"/>
      <c r="Q92" s="92"/>
      <c r="R92" s="92"/>
      <c r="S92" s="92"/>
      <c r="T92" s="92"/>
      <c r="U92" s="92"/>
      <c r="V92" s="92"/>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ustomHeight="1">
      <c r="A95" s="1"/>
      <c r="B95" s="1363" t="s">
        <v>821</v>
      </c>
      <c r="C95" s="1364"/>
      <c r="D95" s="1364"/>
      <c r="E95" s="1365"/>
      <c r="F95" s="1037"/>
      <c r="G95" s="1003"/>
      <c r="H95" s="1"/>
      <c r="I95" s="1"/>
      <c r="J95" s="1"/>
      <c r="K95" s="1"/>
      <c r="L95" s="1"/>
      <c r="M95" s="1"/>
      <c r="N95" s="1"/>
      <c r="O95" s="1"/>
      <c r="P95" s="1"/>
      <c r="Q95" s="1"/>
      <c r="R95" s="1"/>
      <c r="S95" s="1"/>
      <c r="T95" s="1"/>
      <c r="U95" s="1"/>
      <c r="V95" s="1"/>
      <c r="W95" s="1"/>
      <c r="X95" s="1"/>
      <c r="Y95" s="1"/>
      <c r="Z95" s="1"/>
    </row>
    <row r="96" spans="1:26" ht="15" customHeight="1">
      <c r="A96" s="1"/>
      <c r="B96" s="1"/>
      <c r="C96" s="1"/>
      <c r="D96" s="630" t="s">
        <v>775</v>
      </c>
      <c r="E96" s="630" t="s">
        <v>773</v>
      </c>
      <c r="F96" s="630" t="s">
        <v>774</v>
      </c>
      <c r="G96" s="630" t="s">
        <v>776</v>
      </c>
      <c r="H96" s="1"/>
      <c r="I96" s="1"/>
      <c r="J96" s="1"/>
      <c r="K96" s="1"/>
      <c r="L96" s="1"/>
      <c r="M96" s="1"/>
      <c r="N96" s="1"/>
      <c r="O96" s="1"/>
      <c r="P96" s="1"/>
      <c r="Q96" s="1"/>
      <c r="R96" s="1"/>
      <c r="S96" s="1"/>
      <c r="T96" s="1"/>
      <c r="U96" s="1"/>
      <c r="V96" s="1"/>
      <c r="W96" s="1"/>
      <c r="X96" s="1"/>
      <c r="Y96" s="1"/>
      <c r="Z96" s="1"/>
    </row>
    <row r="97" spans="1:26" ht="15" customHeight="1">
      <c r="A97" s="1"/>
      <c r="B97" s="611" t="s">
        <v>764</v>
      </c>
      <c r="C97" s="623">
        <f>((D97*100)/$D$100)/100</f>
        <v>0.3380281690140845</v>
      </c>
      <c r="D97" s="628">
        <v>24</v>
      </c>
      <c r="E97" s="628">
        <f>C20</f>
        <v>2048.5</v>
      </c>
      <c r="F97" s="629">
        <f>D97*E97</f>
        <v>49164</v>
      </c>
      <c r="G97" s="629">
        <f>F97*12</f>
        <v>589968</v>
      </c>
      <c r="H97" s="92"/>
      <c r="I97" s="92"/>
      <c r="J97" s="92"/>
      <c r="K97" s="92"/>
      <c r="L97" s="92"/>
      <c r="M97" s="92"/>
      <c r="N97" s="92"/>
      <c r="O97" s="92"/>
      <c r="P97" s="1"/>
      <c r="Q97" s="1"/>
      <c r="R97" s="1"/>
      <c r="S97" s="1"/>
      <c r="T97" s="1"/>
      <c r="U97" s="1"/>
      <c r="V97" s="1"/>
      <c r="W97" s="1"/>
      <c r="X97" s="1"/>
      <c r="Y97" s="1"/>
      <c r="Z97" s="1"/>
    </row>
    <row r="98" spans="1:26" s="578" customFormat="1" ht="15" customHeight="1">
      <c r="A98" s="579"/>
      <c r="B98" s="611" t="s">
        <v>765</v>
      </c>
      <c r="C98" s="623">
        <f t="shared" ref="C98:C99" si="5">((D98*100)/$D$100)/100</f>
        <v>0.45070422535211263</v>
      </c>
      <c r="D98" s="104">
        <v>32</v>
      </c>
      <c r="E98" s="121">
        <f>D20</f>
        <v>1311</v>
      </c>
      <c r="F98" s="121">
        <f t="shared" ref="F98:F99" si="6">D98*E98</f>
        <v>41952</v>
      </c>
      <c r="G98" s="629">
        <f t="shared" ref="G98:G99" si="7">F98*12</f>
        <v>503424</v>
      </c>
      <c r="H98" s="92"/>
      <c r="I98" s="92"/>
      <c r="J98" s="92"/>
      <c r="K98" s="92"/>
      <c r="L98" s="92"/>
      <c r="M98" s="92"/>
      <c r="N98" s="92"/>
      <c r="O98" s="92"/>
      <c r="P98" s="579"/>
      <c r="Q98" s="579"/>
      <c r="R98" s="579"/>
      <c r="S98" s="579"/>
      <c r="T98" s="579"/>
      <c r="U98" s="579"/>
      <c r="V98" s="579"/>
      <c r="W98" s="579"/>
      <c r="X98" s="579"/>
      <c r="Y98" s="579"/>
      <c r="Z98" s="579"/>
    </row>
    <row r="99" spans="1:26" ht="15" customHeight="1">
      <c r="A99" s="1"/>
      <c r="B99" s="611" t="s">
        <v>777</v>
      </c>
      <c r="C99" s="623">
        <f t="shared" si="5"/>
        <v>0.21126760563380281</v>
      </c>
      <c r="D99" s="104">
        <v>15</v>
      </c>
      <c r="E99" s="121">
        <f>C77</f>
        <v>783.33333333333337</v>
      </c>
      <c r="F99" s="121">
        <f t="shared" si="6"/>
        <v>11750</v>
      </c>
      <c r="G99" s="629">
        <f t="shared" si="7"/>
        <v>141000</v>
      </c>
      <c r="H99" s="92"/>
      <c r="I99" s="92"/>
      <c r="J99" s="92"/>
      <c r="K99" s="92"/>
      <c r="L99" s="92"/>
      <c r="M99" s="92"/>
      <c r="N99" s="92"/>
      <c r="O99" s="92"/>
      <c r="P99" s="1"/>
      <c r="Q99" s="1"/>
      <c r="R99" s="1"/>
      <c r="S99" s="1"/>
      <c r="T99" s="1"/>
      <c r="U99" s="1"/>
      <c r="V99" s="1"/>
      <c r="W99" s="1"/>
      <c r="X99" s="1"/>
      <c r="Y99" s="1"/>
      <c r="Z99" s="1"/>
    </row>
    <row r="100" spans="1:26" ht="15" customHeight="1">
      <c r="A100" s="1"/>
      <c r="B100" s="105" t="s">
        <v>183</v>
      </c>
      <c r="C100" s="624">
        <f>SUM(C97:C99)</f>
        <v>1</v>
      </c>
      <c r="D100" s="106">
        <v>71</v>
      </c>
      <c r="E100" s="627"/>
      <c r="F100" s="626">
        <f>SUM(F97:F99)</f>
        <v>102866</v>
      </c>
      <c r="G100" s="632">
        <f>SUM(G97:G99)</f>
        <v>1234392</v>
      </c>
      <c r="H100" s="92"/>
      <c r="I100" s="92"/>
      <c r="J100" s="92"/>
      <c r="K100" s="92"/>
      <c r="L100" s="92"/>
      <c r="M100" s="92"/>
      <c r="N100" s="92"/>
      <c r="O100" s="92"/>
      <c r="P100" s="1"/>
      <c r="Q100" s="1"/>
      <c r="R100" s="1"/>
      <c r="S100" s="1"/>
      <c r="T100" s="1"/>
      <c r="U100" s="1"/>
      <c r="V100" s="1"/>
      <c r="W100" s="1"/>
      <c r="X100" s="1"/>
      <c r="Y100" s="1"/>
      <c r="Z100" s="1"/>
    </row>
    <row r="101" spans="1:26" ht="15" customHeight="1">
      <c r="A101" s="1"/>
      <c r="B101" s="108"/>
      <c r="C101" s="108"/>
      <c r="D101" s="108"/>
      <c r="E101" s="108"/>
      <c r="F101" s="108"/>
      <c r="G101" s="108"/>
      <c r="H101" s="108"/>
      <c r="I101" s="108"/>
      <c r="J101" s="108"/>
      <c r="K101" s="108"/>
      <c r="L101" s="108"/>
      <c r="M101" s="92"/>
      <c r="N101" s="92"/>
      <c r="O101" s="92"/>
      <c r="P101" s="1"/>
      <c r="Q101" s="1"/>
      <c r="R101" s="1"/>
      <c r="S101" s="1"/>
      <c r="T101" s="1"/>
      <c r="U101" s="1"/>
      <c r="V101" s="1"/>
      <c r="W101" s="1"/>
      <c r="X101" s="1"/>
      <c r="Y101" s="1"/>
      <c r="Z101" s="1"/>
    </row>
    <row r="102" spans="1:26" ht="15" customHeight="1">
      <c r="A102" s="1"/>
      <c r="B102" s="1017" t="s">
        <v>184</v>
      </c>
      <c r="C102" s="1018"/>
      <c r="D102" s="1018"/>
      <c r="E102" s="1018"/>
      <c r="F102" s="1018"/>
      <c r="G102" s="1018"/>
      <c r="H102" s="1019"/>
      <c r="I102" s="105"/>
      <c r="J102" s="105"/>
      <c r="K102" s="109"/>
      <c r="L102" s="109"/>
      <c r="M102" s="92"/>
      <c r="N102" s="92"/>
      <c r="O102" s="92"/>
      <c r="P102" s="1"/>
      <c r="Q102" s="1"/>
      <c r="R102" s="1"/>
      <c r="S102" s="1"/>
      <c r="T102" s="1"/>
      <c r="U102" s="1"/>
      <c r="V102" s="1"/>
      <c r="W102" s="1"/>
      <c r="X102" s="1"/>
      <c r="Y102" s="1"/>
      <c r="Z102" s="1"/>
    </row>
    <row r="103" spans="1:26" ht="15" customHeight="1">
      <c r="A103" s="1"/>
      <c r="B103" s="108"/>
      <c r="C103" s="108"/>
      <c r="D103" s="108"/>
      <c r="E103" s="108"/>
      <c r="F103" s="108"/>
      <c r="G103" s="108"/>
      <c r="H103" s="108"/>
      <c r="I103" s="108"/>
      <c r="J103" s="108"/>
      <c r="K103" s="108"/>
      <c r="L103" s="108"/>
      <c r="M103" s="108"/>
      <c r="N103" s="108"/>
      <c r="O103" s="108"/>
      <c r="P103" s="1"/>
      <c r="Q103" s="1"/>
      <c r="R103" s="1"/>
      <c r="S103" s="1"/>
      <c r="T103" s="1"/>
      <c r="U103" s="1"/>
      <c r="V103" s="1"/>
      <c r="W103" s="1"/>
      <c r="X103" s="1"/>
      <c r="Y103" s="1"/>
      <c r="Z103" s="1"/>
    </row>
    <row r="104" spans="1:26" ht="15" customHeight="1">
      <c r="A104" s="1"/>
      <c r="B104" s="610" t="s">
        <v>762</v>
      </c>
      <c r="C104" s="107">
        <v>2023</v>
      </c>
      <c r="D104" s="107">
        <f t="shared" ref="D104:O104" si="8">C104</f>
        <v>2023</v>
      </c>
      <c r="E104" s="107">
        <f t="shared" si="8"/>
        <v>2023</v>
      </c>
      <c r="F104" s="107">
        <f t="shared" si="8"/>
        <v>2023</v>
      </c>
      <c r="G104" s="107">
        <f t="shared" si="8"/>
        <v>2023</v>
      </c>
      <c r="H104" s="107">
        <f t="shared" si="8"/>
        <v>2023</v>
      </c>
      <c r="I104" s="107">
        <f t="shared" si="8"/>
        <v>2023</v>
      </c>
      <c r="J104" s="107">
        <f t="shared" si="8"/>
        <v>2023</v>
      </c>
      <c r="K104" s="107">
        <f t="shared" si="8"/>
        <v>2023</v>
      </c>
      <c r="L104" s="107">
        <f t="shared" si="8"/>
        <v>2023</v>
      </c>
      <c r="M104" s="107">
        <f t="shared" si="8"/>
        <v>2023</v>
      </c>
      <c r="N104" s="107">
        <f t="shared" si="8"/>
        <v>2023</v>
      </c>
      <c r="O104" s="107">
        <f t="shared" si="8"/>
        <v>2023</v>
      </c>
      <c r="P104" s="1"/>
      <c r="Q104" s="1"/>
      <c r="R104" s="1"/>
      <c r="S104" s="1"/>
      <c r="T104" s="1"/>
      <c r="U104" s="1"/>
      <c r="V104" s="1"/>
      <c r="W104" s="1"/>
      <c r="X104" s="1"/>
      <c r="Y104" s="1"/>
      <c r="Z104" s="1"/>
    </row>
    <row r="105" spans="1:26" ht="15" customHeight="1">
      <c r="A105" s="1"/>
      <c r="B105" s="110" t="s">
        <v>185</v>
      </c>
      <c r="C105" s="111" t="s">
        <v>186</v>
      </c>
      <c r="D105" s="111" t="s">
        <v>187</v>
      </c>
      <c r="E105" s="111" t="s">
        <v>188</v>
      </c>
      <c r="F105" s="111" t="s">
        <v>189</v>
      </c>
      <c r="G105" s="111" t="s">
        <v>190</v>
      </c>
      <c r="H105" s="111" t="s">
        <v>191</v>
      </c>
      <c r="I105" s="111" t="s">
        <v>192</v>
      </c>
      <c r="J105" s="111" t="s">
        <v>193</v>
      </c>
      <c r="K105" s="111" t="s">
        <v>194</v>
      </c>
      <c r="L105" s="111" t="s">
        <v>195</v>
      </c>
      <c r="M105" s="111" t="s">
        <v>196</v>
      </c>
      <c r="N105" s="111" t="s">
        <v>197</v>
      </c>
      <c r="O105" s="112" t="s">
        <v>198</v>
      </c>
      <c r="P105" s="1"/>
      <c r="Q105" s="1"/>
      <c r="R105" s="1"/>
      <c r="S105" s="1"/>
      <c r="T105" s="1"/>
      <c r="U105" s="1"/>
      <c r="V105" s="1"/>
      <c r="W105" s="1"/>
      <c r="X105" s="1"/>
      <c r="Y105" s="1"/>
      <c r="Z105" s="1"/>
    </row>
    <row r="106" spans="1:26" ht="15" customHeight="1">
      <c r="A106" s="1"/>
      <c r="B106" s="631" t="s">
        <v>775</v>
      </c>
      <c r="C106" s="114">
        <f>D97</f>
        <v>24</v>
      </c>
      <c r="D106" s="114">
        <f t="shared" ref="D106:N106" si="9">C106</f>
        <v>24</v>
      </c>
      <c r="E106" s="114">
        <f t="shared" si="9"/>
        <v>24</v>
      </c>
      <c r="F106" s="114">
        <f t="shared" si="9"/>
        <v>24</v>
      </c>
      <c r="G106" s="114">
        <f t="shared" si="9"/>
        <v>24</v>
      </c>
      <c r="H106" s="114">
        <f t="shared" si="9"/>
        <v>24</v>
      </c>
      <c r="I106" s="114">
        <f t="shared" si="9"/>
        <v>24</v>
      </c>
      <c r="J106" s="114">
        <f t="shared" si="9"/>
        <v>24</v>
      </c>
      <c r="K106" s="114">
        <f t="shared" si="9"/>
        <v>24</v>
      </c>
      <c r="L106" s="114">
        <f t="shared" si="9"/>
        <v>24</v>
      </c>
      <c r="M106" s="114">
        <f t="shared" si="9"/>
        <v>24</v>
      </c>
      <c r="N106" s="114">
        <f t="shared" si="9"/>
        <v>24</v>
      </c>
      <c r="O106" s="115">
        <f>SUM(C106:N106)</f>
        <v>288</v>
      </c>
      <c r="P106" s="1"/>
      <c r="Q106" s="1"/>
      <c r="R106" s="1"/>
      <c r="S106" s="1"/>
      <c r="T106" s="1"/>
      <c r="U106" s="1"/>
      <c r="V106" s="1"/>
      <c r="W106" s="1"/>
      <c r="X106" s="1"/>
      <c r="Y106" s="1"/>
      <c r="Z106" s="1"/>
    </row>
    <row r="107" spans="1:26" ht="15" customHeight="1">
      <c r="A107" s="1"/>
      <c r="B107" s="113" t="s">
        <v>199</v>
      </c>
      <c r="C107" s="110">
        <f>C20</f>
        <v>2048.5</v>
      </c>
      <c r="D107" s="110">
        <f t="shared" ref="D107:N107" si="10">C107</f>
        <v>2048.5</v>
      </c>
      <c r="E107" s="110">
        <f t="shared" si="10"/>
        <v>2048.5</v>
      </c>
      <c r="F107" s="110">
        <f t="shared" si="10"/>
        <v>2048.5</v>
      </c>
      <c r="G107" s="110">
        <f t="shared" si="10"/>
        <v>2048.5</v>
      </c>
      <c r="H107" s="110">
        <f t="shared" si="10"/>
        <v>2048.5</v>
      </c>
      <c r="I107" s="110">
        <f t="shared" si="10"/>
        <v>2048.5</v>
      </c>
      <c r="J107" s="110">
        <f t="shared" si="10"/>
        <v>2048.5</v>
      </c>
      <c r="K107" s="110">
        <f t="shared" si="10"/>
        <v>2048.5</v>
      </c>
      <c r="L107" s="110">
        <f t="shared" si="10"/>
        <v>2048.5</v>
      </c>
      <c r="M107" s="110">
        <f t="shared" si="10"/>
        <v>2048.5</v>
      </c>
      <c r="N107" s="110">
        <f t="shared" si="10"/>
        <v>2048.5</v>
      </c>
      <c r="O107" s="116">
        <v>40</v>
      </c>
      <c r="P107" s="1"/>
      <c r="Q107" s="1"/>
      <c r="R107" s="1"/>
      <c r="S107" s="1"/>
      <c r="T107" s="1"/>
      <c r="U107" s="1"/>
      <c r="V107" s="1"/>
      <c r="W107" s="1"/>
      <c r="X107" s="1"/>
      <c r="Y107" s="1"/>
      <c r="Z107" s="1"/>
    </row>
    <row r="108" spans="1:26" ht="15" customHeight="1">
      <c r="A108" s="1"/>
      <c r="B108" s="113"/>
      <c r="C108" s="110"/>
      <c r="D108" s="110"/>
      <c r="E108" s="110"/>
      <c r="F108" s="110"/>
      <c r="G108" s="110"/>
      <c r="H108" s="110"/>
      <c r="I108" s="110"/>
      <c r="J108" s="110"/>
      <c r="K108" s="110"/>
      <c r="L108" s="110"/>
      <c r="M108" s="110"/>
      <c r="N108" s="110"/>
      <c r="O108" s="115"/>
      <c r="P108" s="1"/>
      <c r="Q108" s="1"/>
      <c r="R108" s="1"/>
      <c r="S108" s="1"/>
      <c r="T108" s="1"/>
      <c r="U108" s="1"/>
      <c r="V108" s="1"/>
      <c r="W108" s="1"/>
      <c r="X108" s="1"/>
      <c r="Y108" s="1"/>
      <c r="Z108" s="1"/>
    </row>
    <row r="109" spans="1:26" ht="34.5" customHeight="1">
      <c r="A109" s="1"/>
      <c r="B109" s="617" t="s">
        <v>768</v>
      </c>
      <c r="C109" s="117">
        <f t="shared" ref="C109:N109" si="11">C106*C107</f>
        <v>49164</v>
      </c>
      <c r="D109" s="117">
        <f t="shared" si="11"/>
        <v>49164</v>
      </c>
      <c r="E109" s="117">
        <f t="shared" si="11"/>
        <v>49164</v>
      </c>
      <c r="F109" s="117">
        <f t="shared" si="11"/>
        <v>49164</v>
      </c>
      <c r="G109" s="117">
        <f t="shared" si="11"/>
        <v>49164</v>
      </c>
      <c r="H109" s="117">
        <f t="shared" si="11"/>
        <v>49164</v>
      </c>
      <c r="I109" s="117">
        <f t="shared" si="11"/>
        <v>49164</v>
      </c>
      <c r="J109" s="117">
        <f t="shared" si="11"/>
        <v>49164</v>
      </c>
      <c r="K109" s="117">
        <f t="shared" si="11"/>
        <v>49164</v>
      </c>
      <c r="L109" s="117">
        <f t="shared" si="11"/>
        <v>49164</v>
      </c>
      <c r="M109" s="117">
        <f t="shared" si="11"/>
        <v>49164</v>
      </c>
      <c r="N109" s="117">
        <f t="shared" si="11"/>
        <v>49164</v>
      </c>
      <c r="O109" s="117">
        <f>SUM(C109:N109)</f>
        <v>589968</v>
      </c>
      <c r="P109" s="1"/>
      <c r="Q109" s="1"/>
      <c r="R109" s="1"/>
      <c r="S109" s="1"/>
      <c r="T109" s="1"/>
      <c r="U109" s="1"/>
      <c r="V109" s="1"/>
      <c r="W109" s="1"/>
      <c r="X109" s="1"/>
      <c r="Y109" s="1"/>
      <c r="Z109" s="1"/>
    </row>
    <row r="110" spans="1:26" ht="15" customHeight="1">
      <c r="A110" s="1"/>
      <c r="B110" s="108"/>
      <c r="C110" s="108"/>
      <c r="D110" s="108"/>
      <c r="E110" s="108"/>
      <c r="F110" s="108"/>
      <c r="G110" s="108"/>
      <c r="H110" s="108"/>
      <c r="I110" s="108"/>
      <c r="J110" s="108"/>
      <c r="K110" s="108"/>
      <c r="L110" s="108"/>
      <c r="M110" s="108"/>
      <c r="N110" s="108"/>
      <c r="O110" s="108"/>
      <c r="P110" s="1"/>
      <c r="Q110" s="1"/>
      <c r="R110" s="1"/>
      <c r="S110" s="1"/>
      <c r="T110" s="1"/>
      <c r="U110" s="1"/>
      <c r="V110" s="1"/>
      <c r="W110" s="1"/>
      <c r="X110" s="1"/>
      <c r="Y110" s="1"/>
      <c r="Z110" s="1"/>
    </row>
    <row r="111" spans="1:26" ht="15" customHeight="1">
      <c r="A111" s="1"/>
      <c r="B111" s="610" t="s">
        <v>763</v>
      </c>
      <c r="C111" s="107">
        <v>2023</v>
      </c>
      <c r="D111" s="107">
        <f t="shared" ref="D111:O111" si="12">C111</f>
        <v>2023</v>
      </c>
      <c r="E111" s="107">
        <f t="shared" si="12"/>
        <v>2023</v>
      </c>
      <c r="F111" s="107">
        <f t="shared" si="12"/>
        <v>2023</v>
      </c>
      <c r="G111" s="107">
        <f t="shared" si="12"/>
        <v>2023</v>
      </c>
      <c r="H111" s="107">
        <f t="shared" si="12"/>
        <v>2023</v>
      </c>
      <c r="I111" s="107">
        <f t="shared" si="12"/>
        <v>2023</v>
      </c>
      <c r="J111" s="107">
        <f t="shared" si="12"/>
        <v>2023</v>
      </c>
      <c r="K111" s="107">
        <f t="shared" si="12"/>
        <v>2023</v>
      </c>
      <c r="L111" s="107">
        <f t="shared" si="12"/>
        <v>2023</v>
      </c>
      <c r="M111" s="107">
        <f t="shared" si="12"/>
        <v>2023</v>
      </c>
      <c r="N111" s="107">
        <f t="shared" si="12"/>
        <v>2023</v>
      </c>
      <c r="O111" s="107">
        <f t="shared" si="12"/>
        <v>2023</v>
      </c>
      <c r="P111" s="1"/>
      <c r="Q111" s="1"/>
      <c r="R111" s="1"/>
      <c r="S111" s="1"/>
      <c r="T111" s="1"/>
      <c r="U111" s="1"/>
      <c r="V111" s="1"/>
      <c r="W111" s="1"/>
      <c r="X111" s="1"/>
      <c r="Y111" s="1"/>
      <c r="Z111" s="1"/>
    </row>
    <row r="112" spans="1:26" ht="15" customHeight="1">
      <c r="A112" s="1"/>
      <c r="B112" s="110" t="s">
        <v>185</v>
      </c>
      <c r="C112" s="111" t="s">
        <v>186</v>
      </c>
      <c r="D112" s="111" t="s">
        <v>187</v>
      </c>
      <c r="E112" s="111" t="s">
        <v>188</v>
      </c>
      <c r="F112" s="111" t="s">
        <v>189</v>
      </c>
      <c r="G112" s="111" t="s">
        <v>190</v>
      </c>
      <c r="H112" s="111" t="s">
        <v>191</v>
      </c>
      <c r="I112" s="111" t="s">
        <v>192</v>
      </c>
      <c r="J112" s="111" t="s">
        <v>193</v>
      </c>
      <c r="K112" s="111" t="s">
        <v>194</v>
      </c>
      <c r="L112" s="111" t="s">
        <v>195</v>
      </c>
      <c r="M112" s="111" t="s">
        <v>196</v>
      </c>
      <c r="N112" s="111" t="s">
        <v>197</v>
      </c>
      <c r="O112" s="112" t="s">
        <v>198</v>
      </c>
      <c r="P112" s="1"/>
      <c r="Q112" s="1"/>
      <c r="R112" s="1"/>
      <c r="S112" s="1"/>
      <c r="T112" s="1"/>
      <c r="U112" s="1"/>
      <c r="V112" s="1"/>
      <c r="W112" s="1"/>
      <c r="X112" s="1"/>
      <c r="Y112" s="1"/>
      <c r="Z112" s="1"/>
    </row>
    <row r="113" spans="1:26" ht="15" customHeight="1">
      <c r="A113" s="1"/>
      <c r="B113" s="631" t="s">
        <v>775</v>
      </c>
      <c r="C113" s="114">
        <f>D98</f>
        <v>32</v>
      </c>
      <c r="D113" s="114">
        <f t="shared" ref="D113:N113" si="13">C113</f>
        <v>32</v>
      </c>
      <c r="E113" s="114">
        <f t="shared" si="13"/>
        <v>32</v>
      </c>
      <c r="F113" s="114">
        <f t="shared" si="13"/>
        <v>32</v>
      </c>
      <c r="G113" s="114">
        <f t="shared" si="13"/>
        <v>32</v>
      </c>
      <c r="H113" s="114">
        <f t="shared" si="13"/>
        <v>32</v>
      </c>
      <c r="I113" s="114">
        <f t="shared" si="13"/>
        <v>32</v>
      </c>
      <c r="J113" s="114">
        <f t="shared" si="13"/>
        <v>32</v>
      </c>
      <c r="K113" s="114">
        <f t="shared" si="13"/>
        <v>32</v>
      </c>
      <c r="L113" s="114">
        <f t="shared" si="13"/>
        <v>32</v>
      </c>
      <c r="M113" s="114">
        <f t="shared" si="13"/>
        <v>32</v>
      </c>
      <c r="N113" s="114">
        <f t="shared" si="13"/>
        <v>32</v>
      </c>
      <c r="O113" s="115">
        <f>SUM(C113:N113)</f>
        <v>384</v>
      </c>
      <c r="P113" s="1"/>
      <c r="Q113" s="1"/>
      <c r="R113" s="1"/>
      <c r="S113" s="1"/>
      <c r="T113" s="1"/>
      <c r="U113" s="1"/>
      <c r="V113" s="1"/>
      <c r="W113" s="1"/>
      <c r="X113" s="1"/>
      <c r="Y113" s="1"/>
      <c r="Z113" s="1"/>
    </row>
    <row r="114" spans="1:26" ht="15" customHeight="1">
      <c r="A114" s="1"/>
      <c r="B114" s="113" t="s">
        <v>199</v>
      </c>
      <c r="C114" s="110">
        <f>D20</f>
        <v>1311</v>
      </c>
      <c r="D114" s="110">
        <f t="shared" ref="D114:N114" si="14">C114</f>
        <v>1311</v>
      </c>
      <c r="E114" s="110">
        <f t="shared" si="14"/>
        <v>1311</v>
      </c>
      <c r="F114" s="110">
        <f t="shared" si="14"/>
        <v>1311</v>
      </c>
      <c r="G114" s="110">
        <f t="shared" si="14"/>
        <v>1311</v>
      </c>
      <c r="H114" s="110">
        <f t="shared" si="14"/>
        <v>1311</v>
      </c>
      <c r="I114" s="110">
        <f t="shared" si="14"/>
        <v>1311</v>
      </c>
      <c r="J114" s="110">
        <f t="shared" si="14"/>
        <v>1311</v>
      </c>
      <c r="K114" s="110">
        <f t="shared" si="14"/>
        <v>1311</v>
      </c>
      <c r="L114" s="110">
        <f t="shared" si="14"/>
        <v>1311</v>
      </c>
      <c r="M114" s="110">
        <f t="shared" si="14"/>
        <v>1311</v>
      </c>
      <c r="N114" s="110">
        <f t="shared" si="14"/>
        <v>1311</v>
      </c>
      <c r="O114" s="116">
        <v>40</v>
      </c>
      <c r="P114" s="1"/>
      <c r="Q114" s="1"/>
      <c r="R114" s="1"/>
      <c r="S114" s="1"/>
      <c r="T114" s="1"/>
      <c r="U114" s="1"/>
      <c r="V114" s="1"/>
      <c r="W114" s="1"/>
      <c r="X114" s="1"/>
      <c r="Y114" s="1"/>
      <c r="Z114" s="1"/>
    </row>
    <row r="115" spans="1:26" ht="15" customHeight="1">
      <c r="A115" s="1"/>
      <c r="B115" s="113"/>
      <c r="C115" s="110"/>
      <c r="D115" s="110"/>
      <c r="E115" s="110"/>
      <c r="F115" s="110"/>
      <c r="G115" s="110"/>
      <c r="H115" s="110"/>
      <c r="I115" s="110"/>
      <c r="J115" s="110"/>
      <c r="K115" s="110"/>
      <c r="L115" s="110"/>
      <c r="M115" s="110"/>
      <c r="N115" s="110"/>
      <c r="O115" s="115"/>
      <c r="P115" s="1"/>
      <c r="Q115" s="1"/>
      <c r="R115" s="1"/>
      <c r="S115" s="1"/>
      <c r="T115" s="1"/>
      <c r="U115" s="1"/>
      <c r="V115" s="1"/>
      <c r="W115" s="1"/>
      <c r="X115" s="1"/>
      <c r="Y115" s="1"/>
      <c r="Z115" s="1"/>
    </row>
    <row r="116" spans="1:26" ht="30" customHeight="1">
      <c r="A116" s="1"/>
      <c r="B116" s="617" t="s">
        <v>769</v>
      </c>
      <c r="C116" s="117">
        <f t="shared" ref="C116:N116" si="15">C113*C114</f>
        <v>41952</v>
      </c>
      <c r="D116" s="117">
        <f t="shared" si="15"/>
        <v>41952</v>
      </c>
      <c r="E116" s="117">
        <f t="shared" si="15"/>
        <v>41952</v>
      </c>
      <c r="F116" s="117">
        <f t="shared" si="15"/>
        <v>41952</v>
      </c>
      <c r="G116" s="117">
        <f t="shared" si="15"/>
        <v>41952</v>
      </c>
      <c r="H116" s="117">
        <f t="shared" si="15"/>
        <v>41952</v>
      </c>
      <c r="I116" s="117">
        <f t="shared" si="15"/>
        <v>41952</v>
      </c>
      <c r="J116" s="117">
        <f t="shared" si="15"/>
        <v>41952</v>
      </c>
      <c r="K116" s="117">
        <f t="shared" si="15"/>
        <v>41952</v>
      </c>
      <c r="L116" s="117">
        <f t="shared" si="15"/>
        <v>41952</v>
      </c>
      <c r="M116" s="117">
        <f t="shared" si="15"/>
        <v>41952</v>
      </c>
      <c r="N116" s="117">
        <f t="shared" si="15"/>
        <v>41952</v>
      </c>
      <c r="O116" s="117">
        <f>SUM(C116:N116)</f>
        <v>503424</v>
      </c>
      <c r="P116" s="1"/>
      <c r="Q116" s="1"/>
      <c r="R116" s="1"/>
      <c r="S116" s="1"/>
      <c r="T116" s="1"/>
      <c r="U116" s="1"/>
      <c r="V116" s="1"/>
      <c r="W116" s="1"/>
      <c r="X116" s="1"/>
      <c r="Y116" s="1"/>
      <c r="Z116" s="1"/>
    </row>
    <row r="117" spans="1:26" ht="1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32.25" customHeight="1">
      <c r="A118" s="1"/>
      <c r="B118" s="119" t="s">
        <v>200</v>
      </c>
      <c r="C118" s="107">
        <v>2023</v>
      </c>
      <c r="D118" s="107">
        <f t="shared" ref="D118:O118" si="16">C118</f>
        <v>2023</v>
      </c>
      <c r="E118" s="107">
        <f t="shared" si="16"/>
        <v>2023</v>
      </c>
      <c r="F118" s="107">
        <f t="shared" si="16"/>
        <v>2023</v>
      </c>
      <c r="G118" s="107">
        <f t="shared" si="16"/>
        <v>2023</v>
      </c>
      <c r="H118" s="107">
        <f t="shared" si="16"/>
        <v>2023</v>
      </c>
      <c r="I118" s="107">
        <f t="shared" si="16"/>
        <v>2023</v>
      </c>
      <c r="J118" s="107">
        <f t="shared" si="16"/>
        <v>2023</v>
      </c>
      <c r="K118" s="107">
        <f t="shared" si="16"/>
        <v>2023</v>
      </c>
      <c r="L118" s="107">
        <f t="shared" si="16"/>
        <v>2023</v>
      </c>
      <c r="M118" s="107">
        <f t="shared" si="16"/>
        <v>2023</v>
      </c>
      <c r="N118" s="107">
        <f t="shared" si="16"/>
        <v>2023</v>
      </c>
      <c r="O118" s="107">
        <f t="shared" si="16"/>
        <v>2023</v>
      </c>
      <c r="P118" s="1"/>
      <c r="Q118" s="1"/>
      <c r="R118" s="1"/>
      <c r="S118" s="1"/>
      <c r="T118" s="1"/>
      <c r="U118" s="1"/>
      <c r="V118" s="1"/>
      <c r="W118" s="1"/>
      <c r="X118" s="1"/>
      <c r="Y118" s="1"/>
      <c r="Z118" s="1"/>
    </row>
    <row r="119" spans="1:26" ht="15" customHeight="1">
      <c r="A119" s="1"/>
      <c r="B119" s="110" t="s">
        <v>185</v>
      </c>
      <c r="C119" s="111" t="s">
        <v>186</v>
      </c>
      <c r="D119" s="111" t="s">
        <v>187</v>
      </c>
      <c r="E119" s="111" t="s">
        <v>188</v>
      </c>
      <c r="F119" s="111" t="s">
        <v>189</v>
      </c>
      <c r="G119" s="111" t="s">
        <v>190</v>
      </c>
      <c r="H119" s="111" t="s">
        <v>191</v>
      </c>
      <c r="I119" s="111" t="s">
        <v>192</v>
      </c>
      <c r="J119" s="111" t="s">
        <v>193</v>
      </c>
      <c r="K119" s="111" t="s">
        <v>194</v>
      </c>
      <c r="L119" s="111" t="s">
        <v>195</v>
      </c>
      <c r="M119" s="111" t="s">
        <v>196</v>
      </c>
      <c r="N119" s="111" t="s">
        <v>197</v>
      </c>
      <c r="O119" s="112" t="s">
        <v>198</v>
      </c>
      <c r="P119" s="1"/>
      <c r="Q119" s="1"/>
      <c r="R119" s="1"/>
      <c r="S119" s="1"/>
      <c r="T119" s="1"/>
      <c r="U119" s="1"/>
      <c r="V119" s="1"/>
      <c r="W119" s="1"/>
      <c r="X119" s="1"/>
      <c r="Y119" s="1"/>
      <c r="Z119" s="1"/>
    </row>
    <row r="120" spans="1:26" ht="15" customHeight="1">
      <c r="A120" s="1"/>
      <c r="B120" s="631" t="s">
        <v>775</v>
      </c>
      <c r="C120" s="114">
        <f>D99</f>
        <v>15</v>
      </c>
      <c r="D120" s="114">
        <f t="shared" ref="D120:N120" si="17">C120</f>
        <v>15</v>
      </c>
      <c r="E120" s="114">
        <f t="shared" si="17"/>
        <v>15</v>
      </c>
      <c r="F120" s="114">
        <f t="shared" si="17"/>
        <v>15</v>
      </c>
      <c r="G120" s="114">
        <f t="shared" si="17"/>
        <v>15</v>
      </c>
      <c r="H120" s="114">
        <f t="shared" si="17"/>
        <v>15</v>
      </c>
      <c r="I120" s="114">
        <f t="shared" si="17"/>
        <v>15</v>
      </c>
      <c r="J120" s="114">
        <f t="shared" si="17"/>
        <v>15</v>
      </c>
      <c r="K120" s="114">
        <f t="shared" si="17"/>
        <v>15</v>
      </c>
      <c r="L120" s="114">
        <f t="shared" si="17"/>
        <v>15</v>
      </c>
      <c r="M120" s="114">
        <f t="shared" si="17"/>
        <v>15</v>
      </c>
      <c r="N120" s="114">
        <f t="shared" si="17"/>
        <v>15</v>
      </c>
      <c r="O120" s="115">
        <f>SUM(C120:N120)</f>
        <v>180</v>
      </c>
      <c r="P120" s="1"/>
      <c r="Q120" s="1"/>
      <c r="R120" s="1"/>
      <c r="S120" s="1"/>
      <c r="T120" s="1"/>
      <c r="U120" s="1"/>
      <c r="V120" s="1"/>
      <c r="W120" s="1"/>
      <c r="X120" s="1"/>
      <c r="Y120" s="1"/>
      <c r="Z120" s="1"/>
    </row>
    <row r="121" spans="1:26" ht="15" customHeight="1">
      <c r="A121" s="1"/>
      <c r="B121" s="113" t="s">
        <v>199</v>
      </c>
      <c r="C121" s="110">
        <f>C77</f>
        <v>783.33333333333337</v>
      </c>
      <c r="D121" s="110">
        <f t="shared" ref="D121:N121" si="18">C121</f>
        <v>783.33333333333337</v>
      </c>
      <c r="E121" s="110">
        <f t="shared" si="18"/>
        <v>783.33333333333337</v>
      </c>
      <c r="F121" s="110">
        <f t="shared" si="18"/>
        <v>783.33333333333337</v>
      </c>
      <c r="G121" s="110">
        <f t="shared" si="18"/>
        <v>783.33333333333337</v>
      </c>
      <c r="H121" s="110">
        <f t="shared" si="18"/>
        <v>783.33333333333337</v>
      </c>
      <c r="I121" s="110">
        <f t="shared" si="18"/>
        <v>783.33333333333337</v>
      </c>
      <c r="J121" s="110">
        <f t="shared" si="18"/>
        <v>783.33333333333337</v>
      </c>
      <c r="K121" s="110">
        <f t="shared" si="18"/>
        <v>783.33333333333337</v>
      </c>
      <c r="L121" s="110">
        <f t="shared" si="18"/>
        <v>783.33333333333337</v>
      </c>
      <c r="M121" s="110">
        <f t="shared" si="18"/>
        <v>783.33333333333337</v>
      </c>
      <c r="N121" s="110">
        <f t="shared" si="18"/>
        <v>783.33333333333337</v>
      </c>
      <c r="O121" s="116">
        <v>40</v>
      </c>
      <c r="P121" s="1"/>
      <c r="Q121" s="1"/>
      <c r="R121" s="1"/>
      <c r="S121" s="1"/>
      <c r="T121" s="1"/>
      <c r="U121" s="1"/>
      <c r="V121" s="1"/>
      <c r="W121" s="1"/>
      <c r="X121" s="1"/>
      <c r="Y121" s="1"/>
      <c r="Z121" s="1"/>
    </row>
    <row r="122" spans="1:26" ht="1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48" customHeight="1">
      <c r="A123" s="1"/>
      <c r="B123" s="618" t="s">
        <v>770</v>
      </c>
      <c r="C123" s="117">
        <f t="shared" ref="C123:N123" si="19">C120*C121</f>
        <v>11750</v>
      </c>
      <c r="D123" s="117">
        <f t="shared" si="19"/>
        <v>11750</v>
      </c>
      <c r="E123" s="117">
        <f t="shared" si="19"/>
        <v>11750</v>
      </c>
      <c r="F123" s="117">
        <f t="shared" si="19"/>
        <v>11750</v>
      </c>
      <c r="G123" s="117">
        <f t="shared" si="19"/>
        <v>11750</v>
      </c>
      <c r="H123" s="117">
        <f t="shared" si="19"/>
        <v>11750</v>
      </c>
      <c r="I123" s="117">
        <f t="shared" si="19"/>
        <v>11750</v>
      </c>
      <c r="J123" s="117">
        <f t="shared" si="19"/>
        <v>11750</v>
      </c>
      <c r="K123" s="117">
        <f t="shared" si="19"/>
        <v>11750</v>
      </c>
      <c r="L123" s="117">
        <f t="shared" si="19"/>
        <v>11750</v>
      </c>
      <c r="M123" s="117">
        <f t="shared" si="19"/>
        <v>11750</v>
      </c>
      <c r="N123" s="117">
        <f t="shared" si="19"/>
        <v>11750</v>
      </c>
      <c r="O123" s="117">
        <f>SUM(C123:N123)</f>
        <v>141000</v>
      </c>
      <c r="P123" s="1"/>
      <c r="Q123" s="1"/>
      <c r="R123" s="1"/>
      <c r="S123" s="1"/>
      <c r="T123" s="1"/>
      <c r="U123" s="1"/>
      <c r="V123" s="1"/>
      <c r="W123" s="1"/>
      <c r="X123" s="1"/>
      <c r="Y123" s="1"/>
      <c r="Z123" s="1"/>
    </row>
    <row r="124" spans="1:26" ht="1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 customHeight="1">
      <c r="A125" s="1"/>
      <c r="B125" s="1038" t="s">
        <v>201</v>
      </c>
      <c r="C125" s="112">
        <f t="shared" ref="C125:N125" si="20">C111</f>
        <v>2023</v>
      </c>
      <c r="D125" s="112">
        <f t="shared" si="20"/>
        <v>2023</v>
      </c>
      <c r="E125" s="112">
        <f t="shared" si="20"/>
        <v>2023</v>
      </c>
      <c r="F125" s="112">
        <f t="shared" si="20"/>
        <v>2023</v>
      </c>
      <c r="G125" s="112">
        <f t="shared" si="20"/>
        <v>2023</v>
      </c>
      <c r="H125" s="112">
        <f t="shared" si="20"/>
        <v>2023</v>
      </c>
      <c r="I125" s="112">
        <f>I111</f>
        <v>2023</v>
      </c>
      <c r="J125" s="112">
        <f t="shared" si="20"/>
        <v>2023</v>
      </c>
      <c r="K125" s="112">
        <f t="shared" si="20"/>
        <v>2023</v>
      </c>
      <c r="L125" s="112">
        <f t="shared" si="20"/>
        <v>2023</v>
      </c>
      <c r="M125" s="112">
        <f t="shared" si="20"/>
        <v>2023</v>
      </c>
      <c r="N125" s="112">
        <f t="shared" si="20"/>
        <v>2023</v>
      </c>
      <c r="O125" s="112">
        <f t="shared" ref="O125:O126" si="21">O118</f>
        <v>2023</v>
      </c>
      <c r="P125" s="1"/>
      <c r="Q125" s="1"/>
      <c r="R125" s="1"/>
      <c r="S125" s="1"/>
      <c r="T125" s="1"/>
      <c r="U125" s="1"/>
      <c r="V125" s="1"/>
      <c r="W125" s="1"/>
      <c r="X125" s="1"/>
      <c r="Y125" s="1"/>
      <c r="Z125" s="1"/>
    </row>
    <row r="126" spans="1:26" ht="15" customHeight="1">
      <c r="A126" s="1"/>
      <c r="B126" s="1039"/>
      <c r="C126" s="118" t="str">
        <f t="shared" ref="C126:N126" si="22">C112</f>
        <v xml:space="preserve">ENERO </v>
      </c>
      <c r="D126" s="118" t="str">
        <f t="shared" si="22"/>
        <v>FEBRERO</v>
      </c>
      <c r="E126" s="118" t="str">
        <f t="shared" si="22"/>
        <v>MARZO</v>
      </c>
      <c r="F126" s="118" t="str">
        <f t="shared" si="22"/>
        <v>ABRIL</v>
      </c>
      <c r="G126" s="118" t="str">
        <f t="shared" si="22"/>
        <v>MAYO</v>
      </c>
      <c r="H126" s="118" t="str">
        <f t="shared" si="22"/>
        <v>JUNIO</v>
      </c>
      <c r="I126" s="118" t="str">
        <f t="shared" si="22"/>
        <v>JULIO</v>
      </c>
      <c r="J126" s="118" t="str">
        <f t="shared" si="22"/>
        <v>AGOSTO</v>
      </c>
      <c r="K126" s="118" t="str">
        <f t="shared" si="22"/>
        <v>SETIEMBRE</v>
      </c>
      <c r="L126" s="118" t="str">
        <f t="shared" si="22"/>
        <v>OCTUBRE</v>
      </c>
      <c r="M126" s="118" t="str">
        <f t="shared" si="22"/>
        <v>NOVIEMBRE</v>
      </c>
      <c r="N126" s="118" t="str">
        <f t="shared" si="22"/>
        <v>DICIEMBRE</v>
      </c>
      <c r="O126" s="118" t="str">
        <f t="shared" si="21"/>
        <v>TOTAL ANUAL</v>
      </c>
      <c r="P126" s="1"/>
      <c r="Q126" s="1"/>
      <c r="R126" s="1"/>
      <c r="S126" s="1"/>
      <c r="T126" s="1"/>
      <c r="U126" s="1"/>
      <c r="V126" s="1"/>
      <c r="W126" s="1"/>
      <c r="X126" s="1"/>
      <c r="Y126" s="1"/>
      <c r="Z126" s="1"/>
    </row>
    <row r="127" spans="1:26" ht="32.25" customHeight="1">
      <c r="A127" s="1"/>
      <c r="B127" s="119" t="s">
        <v>360</v>
      </c>
      <c r="C127" s="120">
        <f t="shared" ref="C127:N127" si="23">C109+C116+C123</f>
        <v>102866</v>
      </c>
      <c r="D127" s="120">
        <f t="shared" si="23"/>
        <v>102866</v>
      </c>
      <c r="E127" s="120">
        <f t="shared" si="23"/>
        <v>102866</v>
      </c>
      <c r="F127" s="120">
        <f t="shared" si="23"/>
        <v>102866</v>
      </c>
      <c r="G127" s="120">
        <f t="shared" si="23"/>
        <v>102866</v>
      </c>
      <c r="H127" s="120">
        <f t="shared" si="23"/>
        <v>102866</v>
      </c>
      <c r="I127" s="120">
        <f t="shared" si="23"/>
        <v>102866</v>
      </c>
      <c r="J127" s="120">
        <f t="shared" si="23"/>
        <v>102866</v>
      </c>
      <c r="K127" s="120">
        <f t="shared" si="23"/>
        <v>102866</v>
      </c>
      <c r="L127" s="120">
        <f t="shared" si="23"/>
        <v>102866</v>
      </c>
      <c r="M127" s="120">
        <f t="shared" si="23"/>
        <v>102866</v>
      </c>
      <c r="N127" s="120">
        <f t="shared" si="23"/>
        <v>102866</v>
      </c>
      <c r="O127" s="121">
        <f>SUM(C127:N127)</f>
        <v>1234392</v>
      </c>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029" t="s">
        <v>805</v>
      </c>
      <c r="C134" s="1030"/>
      <c r="D134" s="103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933" t="s">
        <v>806</v>
      </c>
      <c r="C135" s="933" t="s">
        <v>656</v>
      </c>
      <c r="D135" s="933" t="s">
        <v>134</v>
      </c>
      <c r="E135" s="1"/>
      <c r="F135" s="1"/>
      <c r="G135" s="1"/>
      <c r="H135" s="1"/>
      <c r="I135" s="1"/>
      <c r="J135" s="1"/>
      <c r="K135" s="1"/>
      <c r="L135" s="1"/>
      <c r="M135" s="1"/>
      <c r="N135" s="1"/>
      <c r="O135" s="1"/>
      <c r="P135" s="1"/>
      <c r="Q135" s="1"/>
      <c r="R135" s="1"/>
      <c r="S135" s="1"/>
      <c r="T135" s="1"/>
      <c r="U135" s="1"/>
      <c r="V135" s="1"/>
      <c r="W135" s="1"/>
      <c r="X135" s="1"/>
      <c r="Y135" s="1"/>
      <c r="Z135" s="1"/>
    </row>
    <row r="136" spans="1:26" ht="51" customHeight="1">
      <c r="A136" s="1"/>
      <c r="B136" s="935" t="s">
        <v>807</v>
      </c>
      <c r="C136" s="982">
        <f>C20</f>
        <v>2048.5</v>
      </c>
      <c r="D136" s="934" t="s">
        <v>808</v>
      </c>
      <c r="E136" s="1"/>
      <c r="F136" s="1"/>
      <c r="G136" s="1"/>
      <c r="H136" s="1"/>
      <c r="I136" s="1"/>
      <c r="J136" s="1"/>
      <c r="K136" s="1"/>
      <c r="L136" s="1"/>
      <c r="M136" s="1"/>
      <c r="N136" s="1"/>
      <c r="O136" s="1"/>
      <c r="P136" s="1"/>
      <c r="Q136" s="1"/>
      <c r="R136" s="1"/>
      <c r="S136" s="1"/>
      <c r="T136" s="1"/>
      <c r="U136" s="1"/>
      <c r="V136" s="1"/>
      <c r="W136" s="1"/>
      <c r="X136" s="1"/>
      <c r="Y136" s="1"/>
      <c r="Z136" s="1"/>
    </row>
    <row r="137" spans="1:26" ht="53.25" customHeight="1">
      <c r="A137" s="1"/>
      <c r="B137" s="935" t="s">
        <v>809</v>
      </c>
      <c r="C137" s="982">
        <f>D20</f>
        <v>1311</v>
      </c>
      <c r="D137" s="934" t="s">
        <v>808</v>
      </c>
      <c r="E137" s="1"/>
      <c r="F137" s="1"/>
      <c r="G137" s="1"/>
      <c r="H137" s="1"/>
      <c r="I137" s="1"/>
      <c r="J137" s="1"/>
      <c r="K137" s="1"/>
      <c r="L137" s="1"/>
      <c r="M137" s="1"/>
      <c r="N137" s="1"/>
      <c r="O137" s="1"/>
      <c r="P137" s="1"/>
      <c r="Q137" s="1"/>
      <c r="R137" s="1"/>
      <c r="S137" s="1"/>
      <c r="T137" s="1"/>
      <c r="U137" s="1"/>
      <c r="V137" s="1"/>
      <c r="W137" s="1"/>
      <c r="X137" s="1"/>
      <c r="Y137" s="1"/>
      <c r="Z137" s="1"/>
    </row>
    <row r="138" spans="1:26" ht="29.25" customHeight="1">
      <c r="A138" s="1"/>
      <c r="B138" s="935" t="s">
        <v>810</v>
      </c>
      <c r="C138" s="982">
        <f>C77</f>
        <v>783.33333333333337</v>
      </c>
      <c r="D138" s="934" t="s">
        <v>808</v>
      </c>
      <c r="E138" s="1"/>
      <c r="F138" s="1"/>
      <c r="G138" s="1"/>
      <c r="H138" s="1"/>
      <c r="I138" s="1"/>
      <c r="J138" s="1"/>
      <c r="K138" s="1"/>
      <c r="L138" s="1"/>
      <c r="M138" s="1"/>
      <c r="N138" s="1"/>
      <c r="O138" s="1"/>
      <c r="P138" s="1"/>
      <c r="Q138" s="1"/>
      <c r="R138" s="1"/>
      <c r="S138" s="1"/>
      <c r="T138" s="1"/>
      <c r="U138" s="1"/>
      <c r="V138" s="1"/>
      <c r="W138" s="1"/>
      <c r="X138" s="1"/>
      <c r="Y138" s="1"/>
      <c r="Z138" s="1"/>
    </row>
    <row r="139" spans="1:26" ht="21" customHeight="1">
      <c r="A139" s="1"/>
      <c r="B139" s="1032" t="s">
        <v>811</v>
      </c>
      <c r="C139" s="1033"/>
      <c r="D139" s="1034"/>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020" t="s">
        <v>812</v>
      </c>
      <c r="C140" s="1021"/>
      <c r="D140" s="1022"/>
      <c r="E140" s="1"/>
      <c r="F140" s="1"/>
      <c r="G140" s="1"/>
      <c r="H140" s="1"/>
      <c r="I140" s="1"/>
      <c r="J140" s="1"/>
      <c r="K140" s="1"/>
      <c r="L140" s="1"/>
      <c r="M140" s="1"/>
      <c r="N140" s="1"/>
      <c r="O140" s="1"/>
      <c r="P140" s="1"/>
      <c r="Q140" s="1"/>
      <c r="R140" s="1"/>
      <c r="S140" s="1"/>
      <c r="T140" s="1"/>
      <c r="U140" s="1"/>
      <c r="V140" s="1"/>
      <c r="W140" s="1"/>
      <c r="X140" s="1"/>
      <c r="Y140" s="1"/>
      <c r="Z140" s="1"/>
    </row>
    <row r="141" spans="1:26" ht="20.25" customHeight="1">
      <c r="A141" s="1"/>
      <c r="B141" s="1023" t="s">
        <v>813</v>
      </c>
      <c r="C141" s="1024"/>
      <c r="D141" s="1025"/>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31">
    <mergeCell ref="B1:H1"/>
    <mergeCell ref="B39:F39"/>
    <mergeCell ref="B95:E95"/>
    <mergeCell ref="J29:J30"/>
    <mergeCell ref="G26:J26"/>
    <mergeCell ref="B4:C4"/>
    <mergeCell ref="B9:E9"/>
    <mergeCell ref="B10:E10"/>
    <mergeCell ref="F11:F20"/>
    <mergeCell ref="B48:D48"/>
    <mergeCell ref="B2:H2"/>
    <mergeCell ref="B41:C41"/>
    <mergeCell ref="F4:F5"/>
    <mergeCell ref="B49:D49"/>
    <mergeCell ref="B40:F40"/>
    <mergeCell ref="B42:C42"/>
    <mergeCell ref="E73:G75"/>
    <mergeCell ref="B82:D82"/>
    <mergeCell ref="B102:H102"/>
    <mergeCell ref="B140:D140"/>
    <mergeCell ref="B141:D141"/>
    <mergeCell ref="F82:H82"/>
    <mergeCell ref="B134:D134"/>
    <mergeCell ref="B139:D139"/>
    <mergeCell ref="F95:G95"/>
    <mergeCell ref="B125:B126"/>
    <mergeCell ref="B43:C43"/>
    <mergeCell ref="B44:C44"/>
    <mergeCell ref="B45:C45"/>
    <mergeCell ref="B46:C46"/>
    <mergeCell ref="B47:C47"/>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277FB-217F-4DA1-8109-29EFD05DB6BA}">
  <dimension ref="A3:I1005"/>
  <sheetViews>
    <sheetView zoomScale="50" zoomScaleNormal="50" workbookViewId="0">
      <selection activeCell="H88" sqref="H88"/>
    </sheetView>
  </sheetViews>
  <sheetFormatPr baseColWidth="10" defaultColWidth="14.42578125" defaultRowHeight="15" customHeight="1"/>
  <cols>
    <col min="1" max="1" width="28.140625" style="131" customWidth="1"/>
    <col min="2" max="2" width="32.140625" style="131" customWidth="1"/>
    <col min="3" max="3" width="29.7109375" style="131" customWidth="1"/>
    <col min="4" max="4" width="31.85546875" style="131" customWidth="1"/>
    <col min="5" max="5" width="31.42578125" style="131" customWidth="1"/>
    <col min="6" max="6" width="37.28515625" style="131" customWidth="1"/>
    <col min="7" max="7" width="37.140625" style="131" customWidth="1"/>
    <col min="8" max="9" width="37.28515625" style="131" customWidth="1"/>
    <col min="10" max="26" width="10.7109375" style="131" customWidth="1"/>
    <col min="27" max="16384" width="14.42578125" style="131"/>
  </cols>
  <sheetData>
    <row r="3" spans="1:9" ht="105" customHeight="1">
      <c r="A3" s="125"/>
      <c r="B3" s="126"/>
      <c r="C3" s="1368" t="s">
        <v>361</v>
      </c>
      <c r="D3" s="1369"/>
      <c r="E3" s="1370"/>
      <c r="F3" s="127"/>
      <c r="G3" s="128"/>
      <c r="H3" s="129"/>
      <c r="I3" s="130"/>
    </row>
    <row r="4" spans="1:9" ht="21.75">
      <c r="A4" s="125"/>
      <c r="B4" s="125"/>
      <c r="C4" s="125"/>
      <c r="D4" s="125"/>
      <c r="E4" s="125"/>
      <c r="F4" s="1090" t="s">
        <v>203</v>
      </c>
      <c r="G4" s="1082"/>
      <c r="H4" s="125"/>
      <c r="I4" s="125"/>
    </row>
    <row r="5" spans="1:9" ht="24.75" customHeight="1">
      <c r="A5" s="125"/>
      <c r="B5" s="1091" t="s">
        <v>855</v>
      </c>
      <c r="C5" s="1089"/>
      <c r="D5" s="1089"/>
      <c r="E5" s="1089"/>
      <c r="F5" s="132" t="s">
        <v>204</v>
      </c>
      <c r="G5" s="133">
        <v>3.84</v>
      </c>
      <c r="H5" s="125"/>
      <c r="I5" s="125"/>
    </row>
    <row r="6" spans="1:9" ht="24" customHeight="1">
      <c r="A6" s="125"/>
      <c r="B6" s="125"/>
      <c r="C6" s="125"/>
      <c r="D6" s="125"/>
      <c r="E6" s="125"/>
      <c r="F6" s="132" t="s">
        <v>205</v>
      </c>
      <c r="G6" s="133">
        <v>4.38</v>
      </c>
      <c r="H6" s="125"/>
      <c r="I6" s="125"/>
    </row>
    <row r="7" spans="1:9" ht="88.5" customHeight="1">
      <c r="A7" s="1092" t="s">
        <v>206</v>
      </c>
      <c r="B7" s="1089"/>
      <c r="C7" s="1089"/>
      <c r="D7" s="1089"/>
      <c r="E7" s="1082"/>
      <c r="F7" s="1093" t="s">
        <v>854</v>
      </c>
      <c r="G7" s="1089"/>
      <c r="H7" s="1082"/>
      <c r="I7" s="125"/>
    </row>
    <row r="8" spans="1:9" ht="79.5" customHeight="1">
      <c r="A8" s="134" t="s">
        <v>208</v>
      </c>
      <c r="B8" s="135" t="s">
        <v>135</v>
      </c>
      <c r="C8" s="135" t="s">
        <v>209</v>
      </c>
      <c r="D8" s="135" t="s">
        <v>210</v>
      </c>
      <c r="E8" s="136" t="s">
        <v>211</v>
      </c>
      <c r="F8" s="135" t="s">
        <v>212</v>
      </c>
      <c r="G8" s="137" t="s">
        <v>213</v>
      </c>
      <c r="H8" s="137" t="s">
        <v>214</v>
      </c>
      <c r="I8" s="125"/>
    </row>
    <row r="9" spans="1:9" ht="26.25">
      <c r="A9" s="136"/>
      <c r="B9" s="136"/>
      <c r="C9" s="136"/>
      <c r="D9" s="136"/>
      <c r="E9" s="136"/>
      <c r="F9" s="138"/>
      <c r="G9" s="139"/>
      <c r="H9" s="139"/>
      <c r="I9" s="125"/>
    </row>
    <row r="10" spans="1:9" ht="30" customHeight="1">
      <c r="A10" s="135" t="s">
        <v>362</v>
      </c>
      <c r="B10" s="136">
        <f>2250*3</f>
        <v>6750</v>
      </c>
      <c r="C10" s="136"/>
      <c r="D10" s="136"/>
      <c r="E10" s="136">
        <f>B10</f>
        <v>6750</v>
      </c>
      <c r="F10" s="138">
        <v>0.25</v>
      </c>
      <c r="G10" s="139">
        <f>E10*F10</f>
        <v>1687.5</v>
      </c>
      <c r="H10" s="139">
        <f>G10/12</f>
        <v>140.625</v>
      </c>
      <c r="I10" s="125"/>
    </row>
    <row r="11" spans="1:9" ht="30" customHeight="1">
      <c r="A11" s="135" t="s">
        <v>223</v>
      </c>
      <c r="B11" s="136">
        <f>3800*2</f>
        <v>7600</v>
      </c>
      <c r="C11" s="136"/>
      <c r="D11" s="136"/>
      <c r="E11" s="136">
        <f>+B11</f>
        <v>7600</v>
      </c>
      <c r="F11" s="138">
        <v>0.25</v>
      </c>
      <c r="G11" s="139">
        <f>+E11*F11</f>
        <v>1900</v>
      </c>
      <c r="H11" s="139">
        <f>+G11/12</f>
        <v>158.33333333333334</v>
      </c>
      <c r="I11" s="125"/>
    </row>
    <row r="12" spans="1:9" ht="29.25" customHeight="1">
      <c r="A12" s="135" t="s">
        <v>215</v>
      </c>
      <c r="B12" s="136">
        <f>529*4</f>
        <v>2116</v>
      </c>
      <c r="C12" s="136"/>
      <c r="D12" s="136"/>
      <c r="E12" s="136">
        <f>+B12</f>
        <v>2116</v>
      </c>
      <c r="F12" s="138">
        <v>0.25</v>
      </c>
      <c r="G12" s="139">
        <f>E12*F12</f>
        <v>529</v>
      </c>
      <c r="H12" s="139">
        <f>G12/12</f>
        <v>44.083333333333336</v>
      </c>
      <c r="I12" s="125"/>
    </row>
    <row r="13" spans="1:9" ht="50.25" customHeight="1">
      <c r="A13" s="135" t="s">
        <v>363</v>
      </c>
      <c r="B13" s="136">
        <f>37.9*24</f>
        <v>909.59999999999991</v>
      </c>
      <c r="C13" s="136"/>
      <c r="D13" s="136"/>
      <c r="E13" s="136">
        <f>+B13</f>
        <v>909.59999999999991</v>
      </c>
      <c r="F13" s="138">
        <v>0.1</v>
      </c>
      <c r="G13" s="139">
        <f>+E13*F13</f>
        <v>90.96</v>
      </c>
      <c r="H13" s="139">
        <f>+G13/12</f>
        <v>7.5799999999999992</v>
      </c>
      <c r="I13" s="125"/>
    </row>
    <row r="14" spans="1:9" ht="52.5" customHeight="1">
      <c r="A14" s="135" t="s">
        <v>216</v>
      </c>
      <c r="B14" s="136">
        <f>1591*2</f>
        <v>3182</v>
      </c>
      <c r="C14" s="136"/>
      <c r="D14" s="136"/>
      <c r="E14" s="136">
        <f>+B14</f>
        <v>3182</v>
      </c>
      <c r="F14" s="138">
        <v>0.1</v>
      </c>
      <c r="G14" s="139">
        <f>E14*F14</f>
        <v>318.20000000000005</v>
      </c>
      <c r="H14" s="139">
        <f>G14/12</f>
        <v>26.516666666666669</v>
      </c>
      <c r="I14" s="125"/>
    </row>
    <row r="15" spans="1:9" ht="27.75" customHeight="1">
      <c r="A15" s="135" t="s">
        <v>217</v>
      </c>
      <c r="B15" s="136">
        <v>2499</v>
      </c>
      <c r="C15" s="136"/>
      <c r="D15" s="136"/>
      <c r="E15" s="136">
        <f>+B15</f>
        <v>2499</v>
      </c>
      <c r="F15" s="138">
        <v>0.25</v>
      </c>
      <c r="G15" s="139">
        <f>+E15*F15</f>
        <v>624.75</v>
      </c>
      <c r="H15" s="139">
        <f>+G15/12</f>
        <v>52.0625</v>
      </c>
      <c r="I15" s="125"/>
    </row>
    <row r="16" spans="1:9" ht="52.5">
      <c r="A16" s="135" t="s">
        <v>364</v>
      </c>
      <c r="B16" s="136">
        <f>299*2</f>
        <v>598</v>
      </c>
      <c r="C16" s="136"/>
      <c r="D16" s="136"/>
      <c r="E16" s="136">
        <f>B16</f>
        <v>598</v>
      </c>
      <c r="F16" s="138">
        <v>0.1</v>
      </c>
      <c r="G16" s="139">
        <f t="shared" ref="G16:G27" si="0">E16*F16</f>
        <v>59.800000000000004</v>
      </c>
      <c r="H16" s="139">
        <f t="shared" ref="H16:H28" si="1">G16/12</f>
        <v>4.9833333333333334</v>
      </c>
      <c r="I16" s="125"/>
    </row>
    <row r="17" spans="1:9" ht="52.5">
      <c r="A17" s="135" t="s">
        <v>365</v>
      </c>
      <c r="B17" s="136">
        <v>509</v>
      </c>
      <c r="C17" s="136"/>
      <c r="D17" s="136"/>
      <c r="E17" s="136">
        <f t="shared" ref="E17:E23" si="2">+B17</f>
        <v>509</v>
      </c>
      <c r="F17" s="138">
        <v>0.1</v>
      </c>
      <c r="G17" s="139">
        <f t="shared" si="0"/>
        <v>50.900000000000006</v>
      </c>
      <c r="H17" s="139">
        <f t="shared" si="1"/>
        <v>4.2416666666666671</v>
      </c>
      <c r="I17" s="125"/>
    </row>
    <row r="18" spans="1:9" ht="26.25" customHeight="1">
      <c r="A18" s="135" t="s">
        <v>218</v>
      </c>
      <c r="B18" s="136">
        <f>499*3</f>
        <v>1497</v>
      </c>
      <c r="C18" s="136"/>
      <c r="D18" s="136"/>
      <c r="E18" s="136">
        <f t="shared" si="2"/>
        <v>1497</v>
      </c>
      <c r="F18" s="138">
        <v>0.1</v>
      </c>
      <c r="G18" s="139">
        <f t="shared" si="0"/>
        <v>149.70000000000002</v>
      </c>
      <c r="H18" s="139">
        <f t="shared" si="1"/>
        <v>12.475000000000001</v>
      </c>
      <c r="I18" s="125"/>
    </row>
    <row r="19" spans="1:9" ht="26.25" customHeight="1">
      <c r="A19" s="135" t="s">
        <v>366</v>
      </c>
      <c r="B19" s="136">
        <f>299*3</f>
        <v>897</v>
      </c>
      <c r="C19" s="136"/>
      <c r="D19" s="136"/>
      <c r="E19" s="136">
        <f>+B19</f>
        <v>897</v>
      </c>
      <c r="F19" s="138">
        <v>0.1</v>
      </c>
      <c r="G19" s="139">
        <f t="shared" si="0"/>
        <v>89.7</v>
      </c>
      <c r="H19" s="139">
        <f t="shared" si="1"/>
        <v>7.4750000000000005</v>
      </c>
      <c r="I19" s="125"/>
    </row>
    <row r="20" spans="1:9" ht="26.25" customHeight="1">
      <c r="A20" s="135" t="s">
        <v>367</v>
      </c>
      <c r="B20" s="136">
        <f>199*5</f>
        <v>995</v>
      </c>
      <c r="C20" s="136"/>
      <c r="D20" s="136"/>
      <c r="E20" s="136">
        <f>+B20</f>
        <v>995</v>
      </c>
      <c r="F20" s="138">
        <v>0.1</v>
      </c>
      <c r="G20" s="139">
        <f t="shared" si="0"/>
        <v>99.5</v>
      </c>
      <c r="H20" s="139">
        <f t="shared" si="1"/>
        <v>8.2916666666666661</v>
      </c>
      <c r="I20" s="125"/>
    </row>
    <row r="21" spans="1:9" ht="26.25" customHeight="1">
      <c r="A21" s="135" t="s">
        <v>368</v>
      </c>
      <c r="B21" s="136">
        <v>249</v>
      </c>
      <c r="C21" s="136"/>
      <c r="D21" s="136"/>
      <c r="E21" s="136">
        <f>+B21</f>
        <v>249</v>
      </c>
      <c r="F21" s="138">
        <v>0.1</v>
      </c>
      <c r="G21" s="139">
        <f t="shared" si="0"/>
        <v>24.900000000000002</v>
      </c>
      <c r="H21" s="139">
        <f t="shared" si="1"/>
        <v>2.0750000000000002</v>
      </c>
      <c r="I21" s="125"/>
    </row>
    <row r="22" spans="1:9" ht="52.5" customHeight="1">
      <c r="A22" s="135" t="s">
        <v>219</v>
      </c>
      <c r="B22" s="136">
        <v>2332</v>
      </c>
      <c r="C22" s="136"/>
      <c r="D22" s="136"/>
      <c r="E22" s="136">
        <f t="shared" si="2"/>
        <v>2332</v>
      </c>
      <c r="F22" s="138">
        <v>0.1</v>
      </c>
      <c r="G22" s="139">
        <f t="shared" si="0"/>
        <v>233.20000000000002</v>
      </c>
      <c r="H22" s="139">
        <f t="shared" si="1"/>
        <v>19.433333333333334</v>
      </c>
      <c r="I22" s="125"/>
    </row>
    <row r="23" spans="1:9" ht="52.5" customHeight="1">
      <c r="A23" s="135" t="s">
        <v>220</v>
      </c>
      <c r="B23" s="136">
        <f>1987.5*8</f>
        <v>15900</v>
      </c>
      <c r="C23" s="136"/>
      <c r="D23" s="136"/>
      <c r="E23" s="136">
        <f t="shared" si="2"/>
        <v>15900</v>
      </c>
      <c r="F23" s="138">
        <v>0.1</v>
      </c>
      <c r="G23" s="139">
        <f t="shared" si="0"/>
        <v>1590</v>
      </c>
      <c r="H23" s="139">
        <f t="shared" si="1"/>
        <v>132.5</v>
      </c>
      <c r="I23" s="125"/>
    </row>
    <row r="24" spans="1:9" ht="52.5" customHeight="1">
      <c r="A24" s="135" t="s">
        <v>369</v>
      </c>
      <c r="B24" s="136">
        <f>3*480</f>
        <v>1440</v>
      </c>
      <c r="C24" s="140"/>
      <c r="D24" s="136"/>
      <c r="E24" s="136">
        <f>B24</f>
        <v>1440</v>
      </c>
      <c r="F24" s="138">
        <v>0.25</v>
      </c>
      <c r="G24" s="139">
        <f t="shared" si="0"/>
        <v>360</v>
      </c>
      <c r="H24" s="139">
        <f t="shared" si="1"/>
        <v>30</v>
      </c>
      <c r="I24" s="125"/>
    </row>
    <row r="25" spans="1:9" ht="52.5" customHeight="1">
      <c r="A25" s="135" t="s">
        <v>370</v>
      </c>
      <c r="B25" s="136">
        <v>570</v>
      </c>
      <c r="C25" s="141"/>
      <c r="D25" s="136"/>
      <c r="E25" s="136">
        <f t="shared" ref="E25:E28" si="3">B25</f>
        <v>570</v>
      </c>
      <c r="F25" s="138">
        <v>0.1</v>
      </c>
      <c r="G25" s="139">
        <f t="shared" si="0"/>
        <v>57</v>
      </c>
      <c r="H25" s="139">
        <f t="shared" si="1"/>
        <v>4.75</v>
      </c>
      <c r="I25" s="125"/>
    </row>
    <row r="26" spans="1:9" ht="51.75" customHeight="1">
      <c r="A26" s="135" t="s">
        <v>224</v>
      </c>
      <c r="B26" s="136">
        <v>10000</v>
      </c>
      <c r="C26" s="136"/>
      <c r="D26" s="136"/>
      <c r="E26" s="136">
        <f t="shared" si="3"/>
        <v>10000</v>
      </c>
      <c r="F26" s="138">
        <v>0.05</v>
      </c>
      <c r="G26" s="139">
        <f t="shared" si="0"/>
        <v>500</v>
      </c>
      <c r="H26" s="139">
        <f t="shared" si="1"/>
        <v>41.666666666666664</v>
      </c>
      <c r="I26" s="125"/>
    </row>
    <row r="27" spans="1:9" ht="52.5" customHeight="1">
      <c r="A27" s="135" t="s">
        <v>222</v>
      </c>
      <c r="B27" s="136">
        <f>121.28*2+121.28*2</f>
        <v>485.12</v>
      </c>
      <c r="C27" s="136"/>
      <c r="D27" s="136"/>
      <c r="E27" s="136">
        <f t="shared" si="3"/>
        <v>485.12</v>
      </c>
      <c r="F27" s="138">
        <v>0.1</v>
      </c>
      <c r="G27" s="139">
        <f t="shared" si="0"/>
        <v>48.512</v>
      </c>
      <c r="H27" s="139">
        <f t="shared" si="1"/>
        <v>4.0426666666666664</v>
      </c>
      <c r="I27" s="125"/>
    </row>
    <row r="28" spans="1:9" ht="52.5" customHeight="1">
      <c r="A28" s="135" t="s">
        <v>225</v>
      </c>
      <c r="B28" s="136">
        <f>299*2+174*5+195*2+45*4+5.8*10+158*10+120*4+19.9*10</f>
        <v>4355</v>
      </c>
      <c r="C28" s="136"/>
      <c r="D28" s="136"/>
      <c r="E28" s="136">
        <f t="shared" si="3"/>
        <v>4355</v>
      </c>
      <c r="F28" s="138">
        <v>0.1</v>
      </c>
      <c r="G28" s="139">
        <f>+E28*F28</f>
        <v>435.5</v>
      </c>
      <c r="H28" s="139">
        <f t="shared" si="1"/>
        <v>36.291666666666664</v>
      </c>
      <c r="I28" s="125"/>
    </row>
    <row r="29" spans="1:9" ht="15.75" customHeight="1">
      <c r="A29" s="136"/>
      <c r="B29" s="136"/>
      <c r="C29" s="136"/>
      <c r="D29" s="136"/>
      <c r="E29" s="136"/>
      <c r="F29" s="142"/>
      <c r="G29" s="143"/>
      <c r="H29" s="143"/>
      <c r="I29" s="125"/>
    </row>
    <row r="30" spans="1:9" ht="27" customHeight="1">
      <c r="A30" s="136"/>
      <c r="B30" s="136"/>
      <c r="C30" s="134" t="s">
        <v>226</v>
      </c>
      <c r="D30" s="134"/>
      <c r="E30" s="134">
        <f>SUM(E10:E29)</f>
        <v>62883.72</v>
      </c>
      <c r="F30" s="144" t="s">
        <v>227</v>
      </c>
      <c r="G30" s="134">
        <f>SUM(G10:G29)</f>
        <v>8849.1219999999994</v>
      </c>
      <c r="H30" s="134">
        <f>SUM(H10:H29)</f>
        <v>737.42683333333343</v>
      </c>
      <c r="I30" s="125"/>
    </row>
    <row r="31" spans="1:9" ht="15.75" customHeight="1">
      <c r="A31" s="136"/>
      <c r="B31" s="136"/>
      <c r="C31" s="136"/>
      <c r="D31" s="136"/>
      <c r="E31" s="136"/>
      <c r="F31" s="145"/>
      <c r="G31" s="146"/>
      <c r="H31" s="146"/>
      <c r="I31" s="125"/>
    </row>
    <row r="32" spans="1:9" ht="15.75" customHeight="1">
      <c r="A32" s="136"/>
      <c r="B32" s="136"/>
      <c r="C32" s="136"/>
      <c r="D32" s="136"/>
      <c r="E32" s="136"/>
      <c r="F32" s="145"/>
      <c r="G32" s="146"/>
      <c r="H32" s="146"/>
      <c r="I32" s="125"/>
    </row>
    <row r="33" spans="1:9" ht="79.5" customHeight="1">
      <c r="A33" s="135" t="s">
        <v>228</v>
      </c>
      <c r="B33" s="136"/>
      <c r="C33" s="136"/>
      <c r="D33" s="136"/>
      <c r="E33" s="136"/>
      <c r="F33" s="147" t="s">
        <v>229</v>
      </c>
      <c r="G33" s="137" t="s">
        <v>230</v>
      </c>
      <c r="H33" s="137" t="s">
        <v>231</v>
      </c>
      <c r="I33" s="125"/>
    </row>
    <row r="34" spans="1:9" ht="52.5" customHeight="1">
      <c r="A34" s="136"/>
      <c r="B34" s="135" t="str">
        <f>B8</f>
        <v>Soles</v>
      </c>
      <c r="C34" s="135" t="str">
        <f>C8</f>
        <v>Dólares</v>
      </c>
      <c r="D34" s="135" t="str">
        <f>D8</f>
        <v>Euros</v>
      </c>
      <c r="E34" s="136" t="str">
        <f>E8</f>
        <v>Toda la inversión convertida a Soles</v>
      </c>
      <c r="F34" s="142"/>
      <c r="G34" s="143"/>
      <c r="H34" s="143"/>
      <c r="I34" s="125"/>
    </row>
    <row r="35" spans="1:9" ht="52.5" customHeight="1">
      <c r="A35" s="135" t="s">
        <v>232</v>
      </c>
      <c r="B35" s="136">
        <v>535</v>
      </c>
      <c r="C35" s="136"/>
      <c r="D35" s="136"/>
      <c r="E35" s="136">
        <f>B35</f>
        <v>535</v>
      </c>
      <c r="F35" s="138">
        <v>0.1</v>
      </c>
      <c r="G35" s="139">
        <f>E35*F35</f>
        <v>53.5</v>
      </c>
      <c r="H35" s="139">
        <f>G35/12</f>
        <v>4.458333333333333</v>
      </c>
      <c r="I35" s="125"/>
    </row>
    <row r="36" spans="1:9" ht="51.75" customHeight="1">
      <c r="A36" s="135" t="s">
        <v>233</v>
      </c>
      <c r="B36" s="136">
        <f>22+28+5+4.5*7+250</f>
        <v>336.5</v>
      </c>
      <c r="C36" s="136"/>
      <c r="D36" s="136"/>
      <c r="E36" s="136">
        <f>+B36</f>
        <v>336.5</v>
      </c>
      <c r="F36" s="138">
        <v>0.1</v>
      </c>
      <c r="G36" s="139">
        <f>E36*F36</f>
        <v>33.65</v>
      </c>
      <c r="H36" s="139">
        <f>G36/12</f>
        <v>2.8041666666666667</v>
      </c>
      <c r="I36" s="125"/>
    </row>
    <row r="37" spans="1:9" ht="26.25" customHeight="1">
      <c r="A37" s="135" t="s">
        <v>234</v>
      </c>
      <c r="B37" s="136">
        <v>800</v>
      </c>
      <c r="C37" s="136"/>
      <c r="D37" s="136"/>
      <c r="E37" s="136">
        <f>+B37</f>
        <v>800</v>
      </c>
      <c r="F37" s="138">
        <v>0.1</v>
      </c>
      <c r="G37" s="139"/>
      <c r="H37" s="139"/>
      <c r="I37" s="125"/>
    </row>
    <row r="38" spans="1:9" ht="51.75" customHeight="1">
      <c r="A38" s="135" t="s">
        <v>235</v>
      </c>
      <c r="B38" s="136">
        <v>1400</v>
      </c>
      <c r="C38" s="136"/>
      <c r="D38" s="136"/>
      <c r="E38" s="136">
        <f>+B38</f>
        <v>1400</v>
      </c>
      <c r="F38" s="138">
        <v>0.1</v>
      </c>
      <c r="G38" s="139">
        <f>E38*F38</f>
        <v>140</v>
      </c>
      <c r="H38" s="139">
        <f>G38/12</f>
        <v>11.666666666666666</v>
      </c>
      <c r="I38" s="125"/>
    </row>
    <row r="39" spans="1:9" ht="51.75" customHeight="1">
      <c r="A39" s="135" t="s">
        <v>236</v>
      </c>
      <c r="B39" s="136">
        <v>3150</v>
      </c>
      <c r="C39" s="136"/>
      <c r="D39" s="136"/>
      <c r="E39" s="136">
        <f>+B39</f>
        <v>3150</v>
      </c>
      <c r="F39" s="138">
        <v>0.1</v>
      </c>
      <c r="G39" s="139">
        <f>E39*F39</f>
        <v>315</v>
      </c>
      <c r="H39" s="139">
        <f>G39/12</f>
        <v>26.25</v>
      </c>
      <c r="I39" s="125"/>
    </row>
    <row r="40" spans="1:9" ht="52.5" customHeight="1">
      <c r="A40" s="136"/>
      <c r="B40" s="136"/>
      <c r="C40" s="148" t="s">
        <v>237</v>
      </c>
      <c r="D40" s="148"/>
      <c r="E40" s="148">
        <f>SUM(E35:E39)</f>
        <v>6221.5</v>
      </c>
      <c r="F40" s="137" t="s">
        <v>238</v>
      </c>
      <c r="G40" s="137">
        <f>SUM(G35:G39)</f>
        <v>542.15</v>
      </c>
      <c r="H40" s="137">
        <f>SUM(H35:H39)</f>
        <v>45.179166666666667</v>
      </c>
      <c r="I40" s="125"/>
    </row>
    <row r="41" spans="1:9" ht="15.75" customHeight="1">
      <c r="A41" s="136"/>
      <c r="B41" s="136"/>
      <c r="C41" s="136"/>
      <c r="D41" s="136"/>
      <c r="E41" s="136"/>
      <c r="F41" s="137"/>
      <c r="G41" s="137"/>
      <c r="H41" s="137"/>
      <c r="I41" s="125"/>
    </row>
    <row r="42" spans="1:9" ht="78.75" customHeight="1">
      <c r="A42" s="134" t="s">
        <v>239</v>
      </c>
      <c r="B42" s="149">
        <v>0.15</v>
      </c>
      <c r="C42" s="148" t="s">
        <v>240</v>
      </c>
      <c r="D42" s="150" t="s">
        <v>241</v>
      </c>
      <c r="E42" s="148">
        <f>(E30+E40)*B42</f>
        <v>10365.782999999999</v>
      </c>
      <c r="F42" s="151"/>
      <c r="G42" s="151"/>
      <c r="H42" s="151"/>
      <c r="I42" s="125"/>
    </row>
    <row r="43" spans="1:9" ht="15.75" customHeight="1">
      <c r="A43" s="152"/>
      <c r="B43" s="152"/>
      <c r="C43" s="153"/>
      <c r="D43" s="136"/>
      <c r="E43" s="136"/>
      <c r="F43" s="151"/>
      <c r="G43" s="151"/>
      <c r="H43" s="151"/>
      <c r="I43" s="125"/>
    </row>
    <row r="44" spans="1:9" ht="51.75" customHeight="1">
      <c r="A44" s="154"/>
      <c r="B44" s="154"/>
      <c r="C44" s="155" t="s">
        <v>242</v>
      </c>
      <c r="D44" s="155"/>
      <c r="E44" s="156">
        <f>E30+E40+E42</f>
        <v>79471.002999999997</v>
      </c>
      <c r="F44" s="1094" t="s">
        <v>243</v>
      </c>
      <c r="G44" s="1089"/>
      <c r="H44" s="1082"/>
      <c r="I44" s="125"/>
    </row>
    <row r="45" spans="1:9" ht="15.75" customHeight="1">
      <c r="A45" s="125"/>
      <c r="B45" s="125"/>
      <c r="C45" s="125"/>
      <c r="D45" s="125"/>
      <c r="E45" s="125"/>
      <c r="F45" s="125"/>
      <c r="G45" s="125"/>
      <c r="H45" s="125"/>
      <c r="I45" s="125"/>
    </row>
    <row r="46" spans="1:9" ht="15.75" customHeight="1">
      <c r="A46" s="1095" t="s">
        <v>244</v>
      </c>
      <c r="B46" s="1096"/>
      <c r="C46" s="1096"/>
      <c r="D46" s="1096"/>
      <c r="E46" s="1096"/>
      <c r="F46" s="1096"/>
      <c r="G46" s="1096"/>
      <c r="H46" s="1096"/>
      <c r="I46" s="125"/>
    </row>
    <row r="47" spans="1:9" ht="21" customHeight="1">
      <c r="A47" s="1097" t="s">
        <v>245</v>
      </c>
      <c r="B47" s="1096"/>
      <c r="C47" s="1096"/>
      <c r="D47" s="1096"/>
      <c r="E47" s="1096"/>
      <c r="F47" s="1096"/>
      <c r="G47" s="1096"/>
      <c r="H47" s="1096"/>
      <c r="I47" s="125"/>
    </row>
    <row r="48" spans="1:9" ht="21" customHeight="1">
      <c r="A48" s="1097" t="s">
        <v>740</v>
      </c>
      <c r="B48" s="1096"/>
      <c r="C48" s="1096"/>
      <c r="D48" s="1096"/>
      <c r="E48" s="1096"/>
      <c r="F48" s="1096"/>
      <c r="G48" s="1096"/>
      <c r="H48" s="1096"/>
      <c r="I48" s="125"/>
    </row>
    <row r="49" spans="1:9" ht="15.75" customHeight="1">
      <c r="A49" s="157"/>
      <c r="B49" s="157"/>
      <c r="C49" s="157"/>
      <c r="D49" s="157"/>
      <c r="E49" s="157"/>
      <c r="F49" s="130"/>
      <c r="G49" s="125"/>
      <c r="H49" s="125"/>
      <c r="I49" s="125"/>
    </row>
    <row r="50" spans="1:9" ht="15.75" customHeight="1">
      <c r="A50" s="157"/>
      <c r="B50" s="157"/>
      <c r="C50" s="157"/>
      <c r="D50" s="157"/>
      <c r="E50" s="157"/>
      <c r="F50" s="130"/>
      <c r="G50" s="125"/>
      <c r="H50" s="125"/>
      <c r="I50" s="125"/>
    </row>
    <row r="51" spans="1:9" ht="15.75" customHeight="1">
      <c r="A51" s="157"/>
      <c r="B51" s="157"/>
      <c r="C51" s="157"/>
      <c r="D51" s="157"/>
      <c r="E51" s="157"/>
      <c r="F51" s="130"/>
      <c r="G51" s="125"/>
      <c r="H51" s="125"/>
      <c r="I51" s="125"/>
    </row>
    <row r="52" spans="1:9" ht="15.75" customHeight="1">
      <c r="A52" s="157"/>
      <c r="B52" s="157"/>
      <c r="C52" s="157"/>
      <c r="D52" s="157"/>
      <c r="E52" s="157"/>
      <c r="F52" s="130"/>
      <c r="G52" s="125"/>
      <c r="H52" s="125"/>
      <c r="I52" s="125"/>
    </row>
    <row r="53" spans="1:9" ht="15.75" customHeight="1">
      <c r="A53" s="157"/>
      <c r="B53" s="157"/>
      <c r="C53" s="1086" t="s">
        <v>247</v>
      </c>
      <c r="D53" s="1082"/>
      <c r="E53" s="159" t="s">
        <v>248</v>
      </c>
      <c r="F53" s="130"/>
      <c r="G53" s="125"/>
      <c r="H53" s="125"/>
      <c r="I53" s="125"/>
    </row>
    <row r="54" spans="1:9" ht="23.25" customHeight="1">
      <c r="A54" s="157"/>
      <c r="B54" s="160"/>
      <c r="C54" s="1081" t="s">
        <v>249</v>
      </c>
      <c r="D54" s="1082"/>
      <c r="E54" s="161">
        <f>E30</f>
        <v>62883.72</v>
      </c>
      <c r="F54" s="130"/>
      <c r="G54" s="125"/>
      <c r="H54" s="125"/>
      <c r="I54" s="125"/>
    </row>
    <row r="55" spans="1:9" ht="23.25" customHeight="1">
      <c r="A55" s="157"/>
      <c r="B55" s="160"/>
      <c r="C55" s="1081" t="s">
        <v>250</v>
      </c>
      <c r="D55" s="1082"/>
      <c r="E55" s="161">
        <f>E40</f>
        <v>6221.5</v>
      </c>
      <c r="F55" s="130"/>
      <c r="G55" s="125"/>
      <c r="H55" s="125"/>
      <c r="I55" s="125"/>
    </row>
    <row r="56" spans="1:9" ht="23.25" customHeight="1">
      <c r="A56" s="157"/>
      <c r="B56" s="160"/>
      <c r="C56" s="1081" t="s">
        <v>251</v>
      </c>
      <c r="D56" s="1082"/>
      <c r="E56" s="161">
        <f>E42</f>
        <v>10365.782999999999</v>
      </c>
      <c r="F56" s="130"/>
      <c r="G56" s="125"/>
      <c r="H56" s="125"/>
      <c r="I56" s="125"/>
    </row>
    <row r="57" spans="1:9" ht="23.25">
      <c r="A57" s="157"/>
      <c r="B57" s="160"/>
      <c r="C57" s="1083" t="s">
        <v>183</v>
      </c>
      <c r="D57" s="1082"/>
      <c r="E57" s="162">
        <f>SUM(E54:E56)</f>
        <v>79471.002999999997</v>
      </c>
      <c r="F57" s="130"/>
      <c r="G57" s="125"/>
      <c r="H57" s="125"/>
      <c r="I57" s="125"/>
    </row>
    <row r="58" spans="1:9" ht="15.75" customHeight="1" thickBot="1">
      <c r="A58" s="157"/>
      <c r="B58" s="157"/>
      <c r="C58" s="157"/>
      <c r="D58" s="157"/>
      <c r="E58" s="163"/>
      <c r="F58" s="130"/>
      <c r="G58" s="125"/>
      <c r="H58" s="125"/>
      <c r="I58" s="125"/>
    </row>
    <row r="59" spans="1:9" ht="88.5" customHeight="1" thickBot="1">
      <c r="A59" s="157"/>
      <c r="B59" s="160"/>
      <c r="C59" s="1084" t="s">
        <v>856</v>
      </c>
      <c r="D59" s="1085"/>
      <c r="E59" s="1085"/>
      <c r="F59" s="1085"/>
      <c r="G59" s="1086" t="s">
        <v>857</v>
      </c>
      <c r="H59" s="1082"/>
      <c r="I59" s="125"/>
    </row>
    <row r="60" spans="1:9" ht="15.75" customHeight="1">
      <c r="A60" s="157"/>
      <c r="B60" s="157"/>
      <c r="C60" s="157"/>
      <c r="D60" s="157"/>
      <c r="E60" s="157"/>
      <c r="F60" s="130"/>
      <c r="G60" s="125"/>
      <c r="H60" s="125"/>
      <c r="I60" s="125"/>
    </row>
    <row r="61" spans="1:9" ht="93" customHeight="1">
      <c r="A61" s="157"/>
      <c r="B61" s="160"/>
      <c r="C61" s="1087" t="s">
        <v>255</v>
      </c>
      <c r="D61" s="1088"/>
      <c r="E61" s="157"/>
      <c r="F61" s="130"/>
      <c r="G61" s="164" t="s">
        <v>256</v>
      </c>
      <c r="H61" s="164" t="s">
        <v>257</v>
      </c>
      <c r="I61" s="164" t="s">
        <v>258</v>
      </c>
    </row>
    <row r="62" spans="1:9" ht="46.5" customHeight="1">
      <c r="A62" s="157"/>
      <c r="B62" s="157"/>
      <c r="C62" s="159" t="s">
        <v>259</v>
      </c>
      <c r="D62" s="165">
        <v>0.6</v>
      </c>
      <c r="E62" s="166">
        <f>E44*D62</f>
        <v>47682.601799999997</v>
      </c>
      <c r="F62" s="167" t="s">
        <v>260</v>
      </c>
      <c r="G62" s="168">
        <v>8.2857E-2</v>
      </c>
      <c r="H62" s="168">
        <v>0.18107100000000001</v>
      </c>
      <c r="I62" s="168">
        <v>0.26392900000000002</v>
      </c>
    </row>
    <row r="63" spans="1:9" ht="26.25" customHeight="1">
      <c r="A63" s="157"/>
      <c r="B63" s="157"/>
      <c r="C63" s="169" t="s">
        <v>261</v>
      </c>
      <c r="D63" s="170">
        <v>0.4</v>
      </c>
      <c r="E63" s="171">
        <f>E44*D63</f>
        <v>31788.4012</v>
      </c>
      <c r="F63" s="172" t="s">
        <v>262</v>
      </c>
      <c r="G63" s="173">
        <v>0.17199999999999999</v>
      </c>
      <c r="H63" s="174" t="s">
        <v>263</v>
      </c>
      <c r="I63" s="125"/>
    </row>
    <row r="64" spans="1:9" ht="21.95" customHeight="1">
      <c r="A64" s="157"/>
      <c r="B64" s="157"/>
      <c r="C64" s="175" t="s">
        <v>183</v>
      </c>
      <c r="D64" s="170">
        <f>SUM(D62:D63)</f>
        <v>1</v>
      </c>
      <c r="E64" s="171">
        <f>SUM(E62:E63)</f>
        <v>79471.002999999997</v>
      </c>
      <c r="F64" s="176"/>
      <c r="G64" s="174">
        <v>5</v>
      </c>
      <c r="H64" s="174" t="s">
        <v>264</v>
      </c>
      <c r="I64" s="125"/>
    </row>
    <row r="65" spans="1:9" ht="23.25" customHeight="1">
      <c r="A65" s="157"/>
      <c r="B65" s="157"/>
      <c r="C65" s="157"/>
      <c r="D65" s="157"/>
      <c r="E65" s="157"/>
      <c r="F65" s="130"/>
      <c r="G65" s="174">
        <v>12</v>
      </c>
      <c r="H65" s="174" t="s">
        <v>265</v>
      </c>
      <c r="I65" s="125"/>
    </row>
    <row r="66" spans="1:9" ht="24" customHeight="1">
      <c r="A66" s="157"/>
      <c r="B66" s="157"/>
      <c r="C66" s="1086" t="s">
        <v>371</v>
      </c>
      <c r="D66" s="1089"/>
      <c r="E66" s="1089"/>
      <c r="F66" s="1082"/>
      <c r="G66" s="158">
        <f>G64*G65</f>
        <v>60</v>
      </c>
      <c r="H66" s="158" t="s">
        <v>266</v>
      </c>
      <c r="I66" s="125"/>
    </row>
    <row r="67" spans="1:9" ht="15.75" customHeight="1">
      <c r="A67" s="125"/>
      <c r="B67" s="125"/>
      <c r="C67" s="125"/>
      <c r="D67" s="125"/>
      <c r="E67" s="125"/>
      <c r="F67" s="125"/>
      <c r="G67" s="125"/>
      <c r="H67" s="125"/>
      <c r="I67" s="125"/>
    </row>
    <row r="68" spans="1:9" ht="21.75" customHeight="1">
      <c r="A68" s="125"/>
      <c r="B68" s="125"/>
      <c r="C68" s="125"/>
      <c r="D68" s="125"/>
      <c r="E68" s="125"/>
      <c r="F68" s="125"/>
      <c r="G68" s="125"/>
      <c r="H68" s="125"/>
      <c r="I68" s="125"/>
    </row>
    <row r="69" spans="1:9" ht="45.75" customHeight="1">
      <c r="A69" s="125"/>
      <c r="B69" s="159" t="s">
        <v>268</v>
      </c>
      <c r="C69" s="166">
        <f>E63</f>
        <v>31788.4012</v>
      </c>
      <c r="D69" s="175"/>
      <c r="E69" s="125"/>
      <c r="F69" s="125"/>
      <c r="G69" s="125"/>
      <c r="H69" s="125"/>
      <c r="I69" s="125"/>
    </row>
    <row r="70" spans="1:9" ht="23.25">
      <c r="A70" s="125"/>
      <c r="B70" s="169" t="s">
        <v>263</v>
      </c>
      <c r="C70" s="177">
        <f>+G63</f>
        <v>0.17199999999999999</v>
      </c>
      <c r="D70" s="175"/>
      <c r="E70" s="125"/>
      <c r="F70" s="125"/>
      <c r="G70" s="125"/>
      <c r="H70" s="125"/>
      <c r="I70" s="125"/>
    </row>
    <row r="71" spans="1:9" ht="23.25">
      <c r="A71" s="125"/>
      <c r="B71" s="169" t="s">
        <v>269</v>
      </c>
      <c r="C71" s="177">
        <f>(((1+C70)^(30/360))-1)</f>
        <v>1.3313824334185265E-2</v>
      </c>
      <c r="D71" s="175"/>
      <c r="E71" s="125"/>
      <c r="F71" s="125"/>
      <c r="G71" s="125"/>
      <c r="H71" s="125"/>
      <c r="I71" s="125"/>
    </row>
    <row r="72" spans="1:9" ht="45.75" customHeight="1">
      <c r="A72" s="125"/>
      <c r="B72" s="159" t="s">
        <v>270</v>
      </c>
      <c r="C72" s="159" t="s">
        <v>143</v>
      </c>
      <c r="D72" s="159" t="s">
        <v>271</v>
      </c>
      <c r="E72" s="125"/>
      <c r="F72" s="178"/>
      <c r="G72" s="125"/>
      <c r="H72" s="125"/>
      <c r="I72" s="125"/>
    </row>
    <row r="73" spans="1:9" ht="45.75" customHeight="1">
      <c r="A73" s="125"/>
      <c r="B73" s="175" t="s">
        <v>272</v>
      </c>
      <c r="C73" s="159">
        <f>G66</f>
        <v>60</v>
      </c>
      <c r="D73" s="159" t="s">
        <v>273</v>
      </c>
      <c r="E73" s="125"/>
      <c r="F73" s="125"/>
      <c r="G73" s="125"/>
      <c r="H73" s="125"/>
      <c r="I73" s="125"/>
    </row>
    <row r="74" spans="1:9" ht="15.75" customHeight="1" thickBot="1">
      <c r="A74" s="125"/>
      <c r="B74" s="125"/>
      <c r="C74" s="125"/>
      <c r="D74" s="125"/>
      <c r="E74" s="125"/>
      <c r="F74" s="125"/>
      <c r="G74" s="125"/>
      <c r="H74" s="125"/>
      <c r="I74" s="125"/>
    </row>
    <row r="75" spans="1:9" ht="24" customHeight="1">
      <c r="A75" s="179"/>
      <c r="B75" s="180" t="s">
        <v>274</v>
      </c>
      <c r="C75" s="180" t="s">
        <v>275</v>
      </c>
      <c r="D75" s="180" t="s">
        <v>276</v>
      </c>
      <c r="E75" s="1078" t="s">
        <v>277</v>
      </c>
      <c r="F75" s="179"/>
      <c r="G75" s="179"/>
      <c r="H75" s="125"/>
      <c r="I75" s="125"/>
    </row>
    <row r="76" spans="1:9" ht="24" customHeight="1">
      <c r="A76" s="179"/>
      <c r="B76" s="179"/>
      <c r="C76" s="179"/>
      <c r="D76" s="180" t="s">
        <v>278</v>
      </c>
      <c r="E76" s="1079"/>
      <c r="F76" s="179"/>
      <c r="G76" s="179"/>
      <c r="H76" s="125"/>
      <c r="I76" s="125"/>
    </row>
    <row r="77" spans="1:9" ht="23.25" customHeight="1" thickBot="1">
      <c r="A77" s="179"/>
      <c r="B77" s="179"/>
      <c r="C77" s="179"/>
      <c r="D77" s="180" t="s">
        <v>279</v>
      </c>
      <c r="E77" s="1080"/>
      <c r="F77" s="179"/>
      <c r="G77" s="179"/>
      <c r="H77" s="125"/>
      <c r="I77" s="125"/>
    </row>
    <row r="78" spans="1:9" ht="15.75" customHeight="1">
      <c r="A78" s="179"/>
      <c r="B78" s="179"/>
      <c r="C78" s="179"/>
      <c r="D78" s="125"/>
      <c r="E78" s="179"/>
      <c r="F78" s="179"/>
      <c r="G78" s="179"/>
      <c r="H78" s="125"/>
      <c r="I78" s="125"/>
    </row>
    <row r="79" spans="1:9" ht="15.75" customHeight="1">
      <c r="A79" s="179"/>
      <c r="B79" s="179"/>
      <c r="C79" s="179"/>
      <c r="D79" s="179"/>
      <c r="E79" s="179"/>
      <c r="F79" s="179"/>
      <c r="G79" s="179"/>
      <c r="H79" s="125"/>
      <c r="I79" s="125"/>
    </row>
    <row r="80" spans="1:9" ht="24" customHeight="1">
      <c r="A80" s="179"/>
      <c r="B80" s="179"/>
      <c r="C80" s="181" t="s">
        <v>280</v>
      </c>
      <c r="D80" s="182">
        <f>C69</f>
        <v>31788.4012</v>
      </c>
      <c r="E80" s="183">
        <f>D80</f>
        <v>31788.4012</v>
      </c>
      <c r="F80" s="184">
        <f>E80/E81</f>
        <v>772.63679844369324</v>
      </c>
      <c r="G80" s="185" t="s">
        <v>274</v>
      </c>
      <c r="H80" s="125"/>
      <c r="I80" s="125"/>
    </row>
    <row r="81" spans="1:9" ht="21">
      <c r="A81" s="179"/>
      <c r="B81" s="179"/>
      <c r="C81" s="179"/>
      <c r="D81" s="185">
        <f>(((1+C71)^(C73))-1)</f>
        <v>1.2112510819256475</v>
      </c>
      <c r="E81" s="186">
        <f>D81/D82</f>
        <v>41.142748137327573</v>
      </c>
      <c r="F81" s="179"/>
      <c r="G81" s="179"/>
      <c r="H81" s="125"/>
      <c r="I81" s="125"/>
    </row>
    <row r="82" spans="1:9" ht="21">
      <c r="A82" s="179"/>
      <c r="B82" s="179"/>
      <c r="C82" s="179"/>
      <c r="D82" s="185">
        <f>C71*((1+C71)^(C73))</f>
        <v>2.9440208463535178E-2</v>
      </c>
      <c r="E82" s="179"/>
      <c r="F82" s="179"/>
      <c r="G82" s="179"/>
      <c r="H82" s="125"/>
      <c r="I82" s="125"/>
    </row>
    <row r="83" spans="1:9" ht="24" customHeight="1">
      <c r="A83" s="179"/>
      <c r="B83" s="179"/>
      <c r="C83" s="187"/>
      <c r="D83" s="188"/>
      <c r="E83" s="187"/>
      <c r="F83" s="187"/>
      <c r="G83" s="179"/>
      <c r="H83" s="125"/>
      <c r="I83" s="125"/>
    </row>
    <row r="84" spans="1:9" ht="71.25" customHeight="1">
      <c r="A84" s="179"/>
      <c r="B84" s="167" t="s">
        <v>272</v>
      </c>
      <c r="C84" s="167" t="s">
        <v>281</v>
      </c>
      <c r="D84" s="167" t="s">
        <v>282</v>
      </c>
      <c r="E84" s="167" t="s">
        <v>283</v>
      </c>
      <c r="F84" s="167" t="s">
        <v>274</v>
      </c>
      <c r="G84" s="179"/>
      <c r="H84" s="125"/>
      <c r="I84" s="125"/>
    </row>
    <row r="85" spans="1:9" ht="18.75" customHeight="1">
      <c r="A85" s="179"/>
      <c r="B85" s="185">
        <v>1</v>
      </c>
      <c r="C85" s="182">
        <f>C69</f>
        <v>31788.4012</v>
      </c>
      <c r="D85" s="182">
        <f t="shared" ref="D85:D144" si="4">F85-E85</f>
        <v>349.41160900228914</v>
      </c>
      <c r="E85" s="182">
        <f t="shared" ref="E85:E144" si="5">C85*$C$71</f>
        <v>423.2251894414041</v>
      </c>
      <c r="F85" s="182">
        <f>F80</f>
        <v>772.63679844369324</v>
      </c>
      <c r="G85" s="179"/>
      <c r="H85" s="125"/>
      <c r="I85" s="125"/>
    </row>
    <row r="86" spans="1:9" ht="18.75" customHeight="1">
      <c r="A86" s="179"/>
      <c r="B86" s="185">
        <v>2</v>
      </c>
      <c r="C86" s="182">
        <f t="shared" ref="C86:C144" si="6">C85-D85</f>
        <v>31438.989590997709</v>
      </c>
      <c r="D86" s="182">
        <f t="shared" si="4"/>
        <v>354.06361378487071</v>
      </c>
      <c r="E86" s="182">
        <f t="shared" si="5"/>
        <v>418.57318465882253</v>
      </c>
      <c r="F86" s="182">
        <f t="shared" ref="F86:F144" si="7">F85</f>
        <v>772.63679844369324</v>
      </c>
      <c r="G86" s="179"/>
      <c r="H86" s="125"/>
      <c r="I86" s="125"/>
    </row>
    <row r="87" spans="1:9" ht="18.75" customHeight="1">
      <c r="A87" s="179"/>
      <c r="B87" s="185">
        <v>3</v>
      </c>
      <c r="C87" s="182">
        <f t="shared" si="6"/>
        <v>31084.925977212839</v>
      </c>
      <c r="D87" s="182">
        <f t="shared" si="4"/>
        <v>358.77755454192925</v>
      </c>
      <c r="E87" s="182">
        <f t="shared" si="5"/>
        <v>413.85924390176399</v>
      </c>
      <c r="F87" s="182">
        <f t="shared" si="7"/>
        <v>772.63679844369324</v>
      </c>
      <c r="G87" s="179"/>
      <c r="H87" s="125"/>
      <c r="I87" s="125"/>
    </row>
    <row r="88" spans="1:9" ht="18.75" customHeight="1">
      <c r="A88" s="179"/>
      <c r="B88" s="185">
        <v>4</v>
      </c>
      <c r="C88" s="182">
        <f t="shared" si="6"/>
        <v>30726.148422670911</v>
      </c>
      <c r="D88" s="182">
        <f t="shared" si="4"/>
        <v>363.55425587814909</v>
      </c>
      <c r="E88" s="182">
        <f t="shared" si="5"/>
        <v>409.08254256554414</v>
      </c>
      <c r="F88" s="182">
        <f t="shared" si="7"/>
        <v>772.63679844369324</v>
      </c>
      <c r="G88" s="179"/>
      <c r="H88" s="125"/>
      <c r="I88" s="125"/>
    </row>
    <row r="89" spans="1:9" ht="18.75" customHeight="1">
      <c r="A89" s="179"/>
      <c r="B89" s="185">
        <v>5</v>
      </c>
      <c r="C89" s="182">
        <f t="shared" si="6"/>
        <v>30362.594166792762</v>
      </c>
      <c r="D89" s="182">
        <f t="shared" si="4"/>
        <v>368.39455337685621</v>
      </c>
      <c r="E89" s="182">
        <f t="shared" si="5"/>
        <v>404.24224506683703</v>
      </c>
      <c r="F89" s="182">
        <f t="shared" si="7"/>
        <v>772.63679844369324</v>
      </c>
      <c r="G89" s="179"/>
      <c r="H89" s="125"/>
      <c r="I89" s="125"/>
    </row>
    <row r="90" spans="1:9" ht="18.75" customHeight="1">
      <c r="A90" s="179"/>
      <c r="B90" s="185">
        <v>6</v>
      </c>
      <c r="C90" s="182">
        <f t="shared" si="6"/>
        <v>29994.199613415905</v>
      </c>
      <c r="D90" s="182">
        <f t="shared" si="4"/>
        <v>373.29929374618632</v>
      </c>
      <c r="E90" s="182">
        <f t="shared" si="5"/>
        <v>399.33750469750692</v>
      </c>
      <c r="F90" s="182">
        <f t="shared" si="7"/>
        <v>772.63679844369324</v>
      </c>
      <c r="G90" s="179"/>
      <c r="H90" s="125"/>
      <c r="I90" s="125"/>
    </row>
    <row r="91" spans="1:9" ht="18.75" customHeight="1">
      <c r="A91" s="179"/>
      <c r="B91" s="185">
        <v>7</v>
      </c>
      <c r="C91" s="182">
        <f t="shared" si="6"/>
        <v>29620.900319669719</v>
      </c>
      <c r="D91" s="182">
        <f t="shared" si="4"/>
        <v>378.26933496719846</v>
      </c>
      <c r="E91" s="182">
        <f t="shared" si="5"/>
        <v>394.36746347649478</v>
      </c>
      <c r="F91" s="182">
        <f t="shared" si="7"/>
        <v>772.63679844369324</v>
      </c>
      <c r="G91" s="179"/>
      <c r="H91" s="125"/>
      <c r="I91" s="125"/>
    </row>
    <row r="92" spans="1:9" ht="18.75" customHeight="1">
      <c r="A92" s="179"/>
      <c r="B92" s="185">
        <v>8</v>
      </c>
      <c r="C92" s="182">
        <f t="shared" si="6"/>
        <v>29242.630984702522</v>
      </c>
      <c r="D92" s="182">
        <f t="shared" si="4"/>
        <v>383.30554644396079</v>
      </c>
      <c r="E92" s="182">
        <f t="shared" si="5"/>
        <v>389.33125199973244</v>
      </c>
      <c r="F92" s="182">
        <f t="shared" si="7"/>
        <v>772.63679844369324</v>
      </c>
      <c r="G92" s="179"/>
      <c r="H92" s="125"/>
      <c r="I92" s="125"/>
    </row>
    <row r="93" spans="1:9" ht="18.75" customHeight="1">
      <c r="A93" s="179"/>
      <c r="B93" s="185">
        <v>9</v>
      </c>
      <c r="C93" s="182">
        <f t="shared" si="6"/>
        <v>28859.325438258562</v>
      </c>
      <c r="D93" s="182">
        <f t="shared" si="4"/>
        <v>388.40880915563457</v>
      </c>
      <c r="E93" s="182">
        <f t="shared" si="5"/>
        <v>384.22798928805867</v>
      </c>
      <c r="F93" s="182">
        <f t="shared" si="7"/>
        <v>772.63679844369324</v>
      </c>
      <c r="G93" s="179"/>
      <c r="H93" s="125"/>
      <c r="I93" s="125"/>
    </row>
    <row r="94" spans="1:9" ht="18.75" customHeight="1">
      <c r="A94" s="179"/>
      <c r="B94" s="185">
        <v>10</v>
      </c>
      <c r="C94" s="182">
        <f t="shared" si="6"/>
        <v>28470.916629102929</v>
      </c>
      <c r="D94" s="182">
        <f t="shared" si="4"/>
        <v>393.58001581058278</v>
      </c>
      <c r="E94" s="182">
        <f t="shared" si="5"/>
        <v>379.05678263311046</v>
      </c>
      <c r="F94" s="182">
        <f t="shared" si="7"/>
        <v>772.63679844369324</v>
      </c>
      <c r="G94" s="179"/>
      <c r="H94" s="125"/>
      <c r="I94" s="125"/>
    </row>
    <row r="95" spans="1:9" ht="18.75" customHeight="1">
      <c r="A95" s="179"/>
      <c r="B95" s="185">
        <v>11</v>
      </c>
      <c r="C95" s="182">
        <f t="shared" si="6"/>
        <v>28077.336613292347</v>
      </c>
      <c r="D95" s="182">
        <f t="shared" si="4"/>
        <v>398.82007100253071</v>
      </c>
      <c r="E95" s="182">
        <f t="shared" si="5"/>
        <v>373.81672744116253</v>
      </c>
      <c r="F95" s="182">
        <f t="shared" si="7"/>
        <v>772.63679844369324</v>
      </c>
      <c r="G95" s="179"/>
      <c r="H95" s="125"/>
      <c r="I95" s="125"/>
    </row>
    <row r="96" spans="1:9" ht="18.75" customHeight="1">
      <c r="A96" s="179"/>
      <c r="B96" s="185">
        <v>12</v>
      </c>
      <c r="C96" s="182">
        <f t="shared" si="6"/>
        <v>27678.516542289817</v>
      </c>
      <c r="D96" s="182">
        <f t="shared" si="4"/>
        <v>404.12989136880566</v>
      </c>
      <c r="E96" s="182">
        <f t="shared" si="5"/>
        <v>368.50690707488758</v>
      </c>
      <c r="F96" s="182">
        <f t="shared" si="7"/>
        <v>772.63679844369324</v>
      </c>
      <c r="G96" s="179"/>
      <c r="H96" s="125"/>
      <c r="I96" s="125"/>
    </row>
    <row r="97" spans="1:9" ht="18.75" customHeight="1">
      <c r="A97" s="179"/>
      <c r="B97" s="185">
        <v>13</v>
      </c>
      <c r="C97" s="182">
        <f t="shared" si="6"/>
        <v>27274.386650921013</v>
      </c>
      <c r="D97" s="182">
        <f t="shared" si="4"/>
        <v>409.51040575068333</v>
      </c>
      <c r="E97" s="182">
        <f t="shared" si="5"/>
        <v>363.1263926930099</v>
      </c>
      <c r="F97" s="182">
        <f t="shared" si="7"/>
        <v>772.63679844369324</v>
      </c>
      <c r="G97" s="179"/>
      <c r="H97" s="125"/>
      <c r="I97" s="125"/>
    </row>
    <row r="98" spans="1:9" ht="18.75" customHeight="1">
      <c r="A98" s="179"/>
      <c r="B98" s="185">
        <v>14</v>
      </c>
      <c r="C98" s="182">
        <f t="shared" si="6"/>
        <v>26864.87624517033</v>
      </c>
      <c r="D98" s="182">
        <f t="shared" si="4"/>
        <v>414.96255535586886</v>
      </c>
      <c r="E98" s="182">
        <f t="shared" si="5"/>
        <v>357.67424308782438</v>
      </c>
      <c r="F98" s="182">
        <f t="shared" si="7"/>
        <v>772.63679844369324</v>
      </c>
      <c r="G98" s="179"/>
      <c r="H98" s="125"/>
      <c r="I98" s="125"/>
    </row>
    <row r="99" spans="1:9" ht="18.75" customHeight="1">
      <c r="A99" s="179"/>
      <c r="B99" s="185">
        <v>15</v>
      </c>
      <c r="C99" s="182">
        <f t="shared" si="6"/>
        <v>26449.913689814461</v>
      </c>
      <c r="D99" s="182">
        <f t="shared" si="4"/>
        <v>420.48729392314152</v>
      </c>
      <c r="E99" s="182">
        <f t="shared" si="5"/>
        <v>352.14950452055172</v>
      </c>
      <c r="F99" s="182">
        <f t="shared" si="7"/>
        <v>772.63679844369324</v>
      </c>
      <c r="G99" s="179"/>
      <c r="H99" s="125"/>
      <c r="I99" s="125"/>
    </row>
    <row r="100" spans="1:9" ht="18.75" customHeight="1">
      <c r="A100" s="179"/>
      <c r="B100" s="185">
        <v>16</v>
      </c>
      <c r="C100" s="182">
        <f t="shared" si="6"/>
        <v>26029.426395891318</v>
      </c>
      <c r="D100" s="182">
        <f t="shared" si="4"/>
        <v>426.08558788919117</v>
      </c>
      <c r="E100" s="182">
        <f t="shared" si="5"/>
        <v>346.55121055450206</v>
      </c>
      <c r="F100" s="182">
        <f t="shared" si="7"/>
        <v>772.63679844369324</v>
      </c>
      <c r="G100" s="179"/>
      <c r="H100" s="125"/>
      <c r="I100" s="125"/>
    </row>
    <row r="101" spans="1:9" ht="18.75" customHeight="1">
      <c r="A101" s="179"/>
      <c r="B101" s="185">
        <v>17</v>
      </c>
      <c r="C101" s="182">
        <f t="shared" si="6"/>
        <v>25603.340808002125</v>
      </c>
      <c r="D101" s="182">
        <f t="shared" si="4"/>
        <v>431.7584165576759</v>
      </c>
      <c r="E101" s="182">
        <f t="shared" si="5"/>
        <v>340.87838188601734</v>
      </c>
      <c r="F101" s="182">
        <f t="shared" si="7"/>
        <v>772.63679844369324</v>
      </c>
      <c r="G101" s="179"/>
      <c r="H101" s="125"/>
      <c r="I101" s="125"/>
    </row>
    <row r="102" spans="1:9" ht="18.75" customHeight="1">
      <c r="A102" s="179"/>
      <c r="B102" s="185">
        <v>18</v>
      </c>
      <c r="C102" s="182">
        <f t="shared" si="6"/>
        <v>25171.582391444448</v>
      </c>
      <c r="D102" s="182">
        <f t="shared" si="4"/>
        <v>437.5067722705308</v>
      </c>
      <c r="E102" s="182">
        <f t="shared" si="5"/>
        <v>335.13002617316243</v>
      </c>
      <c r="F102" s="182">
        <f t="shared" si="7"/>
        <v>772.63679844369324</v>
      </c>
      <c r="G102" s="179"/>
      <c r="H102" s="125"/>
      <c r="I102" s="125"/>
    </row>
    <row r="103" spans="1:9" ht="18.75" customHeight="1">
      <c r="A103" s="179"/>
      <c r="B103" s="185">
        <v>19</v>
      </c>
      <c r="C103" s="182">
        <f t="shared" si="6"/>
        <v>24734.075619173916</v>
      </c>
      <c r="D103" s="182">
        <f t="shared" si="4"/>
        <v>443.33166058155706</v>
      </c>
      <c r="E103" s="182">
        <f t="shared" si="5"/>
        <v>329.30513786213618</v>
      </c>
      <c r="F103" s="182">
        <f t="shared" si="7"/>
        <v>772.63679844369324</v>
      </c>
      <c r="G103" s="179"/>
      <c r="H103" s="125"/>
      <c r="I103" s="125"/>
    </row>
    <row r="104" spans="1:9" ht="18.75" customHeight="1">
      <c r="A104" s="179"/>
      <c r="B104" s="185">
        <v>20</v>
      </c>
      <c r="C104" s="182">
        <f t="shared" si="6"/>
        <v>24290.74395859236</v>
      </c>
      <c r="D104" s="182">
        <f t="shared" si="4"/>
        <v>449.23410043232258</v>
      </c>
      <c r="E104" s="182">
        <f t="shared" si="5"/>
        <v>323.40269801137066</v>
      </c>
      <c r="F104" s="182">
        <f t="shared" si="7"/>
        <v>772.63679844369324</v>
      </c>
      <c r="G104" s="179"/>
      <c r="H104" s="125"/>
      <c r="I104" s="125"/>
    </row>
    <row r="105" spans="1:9" ht="18.75" customHeight="1">
      <c r="A105" s="179"/>
      <c r="B105" s="185">
        <v>21</v>
      </c>
      <c r="C105" s="182">
        <f t="shared" si="6"/>
        <v>23841.509858160036</v>
      </c>
      <c r="D105" s="182">
        <f t="shared" si="4"/>
        <v>455.21512433040425</v>
      </c>
      <c r="E105" s="182">
        <f t="shared" si="5"/>
        <v>317.42167411328899</v>
      </c>
      <c r="F105" s="182">
        <f t="shared" si="7"/>
        <v>772.63679844369324</v>
      </c>
      <c r="G105" s="179"/>
      <c r="H105" s="125"/>
      <c r="I105" s="125"/>
    </row>
    <row r="106" spans="1:9" ht="18.75" customHeight="1">
      <c r="A106" s="179"/>
      <c r="B106" s="185">
        <v>22</v>
      </c>
      <c r="C106" s="182">
        <f t="shared" si="6"/>
        <v>23386.294733829633</v>
      </c>
      <c r="D106" s="182">
        <f t="shared" si="4"/>
        <v>461.27577853000355</v>
      </c>
      <c r="E106" s="182">
        <f t="shared" si="5"/>
        <v>311.36101991368969</v>
      </c>
      <c r="F106" s="182">
        <f t="shared" si="7"/>
        <v>772.63679844369324</v>
      </c>
      <c r="G106" s="179"/>
      <c r="H106" s="125"/>
      <c r="I106" s="125"/>
    </row>
    <row r="107" spans="1:9" ht="18.75" customHeight="1">
      <c r="A107" s="179"/>
      <c r="B107" s="185">
        <v>23</v>
      </c>
      <c r="C107" s="182">
        <f t="shared" si="6"/>
        <v>22925.018955299631</v>
      </c>
      <c r="D107" s="182">
        <f t="shared" si="4"/>
        <v>467.41712321496658</v>
      </c>
      <c r="E107" s="182">
        <f t="shared" si="5"/>
        <v>305.21967522872666</v>
      </c>
      <c r="F107" s="182">
        <f t="shared" si="7"/>
        <v>772.63679844369324</v>
      </c>
      <c r="G107" s="179"/>
      <c r="H107" s="125"/>
      <c r="I107" s="125"/>
    </row>
    <row r="108" spans="1:9" ht="18.75" customHeight="1">
      <c r="A108" s="179"/>
      <c r="B108" s="185">
        <v>24</v>
      </c>
      <c r="C108" s="182">
        <f t="shared" si="6"/>
        <v>22457.601832084663</v>
      </c>
      <c r="D108" s="182">
        <f t="shared" si="4"/>
        <v>473.64023268424086</v>
      </c>
      <c r="E108" s="182">
        <f t="shared" si="5"/>
        <v>298.99656575945238</v>
      </c>
      <c r="F108" s="182">
        <f t="shared" si="7"/>
        <v>772.63679844369324</v>
      </c>
      <c r="G108" s="179"/>
      <c r="H108" s="125"/>
      <c r="I108" s="125"/>
    </row>
    <row r="109" spans="1:9" ht="18.75" customHeight="1">
      <c r="A109" s="179"/>
      <c r="B109" s="185">
        <v>25</v>
      </c>
      <c r="C109" s="182">
        <f t="shared" si="6"/>
        <v>21983.961599400423</v>
      </c>
      <c r="D109" s="182">
        <f t="shared" si="4"/>
        <v>479.94619553980147</v>
      </c>
      <c r="E109" s="182">
        <f t="shared" si="5"/>
        <v>292.69060290389177</v>
      </c>
      <c r="F109" s="182">
        <f t="shared" si="7"/>
        <v>772.63679844369324</v>
      </c>
      <c r="G109" s="179"/>
      <c r="H109" s="125"/>
      <c r="I109" s="125"/>
    </row>
    <row r="110" spans="1:9" ht="18.75" customHeight="1">
      <c r="A110" s="179"/>
      <c r="B110" s="185">
        <v>26</v>
      </c>
      <c r="C110" s="182">
        <f t="shared" si="6"/>
        <v>21504.015403860623</v>
      </c>
      <c r="D110" s="182">
        <f t="shared" si="4"/>
        <v>486.3361148770789</v>
      </c>
      <c r="E110" s="182">
        <f t="shared" si="5"/>
        <v>286.30068356661434</v>
      </c>
      <c r="F110" s="182">
        <f t="shared" si="7"/>
        <v>772.63679844369324</v>
      </c>
      <c r="G110" s="179"/>
      <c r="H110" s="125"/>
      <c r="I110" s="125"/>
    </row>
    <row r="111" spans="1:9" ht="18.75" customHeight="1">
      <c r="A111" s="179"/>
      <c r="B111" s="185">
        <v>27</v>
      </c>
      <c r="C111" s="182">
        <f t="shared" si="6"/>
        <v>21017.679288983545</v>
      </c>
      <c r="D111" s="182">
        <f t="shared" si="4"/>
        <v>492.81110847792246</v>
      </c>
      <c r="E111" s="182">
        <f t="shared" si="5"/>
        <v>279.82568996577078</v>
      </c>
      <c r="F111" s="182">
        <f t="shared" si="7"/>
        <v>772.63679844369324</v>
      </c>
      <c r="G111" s="179"/>
      <c r="H111" s="125"/>
      <c r="I111" s="125"/>
    </row>
    <row r="112" spans="1:9" ht="18.75" customHeight="1">
      <c r="A112" s="179"/>
      <c r="B112" s="185">
        <v>28</v>
      </c>
      <c r="C112" s="182">
        <f t="shared" si="6"/>
        <v>20524.868180505622</v>
      </c>
      <c r="D112" s="182">
        <f t="shared" si="4"/>
        <v>499.37230900613264</v>
      </c>
      <c r="E112" s="182">
        <f t="shared" si="5"/>
        <v>273.2644894375606</v>
      </c>
      <c r="F112" s="182">
        <f t="shared" si="7"/>
        <v>772.63679844369324</v>
      </c>
      <c r="G112" s="179"/>
      <c r="H112" s="125"/>
      <c r="I112" s="125"/>
    </row>
    <row r="113" spans="1:9" ht="18.75" customHeight="1">
      <c r="A113" s="179"/>
      <c r="B113" s="185">
        <v>29</v>
      </c>
      <c r="C113" s="182">
        <f t="shared" si="6"/>
        <v>20025.49587149949</v>
      </c>
      <c r="D113" s="182">
        <f t="shared" si="4"/>
        <v>506.02086420559675</v>
      </c>
      <c r="E113" s="182">
        <f t="shared" si="5"/>
        <v>266.61593423809649</v>
      </c>
      <c r="F113" s="182">
        <f t="shared" si="7"/>
        <v>772.63679844369324</v>
      </c>
      <c r="G113" s="179"/>
      <c r="H113" s="125"/>
      <c r="I113" s="125"/>
    </row>
    <row r="114" spans="1:9" ht="18.75" customHeight="1">
      <c r="A114" s="179"/>
      <c r="B114" s="185">
        <v>30</v>
      </c>
      <c r="C114" s="182">
        <f t="shared" si="6"/>
        <v>19519.475007293895</v>
      </c>
      <c r="D114" s="182">
        <f t="shared" si="4"/>
        <v>512.75793710106268</v>
      </c>
      <c r="E114" s="182">
        <f t="shared" si="5"/>
        <v>259.87886134263056</v>
      </c>
      <c r="F114" s="182">
        <f t="shared" si="7"/>
        <v>772.63679844369324</v>
      </c>
      <c r="G114" s="179"/>
      <c r="H114" s="125"/>
      <c r="I114" s="125"/>
    </row>
    <row r="115" spans="1:9" ht="18.75" customHeight="1">
      <c r="A115" s="179"/>
      <c r="B115" s="185">
        <v>31</v>
      </c>
      <c r="C115" s="182">
        <f t="shared" si="6"/>
        <v>19006.717070192833</v>
      </c>
      <c r="D115" s="182">
        <f t="shared" si="4"/>
        <v>519.58470620158539</v>
      </c>
      <c r="E115" s="182">
        <f t="shared" si="5"/>
        <v>253.05209224210782</v>
      </c>
      <c r="F115" s="182">
        <f t="shared" si="7"/>
        <v>772.63679844369324</v>
      </c>
      <c r="G115" s="179"/>
      <c r="H115" s="125"/>
      <c r="I115" s="125"/>
    </row>
    <row r="116" spans="1:9" ht="18.75" customHeight="1">
      <c r="A116" s="179"/>
      <c r="B116" s="185">
        <v>32</v>
      </c>
      <c r="C116" s="182">
        <f t="shared" si="6"/>
        <v>18487.132363991248</v>
      </c>
      <c r="D116" s="182">
        <f t="shared" si="4"/>
        <v>526.50236570668267</v>
      </c>
      <c r="E116" s="182">
        <f t="shared" si="5"/>
        <v>246.13443273701063</v>
      </c>
      <c r="F116" s="182">
        <f t="shared" si="7"/>
        <v>772.63679844369324</v>
      </c>
      <c r="G116" s="179"/>
      <c r="H116" s="125"/>
      <c r="I116" s="125"/>
    </row>
    <row r="117" spans="1:9" ht="18.75" customHeight="1">
      <c r="A117" s="179"/>
      <c r="B117" s="185">
        <v>33</v>
      </c>
      <c r="C117" s="182">
        <f t="shared" si="6"/>
        <v>17960.629998284567</v>
      </c>
      <c r="D117" s="182">
        <f t="shared" si="4"/>
        <v>533.51212571523433</v>
      </c>
      <c r="E117" s="182">
        <f t="shared" si="5"/>
        <v>239.1246727284589</v>
      </c>
      <c r="F117" s="182">
        <f t="shared" si="7"/>
        <v>772.63679844369324</v>
      </c>
      <c r="G117" s="179"/>
      <c r="H117" s="125"/>
      <c r="I117" s="125"/>
    </row>
    <row r="118" spans="1:9" ht="18.75" customHeight="1">
      <c r="A118" s="179"/>
      <c r="B118" s="185">
        <v>34</v>
      </c>
      <c r="C118" s="182">
        <f t="shared" si="6"/>
        <v>17427.117872569332</v>
      </c>
      <c r="D118" s="182">
        <f t="shared" si="4"/>
        <v>540.6152124371647</v>
      </c>
      <c r="E118" s="182">
        <f t="shared" si="5"/>
        <v>232.02158600652851</v>
      </c>
      <c r="F118" s="182">
        <f t="shared" si="7"/>
        <v>772.63679844369324</v>
      </c>
      <c r="G118" s="179"/>
      <c r="H118" s="125"/>
      <c r="I118" s="125"/>
    </row>
    <row r="119" spans="1:9" ht="18.75" customHeight="1">
      <c r="A119" s="179"/>
      <c r="B119" s="185">
        <v>35</v>
      </c>
      <c r="C119" s="182">
        <f t="shared" si="6"/>
        <v>16886.502660132166</v>
      </c>
      <c r="D119" s="182">
        <f t="shared" si="4"/>
        <v>547.81286840794144</v>
      </c>
      <c r="E119" s="182">
        <f t="shared" si="5"/>
        <v>224.82393003575183</v>
      </c>
      <c r="F119" s="182">
        <f t="shared" si="7"/>
        <v>772.63679844369324</v>
      </c>
      <c r="G119" s="179"/>
      <c r="H119" s="125"/>
      <c r="I119" s="125"/>
    </row>
    <row r="120" spans="1:9" ht="18.75" customHeight="1">
      <c r="A120" s="179"/>
      <c r="B120" s="185">
        <v>36</v>
      </c>
      <c r="C120" s="182">
        <f t="shared" si="6"/>
        <v>16338.689791724224</v>
      </c>
      <c r="D120" s="182">
        <f t="shared" si="4"/>
        <v>555.10635270593093</v>
      </c>
      <c r="E120" s="182">
        <f t="shared" si="5"/>
        <v>217.53044573776234</v>
      </c>
      <c r="F120" s="182">
        <f t="shared" si="7"/>
        <v>772.63679844369324</v>
      </c>
      <c r="G120" s="179"/>
      <c r="H120" s="125"/>
      <c r="I120" s="125"/>
    </row>
    <row r="121" spans="1:9" ht="18.75" customHeight="1">
      <c r="A121" s="179"/>
      <c r="B121" s="185">
        <v>37</v>
      </c>
      <c r="C121" s="182">
        <f t="shared" si="6"/>
        <v>15783.583439018294</v>
      </c>
      <c r="D121" s="182">
        <f t="shared" si="4"/>
        <v>562.49694117264789</v>
      </c>
      <c r="E121" s="182">
        <f t="shared" si="5"/>
        <v>210.13985727104532</v>
      </c>
      <c r="F121" s="182">
        <f t="shared" si="7"/>
        <v>772.63679844369324</v>
      </c>
      <c r="G121" s="179"/>
      <c r="H121" s="125"/>
      <c r="I121" s="125"/>
    </row>
    <row r="122" spans="1:9" ht="18.75" customHeight="1">
      <c r="A122" s="179"/>
      <c r="B122" s="185">
        <v>38</v>
      </c>
      <c r="C122" s="182">
        <f t="shared" si="6"/>
        <v>15221.086497845645</v>
      </c>
      <c r="D122" s="182">
        <f t="shared" si="4"/>
        <v>569.98592663593718</v>
      </c>
      <c r="E122" s="182">
        <f t="shared" si="5"/>
        <v>202.65087180775612</v>
      </c>
      <c r="F122" s="182">
        <f t="shared" si="7"/>
        <v>772.63679844369324</v>
      </c>
      <c r="G122" s="179"/>
      <c r="H122" s="125"/>
      <c r="I122" s="125"/>
    </row>
    <row r="123" spans="1:9" ht="18.75" customHeight="1">
      <c r="A123" s="179"/>
      <c r="B123" s="185">
        <v>39</v>
      </c>
      <c r="C123" s="182">
        <f t="shared" si="6"/>
        <v>14651.100571209707</v>
      </c>
      <c r="D123" s="182">
        <f t="shared" si="4"/>
        <v>577.57461913612588</v>
      </c>
      <c r="E123" s="182">
        <f t="shared" si="5"/>
        <v>195.06217930756742</v>
      </c>
      <c r="F123" s="182">
        <f t="shared" si="7"/>
        <v>772.63679844369324</v>
      </c>
      <c r="G123" s="179"/>
      <c r="H123" s="125"/>
      <c r="I123" s="125"/>
    </row>
    <row r="124" spans="1:9" ht="18.75" customHeight="1">
      <c r="A124" s="179"/>
      <c r="B124" s="185">
        <v>40</v>
      </c>
      <c r="C124" s="182">
        <f t="shared" si="6"/>
        <v>14073.525952073582</v>
      </c>
      <c r="D124" s="182">
        <f t="shared" si="4"/>
        <v>585.26434615518815</v>
      </c>
      <c r="E124" s="182">
        <f t="shared" si="5"/>
        <v>187.37245228850509</v>
      </c>
      <c r="F124" s="182">
        <f t="shared" si="7"/>
        <v>772.63679844369324</v>
      </c>
      <c r="G124" s="179"/>
      <c r="H124" s="125"/>
      <c r="I124" s="125"/>
    </row>
    <row r="125" spans="1:9" ht="18.75" customHeight="1">
      <c r="A125" s="179"/>
      <c r="B125" s="185">
        <v>41</v>
      </c>
      <c r="C125" s="182">
        <f t="shared" si="6"/>
        <v>13488.261605918393</v>
      </c>
      <c r="D125" s="182">
        <f t="shared" si="4"/>
        <v>593.05645284896013</v>
      </c>
      <c r="E125" s="182">
        <f t="shared" si="5"/>
        <v>179.5803455947331</v>
      </c>
      <c r="F125" s="182">
        <f t="shared" si="7"/>
        <v>772.63679844369324</v>
      </c>
      <c r="G125" s="179"/>
      <c r="H125" s="125"/>
      <c r="I125" s="125"/>
    </row>
    <row r="126" spans="1:9" ht="18.75" customHeight="1">
      <c r="A126" s="179"/>
      <c r="B126" s="185">
        <v>42</v>
      </c>
      <c r="C126" s="182">
        <f t="shared" si="6"/>
        <v>12895.205153069433</v>
      </c>
      <c r="D126" s="182">
        <f t="shared" si="4"/>
        <v>600.95230228244623</v>
      </c>
      <c r="E126" s="182">
        <f t="shared" si="5"/>
        <v>171.68449616124704</v>
      </c>
      <c r="F126" s="182">
        <f t="shared" si="7"/>
        <v>772.63679844369324</v>
      </c>
      <c r="G126" s="179"/>
      <c r="H126" s="125"/>
      <c r="I126" s="125"/>
    </row>
    <row r="127" spans="1:9" ht="18.75" customHeight="1">
      <c r="A127" s="179"/>
      <c r="B127" s="185">
        <v>43</v>
      </c>
      <c r="C127" s="182">
        <f t="shared" si="6"/>
        <v>12294.252850786987</v>
      </c>
      <c r="D127" s="182">
        <f t="shared" si="4"/>
        <v>608.95327566825893</v>
      </c>
      <c r="E127" s="182">
        <f t="shared" si="5"/>
        <v>163.68352277543434</v>
      </c>
      <c r="F127" s="182">
        <f t="shared" si="7"/>
        <v>772.63679844369324</v>
      </c>
      <c r="G127" s="179"/>
      <c r="H127" s="125"/>
      <c r="I127" s="125"/>
    </row>
    <row r="128" spans="1:9" ht="18.75" customHeight="1">
      <c r="A128" s="179"/>
      <c r="B128" s="185">
        <v>44</v>
      </c>
      <c r="C128" s="182">
        <f t="shared" si="6"/>
        <v>11685.299575118728</v>
      </c>
      <c r="D128" s="182">
        <f t="shared" si="4"/>
        <v>617.06077260823281</v>
      </c>
      <c r="E128" s="182">
        <f t="shared" si="5"/>
        <v>155.57602583546046</v>
      </c>
      <c r="F128" s="182">
        <f t="shared" si="7"/>
        <v>772.63679844369324</v>
      </c>
      <c r="G128" s="179"/>
      <c r="H128" s="125"/>
      <c r="I128" s="125"/>
    </row>
    <row r="129" spans="1:9" ht="18.75" customHeight="1">
      <c r="A129" s="179"/>
      <c r="B129" s="185">
        <v>45</v>
      </c>
      <c r="C129" s="182">
        <f t="shared" si="6"/>
        <v>11068.238802510496</v>
      </c>
      <c r="D129" s="182">
        <f t="shared" si="4"/>
        <v>625.27621133825539</v>
      </c>
      <c r="E129" s="182">
        <f t="shared" si="5"/>
        <v>147.36058710543782</v>
      </c>
      <c r="F129" s="182">
        <f t="shared" si="7"/>
        <v>772.63679844369324</v>
      </c>
      <c r="G129" s="179"/>
      <c r="H129" s="125"/>
      <c r="I129" s="125"/>
    </row>
    <row r="130" spans="1:9" ht="18.75" customHeight="1">
      <c r="A130" s="179"/>
      <c r="B130" s="185">
        <v>46</v>
      </c>
      <c r="C130" s="182">
        <f t="shared" si="6"/>
        <v>10442.96259117224</v>
      </c>
      <c r="D130" s="182">
        <f t="shared" si="4"/>
        <v>633.60102897635784</v>
      </c>
      <c r="E130" s="182">
        <f t="shared" si="5"/>
        <v>139.03576946733537</v>
      </c>
      <c r="F130" s="182">
        <f t="shared" si="7"/>
        <v>772.63679844369324</v>
      </c>
      <c r="G130" s="179"/>
      <c r="H130" s="125"/>
      <c r="I130" s="125"/>
    </row>
    <row r="131" spans="1:9" ht="18.75" customHeight="1">
      <c r="A131" s="179"/>
      <c r="B131" s="185">
        <v>47</v>
      </c>
      <c r="C131" s="182">
        <f t="shared" si="6"/>
        <v>9809.3615621958816</v>
      </c>
      <c r="D131" s="182">
        <f t="shared" si="4"/>
        <v>642.03668177410816</v>
      </c>
      <c r="E131" s="182">
        <f t="shared" si="5"/>
        <v>130.60011666958511</v>
      </c>
      <c r="F131" s="182">
        <f t="shared" si="7"/>
        <v>772.63679844369324</v>
      </c>
      <c r="G131" s="179"/>
      <c r="H131" s="125"/>
      <c r="I131" s="125"/>
    </row>
    <row r="132" spans="1:9" ht="18.75" customHeight="1">
      <c r="A132" s="179"/>
      <c r="B132" s="185">
        <v>48</v>
      </c>
      <c r="C132" s="182">
        <f t="shared" si="6"/>
        <v>9167.3248804217728</v>
      </c>
      <c r="D132" s="182">
        <f t="shared" si="4"/>
        <v>650.58464537135183</v>
      </c>
      <c r="E132" s="182">
        <f t="shared" si="5"/>
        <v>122.05215307234143</v>
      </c>
      <c r="F132" s="182">
        <f t="shared" si="7"/>
        <v>772.63679844369324</v>
      </c>
      <c r="G132" s="179"/>
      <c r="H132" s="125"/>
      <c r="I132" s="125"/>
    </row>
    <row r="133" spans="1:9" ht="18.75" customHeight="1">
      <c r="A133" s="179"/>
      <c r="B133" s="185">
        <v>49</v>
      </c>
      <c r="C133" s="182">
        <f t="shared" si="6"/>
        <v>8516.7402350504217</v>
      </c>
      <c r="D133" s="182">
        <f t="shared" si="4"/>
        <v>659.2464150543442</v>
      </c>
      <c r="E133" s="182">
        <f t="shared" si="5"/>
        <v>113.39038338934904</v>
      </c>
      <c r="F133" s="182">
        <f t="shared" si="7"/>
        <v>772.63679844369324</v>
      </c>
      <c r="G133" s="179"/>
      <c r="H133" s="125"/>
      <c r="I133" s="125"/>
    </row>
    <row r="134" spans="1:9" ht="18.75" customHeight="1">
      <c r="A134" s="179"/>
      <c r="B134" s="185">
        <v>50</v>
      </c>
      <c r="C134" s="182">
        <f t="shared" si="6"/>
        <v>7857.4938199960779</v>
      </c>
      <c r="D134" s="182">
        <f t="shared" si="4"/>
        <v>668.02350601731916</v>
      </c>
      <c r="E134" s="182">
        <f t="shared" si="5"/>
        <v>104.61329242637412</v>
      </c>
      <c r="F134" s="182">
        <f t="shared" si="7"/>
        <v>772.63679844369324</v>
      </c>
      <c r="G134" s="179"/>
      <c r="H134" s="125"/>
      <c r="I134" s="125"/>
    </row>
    <row r="135" spans="1:9" ht="18.75" customHeight="1">
      <c r="A135" s="179"/>
      <c r="B135" s="185">
        <v>51</v>
      </c>
      <c r="C135" s="182">
        <f t="shared" si="6"/>
        <v>7189.4703139787589</v>
      </c>
      <c r="D135" s="182">
        <f t="shared" si="4"/>
        <v>676.91745362754023</v>
      </c>
      <c r="E135" s="182">
        <f t="shared" si="5"/>
        <v>95.719344816152969</v>
      </c>
      <c r="F135" s="182">
        <f t="shared" si="7"/>
        <v>772.63679844369324</v>
      </c>
      <c r="G135" s="179"/>
      <c r="H135" s="125"/>
      <c r="I135" s="125"/>
    </row>
    <row r="136" spans="1:9" ht="18.75" customHeight="1">
      <c r="A136" s="179"/>
      <c r="B136" s="185">
        <v>52</v>
      </c>
      <c r="C136" s="182">
        <f t="shared" si="6"/>
        <v>6512.5528603512184</v>
      </c>
      <c r="D136" s="182">
        <f t="shared" si="4"/>
        <v>685.92981369388133</v>
      </c>
      <c r="E136" s="182">
        <f t="shared" si="5"/>
        <v>86.706984749811909</v>
      </c>
      <c r="F136" s="182">
        <f t="shared" si="7"/>
        <v>772.63679844369324</v>
      </c>
      <c r="G136" s="179"/>
      <c r="H136" s="125"/>
      <c r="I136" s="125"/>
    </row>
    <row r="137" spans="1:9" ht="18.75" customHeight="1">
      <c r="A137" s="179"/>
      <c r="B137" s="185">
        <v>53</v>
      </c>
      <c r="C137" s="182">
        <f t="shared" si="6"/>
        <v>5826.623046657337</v>
      </c>
      <c r="D137" s="182">
        <f t="shared" si="4"/>
        <v>695.06216273898212</v>
      </c>
      <c r="E137" s="182">
        <f t="shared" si="5"/>
        <v>77.574635704711142</v>
      </c>
      <c r="F137" s="182">
        <f t="shared" si="7"/>
        <v>772.63679844369324</v>
      </c>
      <c r="G137" s="179"/>
      <c r="H137" s="125"/>
      <c r="I137" s="125"/>
    </row>
    <row r="138" spans="1:9" ht="18.75" customHeight="1">
      <c r="A138" s="179"/>
      <c r="B138" s="185">
        <v>54</v>
      </c>
      <c r="C138" s="182">
        <f t="shared" si="6"/>
        <v>5131.5608839183551</v>
      </c>
      <c r="D138" s="182">
        <f t="shared" si="4"/>
        <v>704.3160982750278</v>
      </c>
      <c r="E138" s="182">
        <f t="shared" si="5"/>
        <v>68.320700168665439</v>
      </c>
      <c r="F138" s="182">
        <f t="shared" si="7"/>
        <v>772.63679844369324</v>
      </c>
      <c r="G138" s="179"/>
      <c r="H138" s="125"/>
      <c r="I138" s="125"/>
    </row>
    <row r="139" spans="1:9" ht="18.75" customHeight="1">
      <c r="A139" s="179"/>
      <c r="B139" s="185">
        <v>55</v>
      </c>
      <c r="C139" s="182">
        <f t="shared" si="6"/>
        <v>4427.2447856433273</v>
      </c>
      <c r="D139" s="182">
        <f t="shared" si="4"/>
        <v>713.6932390832003</v>
      </c>
      <c r="E139" s="182">
        <f t="shared" si="5"/>
        <v>58.943559360492955</v>
      </c>
      <c r="F139" s="182">
        <f t="shared" si="7"/>
        <v>772.63679844369324</v>
      </c>
      <c r="G139" s="179"/>
      <c r="H139" s="125"/>
      <c r="I139" s="125"/>
    </row>
    <row r="140" spans="1:9" ht="18.75" customHeight="1">
      <c r="A140" s="179"/>
      <c r="B140" s="185">
        <v>56</v>
      </c>
      <c r="C140" s="182">
        <f t="shared" si="6"/>
        <v>3713.551546560127</v>
      </c>
      <c r="D140" s="182">
        <f t="shared" si="4"/>
        <v>723.19522549684973</v>
      </c>
      <c r="E140" s="182">
        <f t="shared" si="5"/>
        <v>49.441572946843543</v>
      </c>
      <c r="F140" s="182">
        <f t="shared" si="7"/>
        <v>772.63679844369324</v>
      </c>
      <c r="G140" s="179"/>
      <c r="H140" s="125"/>
      <c r="I140" s="125"/>
    </row>
    <row r="141" spans="1:9" ht="18.75" customHeight="1">
      <c r="A141" s="179"/>
      <c r="B141" s="185">
        <v>57</v>
      </c>
      <c r="C141" s="182">
        <f t="shared" si="6"/>
        <v>2990.3563210632774</v>
      </c>
      <c r="D141" s="182">
        <f t="shared" si="4"/>
        <v>732.8237196884362</v>
      </c>
      <c r="E141" s="182">
        <f t="shared" si="5"/>
        <v>39.813078755256988</v>
      </c>
      <c r="F141" s="182">
        <f t="shared" si="7"/>
        <v>772.63679844369324</v>
      </c>
      <c r="G141" s="179"/>
      <c r="H141" s="125"/>
      <c r="I141" s="125"/>
    </row>
    <row r="142" spans="1:9" ht="18.75" customHeight="1">
      <c r="A142" s="179"/>
      <c r="B142" s="185">
        <v>58</v>
      </c>
      <c r="C142" s="182">
        <f t="shared" si="6"/>
        <v>2257.5326013748413</v>
      </c>
      <c r="D142" s="182">
        <f t="shared" si="4"/>
        <v>742.5804059602923</v>
      </c>
      <c r="E142" s="182">
        <f t="shared" si="5"/>
        <v>30.056392483400924</v>
      </c>
      <c r="F142" s="182">
        <f t="shared" si="7"/>
        <v>772.63679844369324</v>
      </c>
      <c r="G142" s="179"/>
      <c r="H142" s="125"/>
      <c r="I142" s="125"/>
    </row>
    <row r="143" spans="1:9" ht="18.75" customHeight="1">
      <c r="A143" s="179"/>
      <c r="B143" s="185">
        <v>59</v>
      </c>
      <c r="C143" s="182">
        <f t="shared" si="6"/>
        <v>1514.9521954145489</v>
      </c>
      <c r="D143" s="182">
        <f t="shared" si="4"/>
        <v>752.46699103925562</v>
      </c>
      <c r="E143" s="182">
        <f t="shared" si="5"/>
        <v>20.169807404437613</v>
      </c>
      <c r="F143" s="182">
        <f t="shared" si="7"/>
        <v>772.63679844369324</v>
      </c>
      <c r="G143" s="179"/>
      <c r="H143" s="125"/>
      <c r="I143" s="125"/>
    </row>
    <row r="144" spans="1:9" ht="18.75" customHeight="1">
      <c r="A144" s="157"/>
      <c r="B144" s="189">
        <v>60</v>
      </c>
      <c r="C144" s="190">
        <f t="shared" si="6"/>
        <v>762.48520437529328</v>
      </c>
      <c r="D144" s="190">
        <f t="shared" si="4"/>
        <v>762.48520437522518</v>
      </c>
      <c r="E144" s="182">
        <f t="shared" si="5"/>
        <v>10.151594068468004</v>
      </c>
      <c r="F144" s="191">
        <f t="shared" si="7"/>
        <v>772.63679844369324</v>
      </c>
      <c r="G144" s="157"/>
      <c r="H144" s="125"/>
      <c r="I144" s="125"/>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mergeCells count="19">
    <mergeCell ref="C3:E3"/>
    <mergeCell ref="C55:D55"/>
    <mergeCell ref="F4:G4"/>
    <mergeCell ref="B5:E5"/>
    <mergeCell ref="A7:E7"/>
    <mergeCell ref="F7:H7"/>
    <mergeCell ref="F44:H44"/>
    <mergeCell ref="A46:H46"/>
    <mergeCell ref="A47:H47"/>
    <mergeCell ref="A48:H48"/>
    <mergeCell ref="C53:D53"/>
    <mergeCell ref="C54:D54"/>
    <mergeCell ref="E75:E77"/>
    <mergeCell ref="C56:D56"/>
    <mergeCell ref="C57:D57"/>
    <mergeCell ref="C59:F59"/>
    <mergeCell ref="G59:H59"/>
    <mergeCell ref="C61:D61"/>
    <mergeCell ref="C66:F66"/>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59FC2-7841-400C-B804-2985535EB6A7}">
  <dimension ref="A1:S558"/>
  <sheetViews>
    <sheetView topLeftCell="A357" zoomScale="55" zoomScaleNormal="55" zoomScaleSheetLayoutView="70" workbookViewId="0">
      <selection activeCell="J357" sqref="J357"/>
    </sheetView>
  </sheetViews>
  <sheetFormatPr baseColWidth="10" defaultRowHeight="21"/>
  <cols>
    <col min="1" max="1" width="22.140625" style="192" customWidth="1"/>
    <col min="2" max="2" width="31.28515625" style="192" customWidth="1"/>
    <col min="3" max="3" width="26.42578125" style="192" customWidth="1"/>
    <col min="4" max="4" width="30.85546875" style="192" customWidth="1"/>
    <col min="5" max="5" width="25.42578125" style="192" customWidth="1"/>
    <col min="6" max="6" width="31.7109375" style="192" customWidth="1"/>
    <col min="7" max="7" width="26.85546875" style="192" customWidth="1"/>
    <col min="8" max="8" width="30.140625" style="192" customWidth="1"/>
    <col min="9" max="9" width="28.28515625" style="192" customWidth="1"/>
    <col min="10" max="10" width="28" style="192" customWidth="1"/>
    <col min="11" max="11" width="33.7109375" style="192" customWidth="1"/>
    <col min="12" max="12" width="30.42578125" style="192" customWidth="1"/>
    <col min="13" max="13" width="31.7109375" style="192" customWidth="1"/>
    <col min="14" max="14" width="29.7109375" style="192" customWidth="1"/>
    <col min="15" max="15" width="29.85546875" style="192" customWidth="1"/>
    <col min="16" max="16" width="29.28515625" style="192" customWidth="1"/>
    <col min="17" max="17" width="34" style="192" customWidth="1"/>
    <col min="18" max="18" width="40.140625" style="192" customWidth="1"/>
    <col min="19" max="19" width="11.42578125" style="192" customWidth="1"/>
    <col min="20" max="16384" width="11.42578125" style="192"/>
  </cols>
  <sheetData>
    <row r="1" spans="1:8">
      <c r="A1" s="215"/>
      <c r="B1" s="215"/>
      <c r="C1" s="215"/>
      <c r="D1" s="215"/>
      <c r="E1" s="215"/>
      <c r="F1" s="215"/>
      <c r="G1" s="229"/>
    </row>
    <row r="2" spans="1:8" ht="30" customHeight="1">
      <c r="A2" s="215"/>
      <c r="G2" s="229"/>
    </row>
    <row r="4" spans="1:8">
      <c r="A4" s="207"/>
      <c r="B4" s="207"/>
      <c r="C4" s="207"/>
      <c r="D4" s="207"/>
      <c r="E4" s="207"/>
      <c r="F4" s="207"/>
      <c r="G4" s="229"/>
    </row>
    <row r="6" spans="1:8" ht="51" customHeight="1" thickBot="1">
      <c r="A6" s="218"/>
      <c r="B6" s="1231" t="s">
        <v>858</v>
      </c>
      <c r="C6" s="1232"/>
      <c r="D6" s="1232"/>
      <c r="E6" s="1232"/>
      <c r="F6" s="1232"/>
      <c r="G6" s="1233"/>
    </row>
    <row r="7" spans="1:8" ht="58.5" customHeight="1" thickBot="1">
      <c r="A7" s="230"/>
      <c r="B7" s="1234" t="s">
        <v>859</v>
      </c>
      <c r="C7" s="1235"/>
      <c r="D7" s="1235"/>
      <c r="E7" s="1235"/>
      <c r="F7" s="1235"/>
      <c r="G7" s="1236"/>
    </row>
    <row r="8" spans="1:8" ht="58.5" customHeight="1">
      <c r="A8" s="231">
        <v>1</v>
      </c>
      <c r="B8" s="1237" t="s">
        <v>860</v>
      </c>
      <c r="C8" s="1237"/>
      <c r="D8" s="1237"/>
      <c r="E8" s="1237"/>
      <c r="F8" s="1237"/>
      <c r="G8" s="193"/>
    </row>
    <row r="9" spans="1:8" ht="58.5" customHeight="1">
      <c r="A9" s="231">
        <v>2</v>
      </c>
      <c r="B9" s="1120" t="s">
        <v>375</v>
      </c>
      <c r="C9" s="1120"/>
      <c r="D9" s="1120"/>
      <c r="E9" s="1120"/>
      <c r="F9" s="1120"/>
      <c r="G9" s="193"/>
    </row>
    <row r="10" spans="1:8" ht="47.25" customHeight="1">
      <c r="A10" s="231">
        <v>3</v>
      </c>
      <c r="B10" s="1120" t="s">
        <v>376</v>
      </c>
      <c r="C10" s="1120"/>
      <c r="D10" s="1120"/>
      <c r="E10" s="1120"/>
      <c r="F10" s="1120"/>
      <c r="G10" s="193"/>
    </row>
    <row r="11" spans="1:8" ht="48.75" customHeight="1">
      <c r="A11" s="231">
        <v>4</v>
      </c>
      <c r="B11" s="1120" t="s">
        <v>377</v>
      </c>
      <c r="C11" s="1120"/>
      <c r="D11" s="1120"/>
      <c r="E11" s="1120"/>
      <c r="F11" s="1120"/>
      <c r="G11" s="193"/>
    </row>
    <row r="12" spans="1:8">
      <c r="A12" s="218"/>
      <c r="B12" s="218"/>
      <c r="C12" s="218"/>
      <c r="D12" s="218"/>
      <c r="E12" s="218"/>
      <c r="F12" s="230"/>
      <c r="G12" s="193"/>
    </row>
    <row r="14" spans="1:8" ht="42.75" customHeight="1">
      <c r="A14" s="232">
        <v>1</v>
      </c>
      <c r="B14" s="1116" t="s">
        <v>378</v>
      </c>
      <c r="C14" s="1115"/>
      <c r="D14" s="1115"/>
      <c r="E14" s="1115"/>
      <c r="F14" s="1115"/>
      <c r="G14" s="1115"/>
    </row>
    <row r="16" spans="1:8" ht="111" customHeight="1">
      <c r="B16" s="1165" t="s">
        <v>797</v>
      </c>
      <c r="C16" s="1165"/>
      <c r="D16" s="1165"/>
      <c r="E16" s="1165"/>
      <c r="F16" s="233"/>
      <c r="G16" s="234">
        <v>645</v>
      </c>
      <c r="H16" s="235" t="s">
        <v>379</v>
      </c>
    </row>
    <row r="17" spans="1:9" ht="50.25" customHeight="1">
      <c r="B17" s="1165" t="s">
        <v>798</v>
      </c>
      <c r="C17" s="1165"/>
      <c r="D17" s="1165"/>
      <c r="E17" s="1165"/>
      <c r="F17" s="233"/>
      <c r="G17" s="234">
        <v>77</v>
      </c>
      <c r="H17" s="235" t="s">
        <v>380</v>
      </c>
    </row>
    <row r="18" spans="1:9" ht="30" customHeight="1">
      <c r="B18" s="1229"/>
      <c r="C18" s="1229"/>
      <c r="D18" s="1229"/>
      <c r="E18" s="1229"/>
      <c r="F18" s="193"/>
      <c r="G18" s="236"/>
      <c r="H18" s="193"/>
    </row>
    <row r="19" spans="1:9" ht="91.5" customHeight="1">
      <c r="A19" s="193"/>
      <c r="B19" s="213" t="s">
        <v>144</v>
      </c>
      <c r="C19" s="201" t="s">
        <v>145</v>
      </c>
      <c r="D19" s="201" t="s">
        <v>146</v>
      </c>
      <c r="E19" s="201" t="s">
        <v>147</v>
      </c>
      <c r="F19" s="201" t="s">
        <v>148</v>
      </c>
      <c r="G19" s="236"/>
      <c r="H19" s="193"/>
      <c r="I19" s="193"/>
    </row>
    <row r="20" spans="1:9" ht="38.25" customHeight="1">
      <c r="A20" s="237" t="s">
        <v>381</v>
      </c>
      <c r="B20" s="238">
        <v>645</v>
      </c>
      <c r="C20" s="239">
        <v>0.96</v>
      </c>
      <c r="D20" s="240">
        <v>56</v>
      </c>
      <c r="E20" s="241">
        <v>12</v>
      </c>
      <c r="F20" s="240">
        <f>D20*E20</f>
        <v>672</v>
      </c>
      <c r="G20" s="236"/>
      <c r="H20" s="193"/>
      <c r="I20" s="193"/>
    </row>
    <row r="21" spans="1:9" ht="37.5" customHeight="1">
      <c r="A21" s="237" t="s">
        <v>382</v>
      </c>
      <c r="B21" s="238">
        <v>77</v>
      </c>
      <c r="C21" s="239">
        <v>0.43</v>
      </c>
      <c r="D21" s="240">
        <v>15</v>
      </c>
      <c r="E21" s="241">
        <v>12</v>
      </c>
      <c r="F21" s="240">
        <f>+D21*E21</f>
        <v>180</v>
      </c>
      <c r="G21" s="236"/>
      <c r="H21" s="193"/>
      <c r="I21" s="193"/>
    </row>
    <row r="22" spans="1:9">
      <c r="A22" s="242"/>
    </row>
    <row r="23" spans="1:9" ht="42">
      <c r="B23" s="243"/>
      <c r="C23" s="243" t="s">
        <v>383</v>
      </c>
      <c r="D23" s="244" t="s">
        <v>384</v>
      </c>
      <c r="E23" s="244" t="s">
        <v>385</v>
      </c>
      <c r="F23" s="1120" t="s">
        <v>386</v>
      </c>
      <c r="G23" s="1120"/>
    </row>
    <row r="24" spans="1:9" ht="23.25">
      <c r="A24" s="245">
        <v>0.33800000000000002</v>
      </c>
      <c r="B24" s="243" t="s">
        <v>391</v>
      </c>
      <c r="C24" s="246">
        <f>(D20+D21)*A24</f>
        <v>23.998000000000001</v>
      </c>
      <c r="D24" s="244" t="s">
        <v>388</v>
      </c>
      <c r="E24" s="244" t="s">
        <v>389</v>
      </c>
      <c r="F24" s="247">
        <f>+'3.4'!C20</f>
        <v>2048.5</v>
      </c>
      <c r="G24" s="248">
        <f>+F24</f>
        <v>2048.5</v>
      </c>
      <c r="H24" s="1238" t="s">
        <v>390</v>
      </c>
      <c r="I24" s="1238"/>
    </row>
    <row r="25" spans="1:9" ht="28.5" customHeight="1">
      <c r="A25" s="245">
        <v>0.45069999999999999</v>
      </c>
      <c r="B25" s="243" t="s">
        <v>387</v>
      </c>
      <c r="C25" s="246">
        <f>(D20+D21)*A25</f>
        <v>31.999700000000001</v>
      </c>
      <c r="D25" s="244" t="s">
        <v>388</v>
      </c>
      <c r="E25" s="244" t="s">
        <v>389</v>
      </c>
      <c r="F25" s="249">
        <f>+'3.4'!D20</f>
        <v>1311</v>
      </c>
      <c r="G25" s="250">
        <f>+F25</f>
        <v>1311</v>
      </c>
      <c r="H25" s="251">
        <v>5</v>
      </c>
      <c r="I25" s="252">
        <v>3.84</v>
      </c>
    </row>
    <row r="26" spans="1:9" ht="28.5" customHeight="1">
      <c r="A26" s="245">
        <v>0.21129999999999999</v>
      </c>
      <c r="B26" s="243" t="s">
        <v>392</v>
      </c>
      <c r="C26" s="246">
        <f>(D20+D21)*A26</f>
        <v>15.0023</v>
      </c>
      <c r="D26" s="244" t="s">
        <v>388</v>
      </c>
      <c r="E26" s="244" t="s">
        <v>389</v>
      </c>
      <c r="F26" s="253">
        <f>+'3.4'!C77</f>
        <v>783.33333333333337</v>
      </c>
      <c r="G26" s="250">
        <f>+F26</f>
        <v>783.33333333333337</v>
      </c>
      <c r="H26" s="251"/>
      <c r="I26" s="252"/>
    </row>
    <row r="27" spans="1:9" ht="28.5">
      <c r="B27" s="251" t="s">
        <v>393</v>
      </c>
      <c r="C27" s="254">
        <f>SUM(C24:C26)</f>
        <v>71</v>
      </c>
      <c r="D27" s="255"/>
      <c r="F27" s="256"/>
      <c r="G27" s="257"/>
      <c r="H27" s="251" t="s">
        <v>394</v>
      </c>
      <c r="I27" s="251" t="s">
        <v>395</v>
      </c>
    </row>
    <row r="30" spans="1:9" ht="31.5" customHeight="1">
      <c r="B30" s="1165" t="s">
        <v>397</v>
      </c>
      <c r="C30" s="1165"/>
      <c r="D30" s="1165"/>
      <c r="E30" s="1165"/>
      <c r="F30" s="1165"/>
      <c r="G30" s="193"/>
    </row>
    <row r="32" spans="1:9">
      <c r="C32" s="207"/>
    </row>
    <row r="33" spans="1:17" ht="42" customHeight="1">
      <c r="A33" s="251" t="s">
        <v>398</v>
      </c>
      <c r="B33" s="1112" t="s">
        <v>399</v>
      </c>
      <c r="C33" s="1103"/>
      <c r="D33" s="201" t="s">
        <v>400</v>
      </c>
      <c r="E33" s="201" t="s">
        <v>401</v>
      </c>
      <c r="F33" s="201" t="s">
        <v>402</v>
      </c>
      <c r="G33" s="201" t="s">
        <v>403</v>
      </c>
      <c r="H33" s="201" t="s">
        <v>404</v>
      </c>
      <c r="I33" s="201" t="s">
        <v>405</v>
      </c>
      <c r="J33" s="201" t="s">
        <v>406</v>
      </c>
      <c r="K33" s="201" t="s">
        <v>407</v>
      </c>
      <c r="L33" s="201" t="s">
        <v>408</v>
      </c>
      <c r="M33" s="201" t="s">
        <v>409</v>
      </c>
      <c r="N33" s="201" t="s">
        <v>410</v>
      </c>
      <c r="O33" s="201" t="s">
        <v>411</v>
      </c>
      <c r="P33" s="201" t="s">
        <v>183</v>
      </c>
    </row>
    <row r="34" spans="1:17" ht="23.25">
      <c r="A34" s="258">
        <f>F214</f>
        <v>17</v>
      </c>
      <c r="B34" s="259" t="str">
        <f>+B24</f>
        <v>S. ONCOLÓGICO</v>
      </c>
      <c r="C34" s="204" t="s">
        <v>412</v>
      </c>
      <c r="D34" s="205">
        <f>C24</f>
        <v>23.998000000000001</v>
      </c>
      <c r="E34" s="205">
        <f t="shared" ref="E34:O35" si="0">D34</f>
        <v>23.998000000000001</v>
      </c>
      <c r="F34" s="205">
        <f t="shared" si="0"/>
        <v>23.998000000000001</v>
      </c>
      <c r="G34" s="205">
        <f t="shared" si="0"/>
        <v>23.998000000000001</v>
      </c>
      <c r="H34" s="205">
        <f t="shared" si="0"/>
        <v>23.998000000000001</v>
      </c>
      <c r="I34" s="205">
        <f t="shared" si="0"/>
        <v>23.998000000000001</v>
      </c>
      <c r="J34" s="205">
        <f t="shared" si="0"/>
        <v>23.998000000000001</v>
      </c>
      <c r="K34" s="205">
        <f t="shared" si="0"/>
        <v>23.998000000000001</v>
      </c>
      <c r="L34" s="205">
        <f t="shared" si="0"/>
        <v>23.998000000000001</v>
      </c>
      <c r="M34" s="205">
        <f t="shared" si="0"/>
        <v>23.998000000000001</v>
      </c>
      <c r="N34" s="205">
        <f t="shared" si="0"/>
        <v>23.998000000000001</v>
      </c>
      <c r="O34" s="205">
        <f t="shared" si="0"/>
        <v>23.998000000000001</v>
      </c>
      <c r="P34" s="917">
        <f>SUM(D34:O34)</f>
        <v>287.97599999999994</v>
      </c>
    </row>
    <row r="35" spans="1:17" ht="23.25">
      <c r="A35" s="258">
        <f>F216</f>
        <v>22</v>
      </c>
      <c r="B35" s="259" t="str">
        <f>+B25</f>
        <v>S. ENDOCRINO</v>
      </c>
      <c r="C35" s="204" t="s">
        <v>412</v>
      </c>
      <c r="D35" s="205">
        <f>C25</f>
        <v>31.999700000000001</v>
      </c>
      <c r="E35" s="205">
        <f t="shared" si="0"/>
        <v>31.999700000000001</v>
      </c>
      <c r="F35" s="205">
        <f t="shared" si="0"/>
        <v>31.999700000000001</v>
      </c>
      <c r="G35" s="205">
        <f t="shared" si="0"/>
        <v>31.999700000000001</v>
      </c>
      <c r="H35" s="205">
        <f t="shared" si="0"/>
        <v>31.999700000000001</v>
      </c>
      <c r="I35" s="205">
        <f t="shared" si="0"/>
        <v>31.999700000000001</v>
      </c>
      <c r="J35" s="205">
        <f t="shared" si="0"/>
        <v>31.999700000000001</v>
      </c>
      <c r="K35" s="205">
        <f t="shared" si="0"/>
        <v>31.999700000000001</v>
      </c>
      <c r="L35" s="205">
        <f t="shared" si="0"/>
        <v>31.999700000000001</v>
      </c>
      <c r="M35" s="205">
        <f t="shared" si="0"/>
        <v>31.999700000000001</v>
      </c>
      <c r="N35" s="205">
        <f t="shared" si="0"/>
        <v>31.999700000000001</v>
      </c>
      <c r="O35" s="205">
        <f t="shared" si="0"/>
        <v>31.999700000000001</v>
      </c>
      <c r="P35" s="917">
        <f>SUM(D35:O35)</f>
        <v>383.99640000000005</v>
      </c>
    </row>
    <row r="36" spans="1:17" ht="23.25">
      <c r="A36" s="260">
        <f>+F218</f>
        <v>10</v>
      </c>
      <c r="B36" s="204" t="s">
        <v>392</v>
      </c>
      <c r="C36" s="204" t="s">
        <v>412</v>
      </c>
      <c r="D36" s="205">
        <f>+$C$26</f>
        <v>15.0023</v>
      </c>
      <c r="E36" s="205">
        <f t="shared" ref="E36:O36" si="1">+$C$26</f>
        <v>15.0023</v>
      </c>
      <c r="F36" s="205">
        <f t="shared" si="1"/>
        <v>15.0023</v>
      </c>
      <c r="G36" s="205">
        <f t="shared" si="1"/>
        <v>15.0023</v>
      </c>
      <c r="H36" s="205">
        <f t="shared" si="1"/>
        <v>15.0023</v>
      </c>
      <c r="I36" s="205">
        <f t="shared" si="1"/>
        <v>15.0023</v>
      </c>
      <c r="J36" s="205">
        <f t="shared" si="1"/>
        <v>15.0023</v>
      </c>
      <c r="K36" s="205">
        <f t="shared" si="1"/>
        <v>15.0023</v>
      </c>
      <c r="L36" s="205">
        <f t="shared" si="1"/>
        <v>15.0023</v>
      </c>
      <c r="M36" s="205">
        <f t="shared" si="1"/>
        <v>15.0023</v>
      </c>
      <c r="N36" s="205">
        <f t="shared" si="1"/>
        <v>15.0023</v>
      </c>
      <c r="O36" s="205">
        <f t="shared" si="1"/>
        <v>15.0023</v>
      </c>
      <c r="P36" s="917">
        <f>SUM(D36:O36)</f>
        <v>180.02759999999998</v>
      </c>
    </row>
    <row r="37" spans="1:17" ht="23.25">
      <c r="B37" s="196"/>
      <c r="C37" s="197"/>
      <c r="D37" s="204"/>
      <c r="E37" s="204"/>
      <c r="F37" s="204"/>
      <c r="G37" s="204"/>
      <c r="H37" s="204"/>
      <c r="I37" s="204"/>
      <c r="J37" s="204"/>
      <c r="K37" s="204"/>
      <c r="L37" s="204"/>
      <c r="M37" s="204"/>
      <c r="N37" s="204"/>
      <c r="O37" s="204"/>
      <c r="P37" s="204"/>
    </row>
    <row r="38" spans="1:17" ht="42" customHeight="1">
      <c r="B38" s="1113" t="s">
        <v>414</v>
      </c>
      <c r="C38" s="1113"/>
      <c r="D38" s="261">
        <f>+F24</f>
        <v>2048.5</v>
      </c>
      <c r="E38" s="261">
        <f>D38</f>
        <v>2048.5</v>
      </c>
      <c r="F38" s="261">
        <f t="shared" ref="F38:O39" si="2">E38</f>
        <v>2048.5</v>
      </c>
      <c r="G38" s="261">
        <f t="shared" si="2"/>
        <v>2048.5</v>
      </c>
      <c r="H38" s="261">
        <f t="shared" si="2"/>
        <v>2048.5</v>
      </c>
      <c r="I38" s="261">
        <f t="shared" si="2"/>
        <v>2048.5</v>
      </c>
      <c r="J38" s="261">
        <f t="shared" si="2"/>
        <v>2048.5</v>
      </c>
      <c r="K38" s="261">
        <f t="shared" si="2"/>
        <v>2048.5</v>
      </c>
      <c r="L38" s="261">
        <f t="shared" si="2"/>
        <v>2048.5</v>
      </c>
      <c r="M38" s="261">
        <f t="shared" si="2"/>
        <v>2048.5</v>
      </c>
      <c r="N38" s="261">
        <f t="shared" si="2"/>
        <v>2048.5</v>
      </c>
      <c r="O38" s="261">
        <f t="shared" si="2"/>
        <v>2048.5</v>
      </c>
      <c r="P38" s="261">
        <f>O38</f>
        <v>2048.5</v>
      </c>
    </row>
    <row r="39" spans="1:17" ht="44.25" customHeight="1">
      <c r="B39" s="1225" t="s">
        <v>413</v>
      </c>
      <c r="C39" s="1225"/>
      <c r="D39" s="261">
        <f>+F25</f>
        <v>1311</v>
      </c>
      <c r="E39" s="261">
        <f>D39</f>
        <v>1311</v>
      </c>
      <c r="F39" s="261">
        <f t="shared" si="2"/>
        <v>1311</v>
      </c>
      <c r="G39" s="261">
        <f t="shared" si="2"/>
        <v>1311</v>
      </c>
      <c r="H39" s="261">
        <f t="shared" si="2"/>
        <v>1311</v>
      </c>
      <c r="I39" s="261">
        <f t="shared" si="2"/>
        <v>1311</v>
      </c>
      <c r="J39" s="261">
        <f t="shared" si="2"/>
        <v>1311</v>
      </c>
      <c r="K39" s="261">
        <f t="shared" si="2"/>
        <v>1311</v>
      </c>
      <c r="L39" s="261">
        <f t="shared" si="2"/>
        <v>1311</v>
      </c>
      <c r="M39" s="261">
        <f t="shared" si="2"/>
        <v>1311</v>
      </c>
      <c r="N39" s="261">
        <f t="shared" si="2"/>
        <v>1311</v>
      </c>
      <c r="O39" s="261">
        <f t="shared" si="2"/>
        <v>1311</v>
      </c>
      <c r="P39" s="261">
        <f>O39</f>
        <v>1311</v>
      </c>
    </row>
    <row r="40" spans="1:17" ht="44.25" customHeight="1">
      <c r="B40" s="1225" t="s">
        <v>415</v>
      </c>
      <c r="C40" s="1225"/>
      <c r="D40" s="261">
        <f>+$F$26</f>
        <v>783.33333333333337</v>
      </c>
      <c r="E40" s="261">
        <f t="shared" ref="E40:O40" si="3">+$F$26</f>
        <v>783.33333333333337</v>
      </c>
      <c r="F40" s="261">
        <f t="shared" si="3"/>
        <v>783.33333333333337</v>
      </c>
      <c r="G40" s="261">
        <f t="shared" si="3"/>
        <v>783.33333333333337</v>
      </c>
      <c r="H40" s="261">
        <f t="shared" si="3"/>
        <v>783.33333333333337</v>
      </c>
      <c r="I40" s="261">
        <f t="shared" si="3"/>
        <v>783.33333333333337</v>
      </c>
      <c r="J40" s="261">
        <f t="shared" si="3"/>
        <v>783.33333333333337</v>
      </c>
      <c r="K40" s="261">
        <f t="shared" si="3"/>
        <v>783.33333333333337</v>
      </c>
      <c r="L40" s="261">
        <f t="shared" si="3"/>
        <v>783.33333333333337</v>
      </c>
      <c r="M40" s="261">
        <f t="shared" si="3"/>
        <v>783.33333333333337</v>
      </c>
      <c r="N40" s="261">
        <f t="shared" si="3"/>
        <v>783.33333333333337</v>
      </c>
      <c r="O40" s="261">
        <f t="shared" si="3"/>
        <v>783.33333333333337</v>
      </c>
      <c r="P40" s="261">
        <f>+O40</f>
        <v>783.33333333333337</v>
      </c>
    </row>
    <row r="41" spans="1:17" ht="23.25">
      <c r="B41" s="197"/>
      <c r="C41" s="197"/>
      <c r="D41" s="204"/>
      <c r="E41" s="204"/>
      <c r="F41" s="204"/>
      <c r="G41" s="204"/>
      <c r="H41" s="204"/>
      <c r="I41" s="204"/>
      <c r="J41" s="204"/>
      <c r="K41" s="204"/>
      <c r="L41" s="204"/>
      <c r="M41" s="204"/>
      <c r="N41" s="204"/>
      <c r="O41" s="204"/>
      <c r="P41" s="204"/>
    </row>
    <row r="42" spans="1:17" ht="42" customHeight="1">
      <c r="B42" s="1102" t="s">
        <v>416</v>
      </c>
      <c r="C42" s="1103"/>
      <c r="D42" s="204" t="s">
        <v>248</v>
      </c>
      <c r="E42" s="204"/>
      <c r="F42" s="204"/>
      <c r="G42" s="204"/>
      <c r="H42" s="204"/>
      <c r="I42" s="204"/>
      <c r="J42" s="204"/>
      <c r="K42" s="204"/>
      <c r="L42" s="204"/>
      <c r="M42" s="204"/>
      <c r="N42" s="204"/>
      <c r="O42" s="204"/>
      <c r="P42" s="204"/>
    </row>
    <row r="43" spans="1:17" ht="23.25">
      <c r="B43" s="1226" t="str">
        <f>+B34</f>
        <v>S. ONCOLÓGICO</v>
      </c>
      <c r="C43" s="1227"/>
      <c r="D43" s="246">
        <f t="shared" ref="D43:O44" si="4">D34*D38</f>
        <v>49159.903000000006</v>
      </c>
      <c r="E43" s="246">
        <f t="shared" si="4"/>
        <v>49159.903000000006</v>
      </c>
      <c r="F43" s="246">
        <f t="shared" si="4"/>
        <v>49159.903000000006</v>
      </c>
      <c r="G43" s="246">
        <f t="shared" si="4"/>
        <v>49159.903000000006</v>
      </c>
      <c r="H43" s="246">
        <f t="shared" si="4"/>
        <v>49159.903000000006</v>
      </c>
      <c r="I43" s="246">
        <f t="shared" si="4"/>
        <v>49159.903000000006</v>
      </c>
      <c r="J43" s="246">
        <f t="shared" si="4"/>
        <v>49159.903000000006</v>
      </c>
      <c r="K43" s="246">
        <f t="shared" si="4"/>
        <v>49159.903000000006</v>
      </c>
      <c r="L43" s="246">
        <f t="shared" si="4"/>
        <v>49159.903000000006</v>
      </c>
      <c r="M43" s="246">
        <f t="shared" si="4"/>
        <v>49159.903000000006</v>
      </c>
      <c r="N43" s="246">
        <f t="shared" si="4"/>
        <v>49159.903000000006</v>
      </c>
      <c r="O43" s="246">
        <f t="shared" si="4"/>
        <v>49159.903000000006</v>
      </c>
      <c r="P43" s="262">
        <f>SUM(D43:O43)</f>
        <v>589918.83600000001</v>
      </c>
    </row>
    <row r="44" spans="1:17" ht="23.25">
      <c r="B44" s="1226" t="str">
        <f>+B35</f>
        <v>S. ENDOCRINO</v>
      </c>
      <c r="C44" s="1227"/>
      <c r="D44" s="246">
        <f t="shared" si="4"/>
        <v>41951.606700000004</v>
      </c>
      <c r="E44" s="246">
        <f t="shared" si="4"/>
        <v>41951.606700000004</v>
      </c>
      <c r="F44" s="246">
        <f t="shared" si="4"/>
        <v>41951.606700000004</v>
      </c>
      <c r="G44" s="246">
        <f t="shared" si="4"/>
        <v>41951.606700000004</v>
      </c>
      <c r="H44" s="246">
        <f t="shared" si="4"/>
        <v>41951.606700000004</v>
      </c>
      <c r="I44" s="246">
        <f t="shared" si="4"/>
        <v>41951.606700000004</v>
      </c>
      <c r="J44" s="246">
        <f t="shared" si="4"/>
        <v>41951.606700000004</v>
      </c>
      <c r="K44" s="246">
        <f t="shared" si="4"/>
        <v>41951.606700000004</v>
      </c>
      <c r="L44" s="246">
        <f t="shared" si="4"/>
        <v>41951.606700000004</v>
      </c>
      <c r="M44" s="246">
        <f t="shared" si="4"/>
        <v>41951.606700000004</v>
      </c>
      <c r="N44" s="246">
        <f t="shared" si="4"/>
        <v>41951.606700000004</v>
      </c>
      <c r="O44" s="246">
        <f t="shared" si="4"/>
        <v>41951.606700000004</v>
      </c>
      <c r="P44" s="262">
        <f>SUM(D44:O44)</f>
        <v>503419.28040000005</v>
      </c>
    </row>
    <row r="45" spans="1:17" ht="23.25">
      <c r="B45" s="1228" t="str">
        <f>+B36</f>
        <v>S. IMPORTACIÓN</v>
      </c>
      <c r="C45" s="1228"/>
      <c r="D45" s="246">
        <f>+D36*D40</f>
        <v>11751.801666666668</v>
      </c>
      <c r="E45" s="246">
        <f t="shared" ref="E45:O45" si="5">+E36*E40</f>
        <v>11751.801666666668</v>
      </c>
      <c r="F45" s="246">
        <f t="shared" si="5"/>
        <v>11751.801666666668</v>
      </c>
      <c r="G45" s="246">
        <f t="shared" si="5"/>
        <v>11751.801666666668</v>
      </c>
      <c r="H45" s="246">
        <f t="shared" si="5"/>
        <v>11751.801666666668</v>
      </c>
      <c r="I45" s="246">
        <f t="shared" si="5"/>
        <v>11751.801666666668</v>
      </c>
      <c r="J45" s="246">
        <f t="shared" si="5"/>
        <v>11751.801666666668</v>
      </c>
      <c r="K45" s="246">
        <f t="shared" si="5"/>
        <v>11751.801666666668</v>
      </c>
      <c r="L45" s="246">
        <f t="shared" si="5"/>
        <v>11751.801666666668</v>
      </c>
      <c r="M45" s="246">
        <f t="shared" si="5"/>
        <v>11751.801666666668</v>
      </c>
      <c r="N45" s="246">
        <f t="shared" si="5"/>
        <v>11751.801666666668</v>
      </c>
      <c r="O45" s="246">
        <f t="shared" si="5"/>
        <v>11751.801666666668</v>
      </c>
      <c r="P45" s="263">
        <f>SUM(D45:O45)</f>
        <v>141021.62000000002</v>
      </c>
    </row>
    <row r="46" spans="1:17" ht="23.25">
      <c r="B46" s="215"/>
      <c r="C46" s="215"/>
      <c r="D46" s="264"/>
      <c r="E46" s="264"/>
      <c r="F46" s="264"/>
      <c r="G46" s="264"/>
      <c r="H46" s="264"/>
      <c r="I46" s="264"/>
      <c r="J46" s="264"/>
      <c r="K46" s="264"/>
      <c r="L46" s="264"/>
      <c r="M46" s="264"/>
      <c r="N46" s="264"/>
      <c r="O46" s="264"/>
      <c r="P46" s="265">
        <f>SUM(P43:P45)</f>
        <v>1234359.7364000003</v>
      </c>
      <c r="Q46" s="264"/>
    </row>
    <row r="47" spans="1:17" ht="93">
      <c r="C47" s="1102" t="s">
        <v>399</v>
      </c>
      <c r="D47" s="1103"/>
      <c r="E47" s="201" t="s">
        <v>417</v>
      </c>
      <c r="F47" s="201" t="s">
        <v>418</v>
      </c>
      <c r="K47" s="264"/>
      <c r="L47" s="264"/>
      <c r="M47" s="264"/>
      <c r="N47" s="264"/>
      <c r="O47" s="264"/>
      <c r="P47" s="264"/>
      <c r="Q47" s="264"/>
    </row>
    <row r="48" spans="1:17" ht="23.25" customHeight="1">
      <c r="C48" s="203" t="str">
        <f>+B43</f>
        <v>S. ONCOLÓGICO</v>
      </c>
      <c r="D48" s="204" t="s">
        <v>420</v>
      </c>
      <c r="E48" s="262">
        <f>D34</f>
        <v>23.998000000000001</v>
      </c>
      <c r="F48" s="301">
        <f>P34</f>
        <v>287.97599999999994</v>
      </c>
      <c r="K48" s="264"/>
      <c r="L48" s="264"/>
      <c r="M48" s="264"/>
      <c r="N48" s="264"/>
      <c r="O48" s="264"/>
      <c r="P48" s="264"/>
      <c r="Q48" s="264"/>
    </row>
    <row r="49" spans="1:17" ht="23.25" customHeight="1">
      <c r="C49" s="203" t="str">
        <f>+B44</f>
        <v>S. ENDOCRINO</v>
      </c>
      <c r="D49" s="204" t="s">
        <v>420</v>
      </c>
      <c r="E49" s="262">
        <f>D35</f>
        <v>31.999700000000001</v>
      </c>
      <c r="F49" s="301">
        <f>P35</f>
        <v>383.99640000000005</v>
      </c>
      <c r="K49" s="264"/>
      <c r="L49" s="264"/>
      <c r="M49" s="264"/>
      <c r="N49" s="264"/>
      <c r="O49" s="264"/>
      <c r="P49" s="264"/>
      <c r="Q49" s="264"/>
    </row>
    <row r="50" spans="1:17" ht="23.25" customHeight="1">
      <c r="C50" s="266" t="str">
        <f>+B45</f>
        <v>S. IMPORTACIÓN</v>
      </c>
      <c r="D50" s="204" t="s">
        <v>420</v>
      </c>
      <c r="E50" s="262">
        <f>+D36</f>
        <v>15.0023</v>
      </c>
      <c r="F50" s="301">
        <f>+P36</f>
        <v>180.02759999999998</v>
      </c>
      <c r="K50" s="264"/>
      <c r="L50" s="264"/>
      <c r="M50" s="264"/>
      <c r="N50" s="264"/>
      <c r="O50" s="264"/>
      <c r="P50" s="264"/>
      <c r="Q50" s="264"/>
    </row>
    <row r="51" spans="1:17" ht="23.25" customHeight="1">
      <c r="C51" s="267"/>
      <c r="D51" s="196"/>
      <c r="E51" s="268"/>
      <c r="F51" s="262"/>
      <c r="K51" s="264"/>
      <c r="L51" s="264"/>
      <c r="M51" s="264"/>
      <c r="N51" s="264"/>
      <c r="O51" s="264"/>
      <c r="P51" s="264"/>
      <c r="Q51" s="264"/>
    </row>
    <row r="52" spans="1:17" ht="23.25" customHeight="1">
      <c r="C52" s="1102" t="s">
        <v>416</v>
      </c>
      <c r="D52" s="1103"/>
      <c r="E52" s="262" t="s">
        <v>421</v>
      </c>
      <c r="F52" s="262" t="s">
        <v>422</v>
      </c>
      <c r="K52" s="264"/>
      <c r="L52" s="264"/>
      <c r="M52" s="264"/>
      <c r="N52" s="264"/>
      <c r="O52" s="264"/>
      <c r="P52" s="264"/>
      <c r="Q52" s="264"/>
    </row>
    <row r="53" spans="1:17" ht="23.25" customHeight="1">
      <c r="C53" s="204" t="str">
        <f>+C48</f>
        <v>S. ONCOLÓGICO</v>
      </c>
      <c r="D53" s="204" t="s">
        <v>135</v>
      </c>
      <c r="E53" s="269">
        <f>D43</f>
        <v>49159.903000000006</v>
      </c>
      <c r="F53" s="262">
        <f>P43</f>
        <v>589918.83600000001</v>
      </c>
      <c r="K53" s="264"/>
      <c r="L53" s="264"/>
      <c r="M53" s="264"/>
      <c r="N53" s="264"/>
      <c r="O53" s="264"/>
      <c r="P53" s="264"/>
      <c r="Q53" s="264"/>
    </row>
    <row r="54" spans="1:17" ht="23.25" customHeight="1">
      <c r="C54" s="204" t="str">
        <f>+C49</f>
        <v>S. ENDOCRINO</v>
      </c>
      <c r="D54" s="204" t="s">
        <v>135</v>
      </c>
      <c r="E54" s="269">
        <f>D44</f>
        <v>41951.606700000004</v>
      </c>
      <c r="F54" s="262">
        <f>P44</f>
        <v>503419.28040000005</v>
      </c>
    </row>
    <row r="55" spans="1:17" ht="23.25" customHeight="1">
      <c r="C55" s="204" t="str">
        <f>+C50</f>
        <v>S. IMPORTACIÓN</v>
      </c>
      <c r="D55" s="204" t="s">
        <v>135</v>
      </c>
      <c r="E55" s="269">
        <f>+D45</f>
        <v>11751.801666666668</v>
      </c>
      <c r="F55" s="262">
        <f>+P45</f>
        <v>141021.62000000002</v>
      </c>
    </row>
    <row r="56" spans="1:17" ht="23.25" customHeight="1">
      <c r="C56" s="203"/>
      <c r="D56" s="204" t="s">
        <v>183</v>
      </c>
      <c r="E56" s="270">
        <f>SUM(E53:E55)</f>
        <v>102863.31136666668</v>
      </c>
      <c r="F56" s="271">
        <f>SUM(F53:F55)</f>
        <v>1234359.7364000003</v>
      </c>
    </row>
    <row r="57" spans="1:17">
      <c r="C57" s="215"/>
      <c r="D57" s="272"/>
      <c r="E57" s="272"/>
      <c r="F57" s="273"/>
      <c r="G57" s="274"/>
      <c r="H57" s="193"/>
    </row>
    <row r="58" spans="1:17">
      <c r="C58" s="215"/>
      <c r="D58" s="272"/>
      <c r="E58" s="272"/>
      <c r="F58" s="273"/>
      <c r="G58" s="274"/>
      <c r="H58" s="193"/>
    </row>
    <row r="59" spans="1:17">
      <c r="C59" s="215"/>
      <c r="D59" s="272"/>
      <c r="E59" s="272"/>
      <c r="F59" s="273"/>
      <c r="G59" s="274"/>
      <c r="H59" s="193"/>
    </row>
    <row r="60" spans="1:17" ht="23.25">
      <c r="C60" s="197"/>
      <c r="D60" s="197"/>
      <c r="E60" s="197"/>
      <c r="F60" s="197"/>
    </row>
    <row r="61" spans="1:17" ht="62.25" customHeight="1">
      <c r="A61" s="275" t="s">
        <v>424</v>
      </c>
      <c r="B61" s="1117" t="s">
        <v>425</v>
      </c>
      <c r="C61" s="1117"/>
      <c r="D61" s="1117"/>
      <c r="E61" s="1117"/>
      <c r="F61" s="1117"/>
      <c r="G61" s="193"/>
    </row>
    <row r="64" spans="1:17" ht="21" customHeight="1">
      <c r="A64" s="1120" t="s">
        <v>426</v>
      </c>
      <c r="B64" s="1120"/>
      <c r="C64" s="1120"/>
      <c r="D64" s="1120"/>
      <c r="E64" s="1120"/>
      <c r="F64" s="1120"/>
    </row>
    <row r="65" spans="1:9" ht="23.25">
      <c r="A65" s="1126" t="s">
        <v>427</v>
      </c>
      <c r="B65" s="1126"/>
      <c r="C65" s="1126"/>
      <c r="D65" s="1126"/>
      <c r="E65" s="1126"/>
      <c r="F65" s="1126"/>
    </row>
    <row r="66" spans="1:9">
      <c r="A66" s="207"/>
      <c r="B66" s="193"/>
      <c r="C66" s="193"/>
      <c r="D66" s="193"/>
      <c r="E66" s="193"/>
      <c r="F66" s="193"/>
      <c r="G66" s="193"/>
    </row>
    <row r="67" spans="1:9" ht="46.5">
      <c r="A67" s="276" t="s">
        <v>428</v>
      </c>
      <c r="B67" s="276" t="s">
        <v>301</v>
      </c>
      <c r="C67" s="276" t="s">
        <v>429</v>
      </c>
      <c r="D67" s="1102" t="s">
        <v>430</v>
      </c>
      <c r="E67" s="1103"/>
      <c r="F67" s="276" t="s">
        <v>431</v>
      </c>
      <c r="G67" s="197"/>
      <c r="H67" s="197"/>
    </row>
    <row r="68" spans="1:9" ht="23.25">
      <c r="A68" s="276"/>
      <c r="B68" s="276"/>
      <c r="C68" s="276"/>
      <c r="D68" s="276" t="s">
        <v>248</v>
      </c>
      <c r="E68" s="276" t="s">
        <v>420</v>
      </c>
      <c r="F68" s="276"/>
      <c r="G68" s="197"/>
      <c r="H68" s="197"/>
    </row>
    <row r="69" spans="1:9" ht="46.5">
      <c r="A69" s="276" t="s">
        <v>432</v>
      </c>
      <c r="B69" s="201">
        <v>1</v>
      </c>
      <c r="C69" s="201" t="s">
        <v>433</v>
      </c>
      <c r="D69" s="201">
        <v>25</v>
      </c>
      <c r="E69" s="276" t="s">
        <v>434</v>
      </c>
      <c r="F69" s="213">
        <f>+(D69/100)*B69</f>
        <v>0.25</v>
      </c>
      <c r="G69" s="197"/>
      <c r="H69" s="197"/>
    </row>
    <row r="70" spans="1:9" ht="46.5">
      <c r="A70" s="276" t="s">
        <v>435</v>
      </c>
      <c r="B70" s="201">
        <v>1</v>
      </c>
      <c r="C70" s="201" t="s">
        <v>433</v>
      </c>
      <c r="D70" s="201">
        <v>100</v>
      </c>
      <c r="E70" s="201" t="s">
        <v>436</v>
      </c>
      <c r="F70" s="213">
        <f>+(D70/100)*B70</f>
        <v>1</v>
      </c>
      <c r="G70" s="197"/>
      <c r="H70" s="197"/>
    </row>
    <row r="71" spans="1:9" ht="46.5">
      <c r="A71" s="276" t="s">
        <v>437</v>
      </c>
      <c r="B71" s="201">
        <v>1</v>
      </c>
      <c r="C71" s="201" t="s">
        <v>433</v>
      </c>
      <c r="D71" s="201">
        <v>25</v>
      </c>
      <c r="E71" s="201" t="s">
        <v>438</v>
      </c>
      <c r="F71" s="213">
        <f>+(D71/500)*B71</f>
        <v>0.05</v>
      </c>
      <c r="G71" s="197"/>
      <c r="H71" s="197"/>
    </row>
    <row r="72" spans="1:9" ht="46.5">
      <c r="A72" s="276" t="s">
        <v>439</v>
      </c>
      <c r="B72" s="201">
        <v>1</v>
      </c>
      <c r="C72" s="201" t="s">
        <v>433</v>
      </c>
      <c r="D72" s="201">
        <v>2.5</v>
      </c>
      <c r="E72" s="201" t="s">
        <v>440</v>
      </c>
      <c r="F72" s="213">
        <f>+(D72/1)*B72</f>
        <v>2.5</v>
      </c>
      <c r="G72" s="197"/>
      <c r="H72" s="197"/>
    </row>
    <row r="73" spans="1:9" ht="52.5" customHeight="1">
      <c r="A73" s="276" t="s">
        <v>441</v>
      </c>
      <c r="B73" s="201">
        <v>1</v>
      </c>
      <c r="C73" s="201" t="s">
        <v>388</v>
      </c>
      <c r="D73" s="201">
        <v>100</v>
      </c>
      <c r="E73" s="201" t="s">
        <v>442</v>
      </c>
      <c r="F73" s="213">
        <v>100</v>
      </c>
      <c r="G73" s="197"/>
      <c r="H73" s="197"/>
    </row>
    <row r="74" spans="1:9" ht="46.5">
      <c r="A74" s="276" t="s">
        <v>443</v>
      </c>
      <c r="B74" s="201">
        <v>1</v>
      </c>
      <c r="C74" s="201" t="s">
        <v>444</v>
      </c>
      <c r="D74" s="201">
        <v>700</v>
      </c>
      <c r="E74" s="201" t="s">
        <v>445</v>
      </c>
      <c r="F74" s="213">
        <f>+(D74/1)*B74</f>
        <v>700</v>
      </c>
      <c r="G74" s="197"/>
      <c r="H74" s="197"/>
    </row>
    <row r="75" spans="1:9" ht="99" customHeight="1">
      <c r="A75" s="276"/>
      <c r="B75" s="276"/>
      <c r="C75" s="276"/>
      <c r="D75" s="276"/>
      <c r="E75" s="201" t="s">
        <v>446</v>
      </c>
      <c r="F75" s="213">
        <f>SUM(F69:F74)</f>
        <v>803.8</v>
      </c>
      <c r="G75" s="201" t="s">
        <v>447</v>
      </c>
      <c r="H75" s="277">
        <f>+F75</f>
        <v>803.8</v>
      </c>
    </row>
    <row r="76" spans="1:9" ht="42">
      <c r="A76" s="278"/>
      <c r="B76" s="279" t="s">
        <v>448</v>
      </c>
      <c r="C76" s="217"/>
      <c r="D76" s="279" t="s">
        <v>449</v>
      </c>
      <c r="E76" s="209"/>
      <c r="F76" s="280"/>
      <c r="G76" s="281"/>
      <c r="H76" s="281"/>
    </row>
    <row r="77" spans="1:9" ht="31.5">
      <c r="A77" s="278"/>
      <c r="B77" s="283">
        <f>+H75</f>
        <v>803.8</v>
      </c>
      <c r="C77" s="283"/>
      <c r="D77" s="284">
        <f>B77</f>
        <v>803.8</v>
      </c>
      <c r="E77" s="212"/>
      <c r="F77" s="215"/>
      <c r="G77" s="215"/>
      <c r="H77" s="215"/>
      <c r="I77" s="193"/>
    </row>
    <row r="78" spans="1:9" ht="138.75" customHeight="1">
      <c r="A78" s="285" t="s">
        <v>450</v>
      </c>
      <c r="B78" s="220" t="s">
        <v>451</v>
      </c>
      <c r="C78" s="224"/>
      <c r="D78" s="220" t="s">
        <v>451</v>
      </c>
      <c r="E78" s="210"/>
      <c r="F78" s="280"/>
      <c r="G78" s="281"/>
      <c r="H78" s="281"/>
      <c r="I78" s="193"/>
    </row>
    <row r="79" spans="1:9">
      <c r="A79" s="251" t="s">
        <v>428</v>
      </c>
      <c r="B79" s="220" t="s">
        <v>452</v>
      </c>
      <c r="C79" s="224"/>
      <c r="D79" s="220"/>
      <c r="E79" s="209"/>
      <c r="F79" s="208"/>
      <c r="G79" s="208"/>
      <c r="H79" s="194"/>
      <c r="I79" s="193"/>
    </row>
    <row r="80" spans="1:9" ht="31.5">
      <c r="A80" s="258">
        <f>+SUM(F69:F73)</f>
        <v>103.8</v>
      </c>
      <c r="B80" s="324">
        <v>1200</v>
      </c>
      <c r="C80" s="256"/>
      <c r="D80" s="286">
        <f>B80+A80</f>
        <v>1303.8</v>
      </c>
      <c r="E80" s="209"/>
      <c r="F80" s="208"/>
      <c r="G80" s="208"/>
      <c r="H80" s="194"/>
      <c r="I80" s="193"/>
    </row>
    <row r="81" spans="1:16" ht="58.5" customHeight="1">
      <c r="A81" s="1151" t="s">
        <v>737</v>
      </c>
      <c r="B81" s="1220"/>
      <c r="C81" s="1220"/>
      <c r="D81" s="1220"/>
      <c r="E81" s="1221"/>
      <c r="F81" s="208"/>
      <c r="G81" s="208"/>
      <c r="H81" s="194"/>
      <c r="I81" s="193"/>
    </row>
    <row r="82" spans="1:16" ht="31.5" customHeight="1">
      <c r="A82" s="1222"/>
      <c r="B82" s="1223"/>
      <c r="C82" s="1223"/>
      <c r="D82" s="1223"/>
      <c r="E82" s="1224"/>
      <c r="F82" s="208"/>
      <c r="G82" s="208"/>
      <c r="H82" s="194"/>
      <c r="I82" s="193"/>
    </row>
    <row r="85" spans="1:16" ht="21" customHeight="1">
      <c r="C85" s="207"/>
    </row>
    <row r="86" spans="1:16" ht="66" customHeight="1">
      <c r="B86" s="1188" t="s">
        <v>453</v>
      </c>
      <c r="C86" s="1189"/>
      <c r="D86" s="209" t="s">
        <v>400</v>
      </c>
      <c r="E86" s="209" t="s">
        <v>401</v>
      </c>
      <c r="F86" s="209" t="s">
        <v>402</v>
      </c>
      <c r="G86" s="209" t="s">
        <v>403</v>
      </c>
      <c r="H86" s="209" t="s">
        <v>404</v>
      </c>
      <c r="I86" s="209" t="s">
        <v>405</v>
      </c>
      <c r="J86" s="209" t="s">
        <v>406</v>
      </c>
      <c r="K86" s="209" t="s">
        <v>407</v>
      </c>
      <c r="L86" s="209" t="s">
        <v>408</v>
      </c>
      <c r="M86" s="209" t="s">
        <v>409</v>
      </c>
      <c r="N86" s="209" t="s">
        <v>410</v>
      </c>
      <c r="O86" s="209" t="s">
        <v>411</v>
      </c>
      <c r="P86" s="209" t="s">
        <v>183</v>
      </c>
    </row>
    <row r="87" spans="1:16" ht="23.25">
      <c r="B87" s="243" t="str">
        <f>+B43</f>
        <v>S. ONCOLÓGICO</v>
      </c>
      <c r="C87" s="243" t="s">
        <v>420</v>
      </c>
      <c r="D87" s="287">
        <f>C24</f>
        <v>23.998000000000001</v>
      </c>
      <c r="E87" s="288">
        <f t="shared" ref="E87:O88" si="6">D87</f>
        <v>23.998000000000001</v>
      </c>
      <c r="F87" s="288">
        <f t="shared" si="6"/>
        <v>23.998000000000001</v>
      </c>
      <c r="G87" s="288">
        <f t="shared" si="6"/>
        <v>23.998000000000001</v>
      </c>
      <c r="H87" s="288">
        <f t="shared" si="6"/>
        <v>23.998000000000001</v>
      </c>
      <c r="I87" s="288">
        <f t="shared" si="6"/>
        <v>23.998000000000001</v>
      </c>
      <c r="J87" s="288">
        <f t="shared" si="6"/>
        <v>23.998000000000001</v>
      </c>
      <c r="K87" s="288">
        <f t="shared" si="6"/>
        <v>23.998000000000001</v>
      </c>
      <c r="L87" s="288">
        <f t="shared" si="6"/>
        <v>23.998000000000001</v>
      </c>
      <c r="M87" s="288">
        <f t="shared" si="6"/>
        <v>23.998000000000001</v>
      </c>
      <c r="N87" s="288">
        <f t="shared" si="6"/>
        <v>23.998000000000001</v>
      </c>
      <c r="O87" s="288">
        <f t="shared" si="6"/>
        <v>23.998000000000001</v>
      </c>
      <c r="P87" s="288">
        <f>SUM(D87:O87)</f>
        <v>287.97599999999994</v>
      </c>
    </row>
    <row r="88" spans="1:16" ht="23.25">
      <c r="B88" s="243" t="str">
        <f>+B44</f>
        <v>S. ENDOCRINO</v>
      </c>
      <c r="C88" s="243" t="s">
        <v>420</v>
      </c>
      <c r="D88" s="287">
        <f>C25</f>
        <v>31.999700000000001</v>
      </c>
      <c r="E88" s="288">
        <f t="shared" si="6"/>
        <v>31.999700000000001</v>
      </c>
      <c r="F88" s="288">
        <f t="shared" si="6"/>
        <v>31.999700000000001</v>
      </c>
      <c r="G88" s="288">
        <f t="shared" si="6"/>
        <v>31.999700000000001</v>
      </c>
      <c r="H88" s="288">
        <f t="shared" si="6"/>
        <v>31.999700000000001</v>
      </c>
      <c r="I88" s="288">
        <f t="shared" si="6"/>
        <v>31.999700000000001</v>
      </c>
      <c r="J88" s="288">
        <f t="shared" si="6"/>
        <v>31.999700000000001</v>
      </c>
      <c r="K88" s="288">
        <f t="shared" si="6"/>
        <v>31.999700000000001</v>
      </c>
      <c r="L88" s="288">
        <f t="shared" si="6"/>
        <v>31.999700000000001</v>
      </c>
      <c r="M88" s="288">
        <f t="shared" si="6"/>
        <v>31.999700000000001</v>
      </c>
      <c r="N88" s="288">
        <f t="shared" si="6"/>
        <v>31.999700000000001</v>
      </c>
      <c r="O88" s="288">
        <f t="shared" si="6"/>
        <v>31.999700000000001</v>
      </c>
      <c r="P88" s="288">
        <f>SUM(D88:O88)</f>
        <v>383.99640000000005</v>
      </c>
    </row>
    <row r="89" spans="1:16" ht="23.25">
      <c r="B89" s="243" t="str">
        <f>+B45</f>
        <v>S. IMPORTACIÓN</v>
      </c>
      <c r="C89" s="243" t="s">
        <v>420</v>
      </c>
      <c r="D89" s="289">
        <f>+$C$26</f>
        <v>15.0023</v>
      </c>
      <c r="E89" s="289">
        <f t="shared" ref="E89:O89" si="7">+$C$26</f>
        <v>15.0023</v>
      </c>
      <c r="F89" s="289">
        <f t="shared" si="7"/>
        <v>15.0023</v>
      </c>
      <c r="G89" s="289">
        <f t="shared" si="7"/>
        <v>15.0023</v>
      </c>
      <c r="H89" s="289">
        <f t="shared" si="7"/>
        <v>15.0023</v>
      </c>
      <c r="I89" s="289">
        <f t="shared" si="7"/>
        <v>15.0023</v>
      </c>
      <c r="J89" s="289">
        <f t="shared" si="7"/>
        <v>15.0023</v>
      </c>
      <c r="K89" s="289">
        <f t="shared" si="7"/>
        <v>15.0023</v>
      </c>
      <c r="L89" s="289">
        <f t="shared" si="7"/>
        <v>15.0023</v>
      </c>
      <c r="M89" s="289">
        <f t="shared" si="7"/>
        <v>15.0023</v>
      </c>
      <c r="N89" s="289">
        <f t="shared" si="7"/>
        <v>15.0023</v>
      </c>
      <c r="O89" s="289">
        <f t="shared" si="7"/>
        <v>15.0023</v>
      </c>
      <c r="P89" s="290">
        <f>SUM(D89:O89)</f>
        <v>180.02759999999998</v>
      </c>
    </row>
    <row r="90" spans="1:16">
      <c r="B90" s="215"/>
      <c r="D90" s="288"/>
      <c r="E90" s="288"/>
      <c r="F90" s="288"/>
      <c r="G90" s="288"/>
      <c r="H90" s="288"/>
      <c r="I90" s="288"/>
      <c r="J90" s="288"/>
      <c r="K90" s="288"/>
      <c r="L90" s="288"/>
      <c r="M90" s="288"/>
      <c r="N90" s="288"/>
      <c r="O90" s="288"/>
      <c r="P90" s="288"/>
    </row>
    <row r="91" spans="1:16" ht="63" customHeight="1">
      <c r="B91" s="1120" t="s">
        <v>816</v>
      </c>
      <c r="C91" s="1120"/>
      <c r="D91" s="291">
        <f>D80</f>
        <v>1303.8</v>
      </c>
      <c r="E91" s="292">
        <f>D91</f>
        <v>1303.8</v>
      </c>
      <c r="F91" s="292">
        <f t="shared" ref="F91:O92" si="8">E91</f>
        <v>1303.8</v>
      </c>
      <c r="G91" s="292">
        <f t="shared" si="8"/>
        <v>1303.8</v>
      </c>
      <c r="H91" s="292">
        <f t="shared" si="8"/>
        <v>1303.8</v>
      </c>
      <c r="I91" s="292">
        <f t="shared" si="8"/>
        <v>1303.8</v>
      </c>
      <c r="J91" s="292">
        <f t="shared" si="8"/>
        <v>1303.8</v>
      </c>
      <c r="K91" s="292">
        <f t="shared" si="8"/>
        <v>1303.8</v>
      </c>
      <c r="L91" s="292">
        <f t="shared" si="8"/>
        <v>1303.8</v>
      </c>
      <c r="M91" s="292">
        <f t="shared" si="8"/>
        <v>1303.8</v>
      </c>
      <c r="N91" s="292">
        <f t="shared" si="8"/>
        <v>1303.8</v>
      </c>
      <c r="O91" s="292">
        <f t="shared" si="8"/>
        <v>1303.8</v>
      </c>
      <c r="P91" s="292">
        <f>O91</f>
        <v>1303.8</v>
      </c>
    </row>
    <row r="92" spans="1:16" ht="63" customHeight="1">
      <c r="B92" s="1120" t="s">
        <v>454</v>
      </c>
      <c r="C92" s="1120"/>
      <c r="D92" s="291">
        <f>D77</f>
        <v>803.8</v>
      </c>
      <c r="E92" s="292">
        <f>D92</f>
        <v>803.8</v>
      </c>
      <c r="F92" s="292">
        <f t="shared" si="8"/>
        <v>803.8</v>
      </c>
      <c r="G92" s="292">
        <f t="shared" si="8"/>
        <v>803.8</v>
      </c>
      <c r="H92" s="292">
        <f t="shared" si="8"/>
        <v>803.8</v>
      </c>
      <c r="I92" s="292">
        <f t="shared" si="8"/>
        <v>803.8</v>
      </c>
      <c r="J92" s="292">
        <f t="shared" si="8"/>
        <v>803.8</v>
      </c>
      <c r="K92" s="292">
        <f t="shared" si="8"/>
        <v>803.8</v>
      </c>
      <c r="L92" s="292">
        <f t="shared" si="8"/>
        <v>803.8</v>
      </c>
      <c r="M92" s="292">
        <f t="shared" si="8"/>
        <v>803.8</v>
      </c>
      <c r="N92" s="292">
        <f t="shared" si="8"/>
        <v>803.8</v>
      </c>
      <c r="O92" s="292">
        <f t="shared" si="8"/>
        <v>803.8</v>
      </c>
      <c r="P92" s="292">
        <f>O92</f>
        <v>803.8</v>
      </c>
    </row>
    <row r="93" spans="1:16" ht="63" customHeight="1">
      <c r="B93" s="1120" t="s">
        <v>455</v>
      </c>
      <c r="C93" s="1120"/>
      <c r="D93" s="293">
        <v>0</v>
      </c>
      <c r="E93" s="294">
        <f>+D93</f>
        <v>0</v>
      </c>
      <c r="F93" s="294">
        <f t="shared" ref="F93:O93" si="9">+E93</f>
        <v>0</v>
      </c>
      <c r="G93" s="294">
        <f t="shared" si="9"/>
        <v>0</v>
      </c>
      <c r="H93" s="294">
        <f t="shared" si="9"/>
        <v>0</v>
      </c>
      <c r="I93" s="294">
        <f t="shared" si="9"/>
        <v>0</v>
      </c>
      <c r="J93" s="294">
        <f t="shared" si="9"/>
        <v>0</v>
      </c>
      <c r="K93" s="294">
        <f t="shared" si="9"/>
        <v>0</v>
      </c>
      <c r="L93" s="294">
        <f t="shared" si="9"/>
        <v>0</v>
      </c>
      <c r="M93" s="294">
        <f t="shared" si="9"/>
        <v>0</v>
      </c>
      <c r="N93" s="294">
        <f t="shared" si="9"/>
        <v>0</v>
      </c>
      <c r="O93" s="294">
        <f t="shared" si="9"/>
        <v>0</v>
      </c>
      <c r="P93" s="294">
        <f>SUM(D93:O93)</f>
        <v>0</v>
      </c>
    </row>
    <row r="94" spans="1:16">
      <c r="D94" s="243"/>
      <c r="E94" s="243"/>
      <c r="F94" s="243"/>
      <c r="G94" s="243"/>
      <c r="H94" s="243"/>
      <c r="I94" s="243"/>
      <c r="J94" s="243"/>
      <c r="K94" s="243"/>
      <c r="L94" s="243"/>
      <c r="M94" s="243"/>
      <c r="N94" s="243"/>
      <c r="O94" s="243"/>
      <c r="P94" s="243"/>
    </row>
    <row r="95" spans="1:16" ht="63" customHeight="1">
      <c r="B95" s="1188" t="s">
        <v>456</v>
      </c>
      <c r="C95" s="1189"/>
      <c r="D95" s="243"/>
      <c r="E95" s="243"/>
      <c r="F95" s="243"/>
      <c r="G95" s="243"/>
      <c r="H95" s="243"/>
      <c r="I95" s="243"/>
      <c r="J95" s="243"/>
      <c r="K95" s="243"/>
      <c r="L95" s="243"/>
      <c r="M95" s="243"/>
      <c r="N95" s="243"/>
      <c r="O95" s="243"/>
      <c r="P95" s="243">
        <f>SUM(D95:O95)</f>
        <v>0</v>
      </c>
    </row>
    <row r="96" spans="1:16">
      <c r="B96" s="243" t="str">
        <f>+B87</f>
        <v>S. ONCOLÓGICO</v>
      </c>
      <c r="C96" s="295" t="s">
        <v>457</v>
      </c>
      <c r="D96" s="296">
        <f t="shared" ref="D96:O97" si="10">D87*D91</f>
        <v>31288.592400000001</v>
      </c>
      <c r="E96" s="296">
        <f t="shared" si="10"/>
        <v>31288.592400000001</v>
      </c>
      <c r="F96" s="296">
        <f t="shared" si="10"/>
        <v>31288.592400000001</v>
      </c>
      <c r="G96" s="296">
        <f t="shared" si="10"/>
        <v>31288.592400000001</v>
      </c>
      <c r="H96" s="296">
        <f t="shared" si="10"/>
        <v>31288.592400000001</v>
      </c>
      <c r="I96" s="296">
        <f t="shared" si="10"/>
        <v>31288.592400000001</v>
      </c>
      <c r="J96" s="296">
        <f t="shared" si="10"/>
        <v>31288.592400000001</v>
      </c>
      <c r="K96" s="296">
        <f t="shared" si="10"/>
        <v>31288.592400000001</v>
      </c>
      <c r="L96" s="296">
        <f t="shared" si="10"/>
        <v>31288.592400000001</v>
      </c>
      <c r="M96" s="296">
        <f t="shared" si="10"/>
        <v>31288.592400000001</v>
      </c>
      <c r="N96" s="296">
        <f t="shared" si="10"/>
        <v>31288.592400000001</v>
      </c>
      <c r="O96" s="296">
        <f t="shared" si="10"/>
        <v>31288.592400000001</v>
      </c>
      <c r="P96" s="297">
        <f>SUM(D96:O96)</f>
        <v>375463.10880000005</v>
      </c>
    </row>
    <row r="97" spans="2:16">
      <c r="B97" s="243" t="str">
        <f>+B88</f>
        <v>S. ENDOCRINO</v>
      </c>
      <c r="C97" s="295"/>
      <c r="D97" s="296">
        <f t="shared" si="10"/>
        <v>25721.35886</v>
      </c>
      <c r="E97" s="296">
        <f t="shared" si="10"/>
        <v>25721.35886</v>
      </c>
      <c r="F97" s="296">
        <f t="shared" si="10"/>
        <v>25721.35886</v>
      </c>
      <c r="G97" s="296">
        <f t="shared" si="10"/>
        <v>25721.35886</v>
      </c>
      <c r="H97" s="296">
        <f t="shared" si="10"/>
        <v>25721.35886</v>
      </c>
      <c r="I97" s="296">
        <f t="shared" si="10"/>
        <v>25721.35886</v>
      </c>
      <c r="J97" s="296">
        <f t="shared" si="10"/>
        <v>25721.35886</v>
      </c>
      <c r="K97" s="296">
        <f t="shared" si="10"/>
        <v>25721.35886</v>
      </c>
      <c r="L97" s="296">
        <f t="shared" si="10"/>
        <v>25721.35886</v>
      </c>
      <c r="M97" s="296">
        <f t="shared" si="10"/>
        <v>25721.35886</v>
      </c>
      <c r="N97" s="296">
        <f t="shared" si="10"/>
        <v>25721.35886</v>
      </c>
      <c r="O97" s="296">
        <f t="shared" si="10"/>
        <v>25721.35886</v>
      </c>
      <c r="P97" s="297">
        <f>SUM(D97:O97)</f>
        <v>308656.30632000003</v>
      </c>
    </row>
    <row r="98" spans="2:16">
      <c r="B98" s="243" t="str">
        <f>+B89</f>
        <v>S. IMPORTACIÓN</v>
      </c>
      <c r="C98" s="298"/>
      <c r="D98" s="299">
        <f>+D89*D93</f>
        <v>0</v>
      </c>
      <c r="E98" s="299">
        <f t="shared" ref="E98:O98" si="11">+E89*E93</f>
        <v>0</v>
      </c>
      <c r="F98" s="299">
        <f t="shared" si="11"/>
        <v>0</v>
      </c>
      <c r="G98" s="299">
        <f t="shared" si="11"/>
        <v>0</v>
      </c>
      <c r="H98" s="299">
        <f t="shared" si="11"/>
        <v>0</v>
      </c>
      <c r="I98" s="299">
        <f t="shared" si="11"/>
        <v>0</v>
      </c>
      <c r="J98" s="299">
        <f t="shared" si="11"/>
        <v>0</v>
      </c>
      <c r="K98" s="299">
        <f t="shared" si="11"/>
        <v>0</v>
      </c>
      <c r="L98" s="299">
        <f t="shared" si="11"/>
        <v>0</v>
      </c>
      <c r="M98" s="299">
        <f t="shared" si="11"/>
        <v>0</v>
      </c>
      <c r="N98" s="299">
        <f t="shared" si="11"/>
        <v>0</v>
      </c>
      <c r="O98" s="299">
        <f t="shared" si="11"/>
        <v>0</v>
      </c>
      <c r="P98" s="300">
        <f>SUM(D98:O98)</f>
        <v>0</v>
      </c>
    </row>
    <row r="99" spans="2:16">
      <c r="B99" s="215"/>
      <c r="C99" s="215"/>
      <c r="D99" s="264"/>
      <c r="E99" s="264"/>
      <c r="F99" s="264"/>
      <c r="G99" s="264"/>
      <c r="H99" s="264"/>
      <c r="I99" s="264"/>
      <c r="J99" s="264"/>
      <c r="K99" s="264"/>
      <c r="L99" s="264"/>
      <c r="M99" s="264"/>
      <c r="N99" s="264"/>
      <c r="O99" s="264"/>
      <c r="P99" s="264"/>
    </row>
    <row r="100" spans="2:16" ht="139.5">
      <c r="C100" s="1210" t="s">
        <v>458</v>
      </c>
      <c r="D100" s="1210"/>
      <c r="E100" s="201" t="s">
        <v>459</v>
      </c>
      <c r="F100" s="201" t="s">
        <v>460</v>
      </c>
      <c r="K100" s="264"/>
      <c r="L100" s="264"/>
      <c r="M100" s="264"/>
      <c r="N100" s="264"/>
      <c r="O100" s="264"/>
      <c r="P100" s="264"/>
    </row>
    <row r="101" spans="2:16" ht="23.25" customHeight="1">
      <c r="C101" s="204" t="str">
        <f>+B96</f>
        <v>S. ONCOLÓGICO</v>
      </c>
      <c r="D101" s="204" t="s">
        <v>420</v>
      </c>
      <c r="E101" s="219">
        <f>D87</f>
        <v>23.998000000000001</v>
      </c>
      <c r="F101" s="301">
        <f>P87</f>
        <v>287.97599999999994</v>
      </c>
      <c r="K101" s="264"/>
      <c r="L101" s="264"/>
      <c r="M101" s="264"/>
      <c r="N101" s="264"/>
      <c r="O101" s="264"/>
      <c r="P101" s="264"/>
    </row>
    <row r="102" spans="2:16" ht="23.25" customHeight="1">
      <c r="C102" s="204" t="str">
        <f>+B97</f>
        <v>S. ENDOCRINO</v>
      </c>
      <c r="D102" s="204" t="s">
        <v>420</v>
      </c>
      <c r="E102" s="219">
        <f>D88</f>
        <v>31.999700000000001</v>
      </c>
      <c r="F102" s="301">
        <f>P88</f>
        <v>383.99640000000005</v>
      </c>
      <c r="K102" s="264"/>
      <c r="L102" s="264"/>
      <c r="M102" s="264"/>
      <c r="N102" s="264"/>
      <c r="O102" s="264"/>
      <c r="P102" s="264"/>
    </row>
    <row r="103" spans="2:16" ht="23.25" customHeight="1">
      <c r="C103" s="204" t="str">
        <f>+B98</f>
        <v>S. IMPORTACIÓN</v>
      </c>
      <c r="D103" s="204" t="s">
        <v>420</v>
      </c>
      <c r="E103" s="219">
        <f>+D89</f>
        <v>15.0023</v>
      </c>
      <c r="F103" s="301">
        <f>+P36</f>
        <v>180.02759999999998</v>
      </c>
      <c r="H103" s="255"/>
      <c r="K103" s="264"/>
      <c r="L103" s="264"/>
      <c r="M103" s="264"/>
      <c r="N103" s="264"/>
      <c r="O103" s="264"/>
      <c r="P103" s="264"/>
    </row>
    <row r="104" spans="2:16" ht="23.25" customHeight="1">
      <c r="C104" s="302"/>
      <c r="D104" s="302"/>
      <c r="E104" s="303"/>
      <c r="F104" s="276"/>
      <c r="K104" s="264"/>
      <c r="L104" s="264"/>
      <c r="M104" s="264"/>
      <c r="N104" s="264"/>
      <c r="O104" s="264"/>
      <c r="P104" s="264"/>
    </row>
    <row r="105" spans="2:16" ht="139.5">
      <c r="C105" s="1210" t="s">
        <v>462</v>
      </c>
      <c r="D105" s="1210"/>
      <c r="E105" s="201" t="s">
        <v>463</v>
      </c>
      <c r="F105" s="304" t="s">
        <v>464</v>
      </c>
      <c r="K105" s="264"/>
      <c r="L105" s="264"/>
      <c r="M105" s="264"/>
      <c r="N105" s="264"/>
      <c r="O105" s="264"/>
      <c r="P105" s="264"/>
    </row>
    <row r="106" spans="2:16" ht="23.25" customHeight="1">
      <c r="C106" s="204" t="str">
        <f>+C101</f>
        <v>S. ONCOLÓGICO</v>
      </c>
      <c r="D106" s="204" t="s">
        <v>135</v>
      </c>
      <c r="E106" s="305">
        <f>D96</f>
        <v>31288.592400000001</v>
      </c>
      <c r="F106" s="262">
        <f>P96</f>
        <v>375463.10880000005</v>
      </c>
      <c r="K106" s="264"/>
      <c r="L106" s="264"/>
      <c r="M106" s="264"/>
      <c r="N106" s="264"/>
      <c r="O106" s="264"/>
      <c r="P106" s="264"/>
    </row>
    <row r="107" spans="2:16" ht="23.25" customHeight="1">
      <c r="C107" s="204" t="str">
        <f>+C102</f>
        <v>S. ENDOCRINO</v>
      </c>
      <c r="D107" s="204" t="s">
        <v>135</v>
      </c>
      <c r="E107" s="305">
        <f>D97</f>
        <v>25721.35886</v>
      </c>
      <c r="F107" s="262">
        <f>P97</f>
        <v>308656.30632000003</v>
      </c>
    </row>
    <row r="108" spans="2:16" ht="23.25" customHeight="1">
      <c r="C108" s="204" t="str">
        <f>+C103</f>
        <v>S. IMPORTACIÓN</v>
      </c>
      <c r="D108" s="204" t="s">
        <v>135</v>
      </c>
      <c r="E108" s="306">
        <f>+D98</f>
        <v>0</v>
      </c>
      <c r="F108" s="307">
        <f>+P98</f>
        <v>0</v>
      </c>
    </row>
    <row r="109" spans="2:16" ht="23.25" customHeight="1">
      <c r="C109" s="203"/>
      <c r="D109" s="204" t="s">
        <v>183</v>
      </c>
      <c r="E109" s="305">
        <f>SUM(E106:E108)</f>
        <v>57009.951260000002</v>
      </c>
      <c r="F109" s="262">
        <f>SUM(F106:F108)</f>
        <v>684119.41512000002</v>
      </c>
    </row>
    <row r="110" spans="2:16">
      <c r="C110" s="215"/>
      <c r="D110" s="272"/>
      <c r="E110" s="272"/>
      <c r="F110" s="273"/>
      <c r="G110" s="274"/>
      <c r="H110" s="193"/>
    </row>
    <row r="114" spans="1:18" ht="44.25" customHeight="1">
      <c r="A114" s="309">
        <v>3</v>
      </c>
      <c r="B114" s="1102" t="s">
        <v>466</v>
      </c>
      <c r="C114" s="1112"/>
      <c r="D114" s="1112"/>
      <c r="E114" s="1112"/>
      <c r="F114" s="1103"/>
      <c r="G114" s="303"/>
      <c r="H114" s="303"/>
      <c r="I114" s="303"/>
      <c r="J114" s="310"/>
      <c r="K114" s="310"/>
      <c r="L114" s="310"/>
      <c r="M114" s="310"/>
      <c r="N114" s="310"/>
      <c r="O114" s="310"/>
      <c r="P114" s="310"/>
      <c r="Q114" s="310"/>
      <c r="R114" s="310"/>
    </row>
    <row r="115" spans="1:18" ht="23.25">
      <c r="A115" s="207"/>
      <c r="B115" s="206"/>
      <c r="C115" s="206"/>
      <c r="D115" s="206"/>
      <c r="E115" s="206"/>
      <c r="F115" s="302"/>
      <c r="G115" s="302"/>
      <c r="H115" s="302"/>
      <c r="I115" s="302"/>
      <c r="J115" s="310"/>
      <c r="K115" s="310"/>
      <c r="L115" s="310"/>
      <c r="M115" s="310"/>
      <c r="N115" s="310"/>
      <c r="O115" s="310"/>
      <c r="P115" s="310"/>
      <c r="Q115" s="310"/>
      <c r="R115" s="310"/>
    </row>
    <row r="116" spans="1:18" ht="23.25">
      <c r="A116" s="215"/>
      <c r="B116" s="203"/>
      <c r="C116" s="201" t="s">
        <v>284</v>
      </c>
      <c r="D116" s="201" t="s">
        <v>285</v>
      </c>
      <c r="E116" s="201" t="s">
        <v>286</v>
      </c>
      <c r="F116" s="311"/>
      <c r="G116" s="302"/>
      <c r="H116" s="302"/>
      <c r="I116" s="302"/>
      <c r="J116" s="310"/>
      <c r="K116" s="310"/>
      <c r="L116" s="310"/>
      <c r="M116" s="310"/>
      <c r="N116" s="310"/>
      <c r="O116" s="310"/>
      <c r="P116" s="310"/>
      <c r="Q116" s="310"/>
      <c r="R116" s="310"/>
    </row>
    <row r="117" spans="1:18" ht="23.25">
      <c r="A117" s="215"/>
      <c r="B117" s="203"/>
      <c r="C117" s="203"/>
      <c r="D117" s="203"/>
      <c r="E117" s="201" t="s">
        <v>467</v>
      </c>
      <c r="F117" s="201" t="s">
        <v>187</v>
      </c>
      <c r="G117" s="201" t="s">
        <v>188</v>
      </c>
      <c r="H117" s="201" t="s">
        <v>189</v>
      </c>
      <c r="I117" s="201" t="s">
        <v>190</v>
      </c>
      <c r="J117" s="217" t="s">
        <v>191</v>
      </c>
      <c r="K117" s="217" t="s">
        <v>192</v>
      </c>
      <c r="L117" s="217" t="s">
        <v>193</v>
      </c>
      <c r="M117" s="217" t="s">
        <v>468</v>
      </c>
      <c r="N117" s="217" t="s">
        <v>195</v>
      </c>
      <c r="O117" s="217" t="s">
        <v>196</v>
      </c>
      <c r="P117" s="217" t="s">
        <v>197</v>
      </c>
      <c r="Q117" s="217" t="s">
        <v>181</v>
      </c>
      <c r="R117" s="243" t="s">
        <v>287</v>
      </c>
    </row>
    <row r="118" spans="1:18" ht="23.25">
      <c r="A118" s="215"/>
      <c r="B118" s="203" t="s">
        <v>469</v>
      </c>
      <c r="C118" s="312">
        <v>1008.17</v>
      </c>
      <c r="D118" s="312"/>
      <c r="E118" s="246">
        <f>C118</f>
        <v>1008.17</v>
      </c>
      <c r="F118" s="313">
        <f t="shared" ref="F118:P130" si="12">E118</f>
        <v>1008.17</v>
      </c>
      <c r="G118" s="313">
        <f t="shared" si="12"/>
        <v>1008.17</v>
      </c>
      <c r="H118" s="313">
        <f t="shared" si="12"/>
        <v>1008.17</v>
      </c>
      <c r="I118" s="313">
        <f t="shared" si="12"/>
        <v>1008.17</v>
      </c>
      <c r="J118" s="314">
        <f t="shared" si="12"/>
        <v>1008.17</v>
      </c>
      <c r="K118" s="314">
        <f t="shared" si="12"/>
        <v>1008.17</v>
      </c>
      <c r="L118" s="314">
        <f t="shared" si="12"/>
        <v>1008.17</v>
      </c>
      <c r="M118" s="314">
        <f t="shared" si="12"/>
        <v>1008.17</v>
      </c>
      <c r="N118" s="314">
        <f t="shared" si="12"/>
        <v>1008.17</v>
      </c>
      <c r="O118" s="314">
        <f t="shared" si="12"/>
        <v>1008.17</v>
      </c>
      <c r="P118" s="314">
        <f t="shared" si="12"/>
        <v>1008.17</v>
      </c>
      <c r="Q118" s="315">
        <f>SUM(E118:P118)</f>
        <v>12098.039999999999</v>
      </c>
      <c r="R118" s="316">
        <f t="shared" ref="R118:R130" si="13">E118*12</f>
        <v>12098.039999999999</v>
      </c>
    </row>
    <row r="119" spans="1:18" ht="23.25">
      <c r="A119" s="215"/>
      <c r="B119" s="203" t="s">
        <v>470</v>
      </c>
      <c r="C119" s="312">
        <v>200</v>
      </c>
      <c r="D119" s="312"/>
      <c r="E119" s="246">
        <f t="shared" ref="E119:E124" si="14">C119</f>
        <v>200</v>
      </c>
      <c r="F119" s="313">
        <f t="shared" si="12"/>
        <v>200</v>
      </c>
      <c r="G119" s="313">
        <f t="shared" si="12"/>
        <v>200</v>
      </c>
      <c r="H119" s="313">
        <f t="shared" si="12"/>
        <v>200</v>
      </c>
      <c r="I119" s="313">
        <f t="shared" si="12"/>
        <v>200</v>
      </c>
      <c r="J119" s="314">
        <f t="shared" si="12"/>
        <v>200</v>
      </c>
      <c r="K119" s="314">
        <f t="shared" si="12"/>
        <v>200</v>
      </c>
      <c r="L119" s="314">
        <f t="shared" si="12"/>
        <v>200</v>
      </c>
      <c r="M119" s="314">
        <f t="shared" si="12"/>
        <v>200</v>
      </c>
      <c r="N119" s="314">
        <f t="shared" si="12"/>
        <v>200</v>
      </c>
      <c r="O119" s="314">
        <f t="shared" si="12"/>
        <v>200</v>
      </c>
      <c r="P119" s="314">
        <f t="shared" si="12"/>
        <v>200</v>
      </c>
      <c r="Q119" s="315">
        <f t="shared" ref="Q119:Q130" si="15">SUM(E119:P119)</f>
        <v>2400</v>
      </c>
      <c r="R119" s="316">
        <f t="shared" si="13"/>
        <v>2400</v>
      </c>
    </row>
    <row r="120" spans="1:18" ht="23.25">
      <c r="A120" s="215"/>
      <c r="B120" s="203" t="s">
        <v>288</v>
      </c>
      <c r="C120" s="312">
        <v>1000</v>
      </c>
      <c r="D120" s="312"/>
      <c r="E120" s="246">
        <f t="shared" si="14"/>
        <v>1000</v>
      </c>
      <c r="F120" s="313">
        <f t="shared" si="12"/>
        <v>1000</v>
      </c>
      <c r="G120" s="313">
        <f t="shared" si="12"/>
        <v>1000</v>
      </c>
      <c r="H120" s="313">
        <f t="shared" si="12"/>
        <v>1000</v>
      </c>
      <c r="I120" s="313">
        <f t="shared" si="12"/>
        <v>1000</v>
      </c>
      <c r="J120" s="314">
        <f t="shared" si="12"/>
        <v>1000</v>
      </c>
      <c r="K120" s="314">
        <f t="shared" si="12"/>
        <v>1000</v>
      </c>
      <c r="L120" s="314">
        <f t="shared" si="12"/>
        <v>1000</v>
      </c>
      <c r="M120" s="314">
        <f t="shared" si="12"/>
        <v>1000</v>
      </c>
      <c r="N120" s="314">
        <f t="shared" si="12"/>
        <v>1000</v>
      </c>
      <c r="O120" s="314">
        <f t="shared" si="12"/>
        <v>1000</v>
      </c>
      <c r="P120" s="314">
        <f t="shared" si="12"/>
        <v>1000</v>
      </c>
      <c r="Q120" s="315">
        <f t="shared" si="15"/>
        <v>12000</v>
      </c>
      <c r="R120" s="316">
        <f t="shared" si="13"/>
        <v>12000</v>
      </c>
    </row>
    <row r="121" spans="1:18" ht="23.25">
      <c r="A121" s="215"/>
      <c r="B121" s="203" t="s">
        <v>471</v>
      </c>
      <c r="C121" s="317">
        <v>82.25</v>
      </c>
      <c r="D121" s="312"/>
      <c r="E121" s="246">
        <f t="shared" si="14"/>
        <v>82.25</v>
      </c>
      <c r="F121" s="313">
        <f t="shared" si="12"/>
        <v>82.25</v>
      </c>
      <c r="G121" s="313">
        <f t="shared" si="12"/>
        <v>82.25</v>
      </c>
      <c r="H121" s="313">
        <f t="shared" si="12"/>
        <v>82.25</v>
      </c>
      <c r="I121" s="313">
        <f t="shared" si="12"/>
        <v>82.25</v>
      </c>
      <c r="J121" s="313">
        <f t="shared" si="12"/>
        <v>82.25</v>
      </c>
      <c r="K121" s="313">
        <f t="shared" si="12"/>
        <v>82.25</v>
      </c>
      <c r="L121" s="313">
        <f t="shared" si="12"/>
        <v>82.25</v>
      </c>
      <c r="M121" s="313">
        <f t="shared" si="12"/>
        <v>82.25</v>
      </c>
      <c r="N121" s="313">
        <f t="shared" si="12"/>
        <v>82.25</v>
      </c>
      <c r="O121" s="313">
        <f t="shared" si="12"/>
        <v>82.25</v>
      </c>
      <c r="P121" s="313">
        <f t="shared" si="12"/>
        <v>82.25</v>
      </c>
      <c r="Q121" s="315">
        <f t="shared" si="15"/>
        <v>987</v>
      </c>
      <c r="R121" s="316">
        <f t="shared" si="13"/>
        <v>987</v>
      </c>
    </row>
    <row r="122" spans="1:18" ht="46.5">
      <c r="A122" s="318"/>
      <c r="B122" s="203" t="s">
        <v>472</v>
      </c>
      <c r="C122" s="312">
        <v>157.9</v>
      </c>
      <c r="D122" s="312"/>
      <c r="E122" s="246">
        <f t="shared" si="14"/>
        <v>157.9</v>
      </c>
      <c r="F122" s="313">
        <f t="shared" si="12"/>
        <v>157.9</v>
      </c>
      <c r="G122" s="313">
        <f t="shared" si="12"/>
        <v>157.9</v>
      </c>
      <c r="H122" s="313">
        <f t="shared" si="12"/>
        <v>157.9</v>
      </c>
      <c r="I122" s="313">
        <f t="shared" si="12"/>
        <v>157.9</v>
      </c>
      <c r="J122" s="314">
        <f t="shared" si="12"/>
        <v>157.9</v>
      </c>
      <c r="K122" s="314">
        <f t="shared" si="12"/>
        <v>157.9</v>
      </c>
      <c r="L122" s="314">
        <f t="shared" si="12"/>
        <v>157.9</v>
      </c>
      <c r="M122" s="314">
        <f t="shared" si="12"/>
        <v>157.9</v>
      </c>
      <c r="N122" s="314">
        <f t="shared" si="12"/>
        <v>157.9</v>
      </c>
      <c r="O122" s="314">
        <f t="shared" si="12"/>
        <v>157.9</v>
      </c>
      <c r="P122" s="314">
        <f t="shared" si="12"/>
        <v>157.9</v>
      </c>
      <c r="Q122" s="315">
        <f t="shared" si="15"/>
        <v>1894.8000000000004</v>
      </c>
      <c r="R122" s="316">
        <f t="shared" si="13"/>
        <v>1894.8000000000002</v>
      </c>
    </row>
    <row r="123" spans="1:18" ht="46.5">
      <c r="A123" s="215"/>
      <c r="B123" s="203" t="s">
        <v>289</v>
      </c>
      <c r="C123" s="317">
        <v>83.333333333333329</v>
      </c>
      <c r="D123" s="312"/>
      <c r="E123" s="246">
        <f t="shared" si="14"/>
        <v>83.333333333333329</v>
      </c>
      <c r="F123" s="313">
        <f t="shared" si="12"/>
        <v>83.333333333333329</v>
      </c>
      <c r="G123" s="313">
        <f t="shared" si="12"/>
        <v>83.333333333333329</v>
      </c>
      <c r="H123" s="313">
        <f t="shared" si="12"/>
        <v>83.333333333333329</v>
      </c>
      <c r="I123" s="313">
        <f t="shared" si="12"/>
        <v>83.333333333333329</v>
      </c>
      <c r="J123" s="314">
        <f t="shared" si="12"/>
        <v>83.333333333333329</v>
      </c>
      <c r="K123" s="314">
        <f t="shared" si="12"/>
        <v>83.333333333333329</v>
      </c>
      <c r="L123" s="314">
        <f t="shared" si="12"/>
        <v>83.333333333333329</v>
      </c>
      <c r="M123" s="314">
        <f t="shared" si="12"/>
        <v>83.333333333333329</v>
      </c>
      <c r="N123" s="314">
        <f t="shared" si="12"/>
        <v>83.333333333333329</v>
      </c>
      <c r="O123" s="314">
        <f t="shared" si="12"/>
        <v>83.333333333333329</v>
      </c>
      <c r="P123" s="314">
        <f t="shared" si="12"/>
        <v>83.333333333333329</v>
      </c>
      <c r="Q123" s="315">
        <f t="shared" si="15"/>
        <v>1000.0000000000001</v>
      </c>
      <c r="R123" s="316">
        <f t="shared" si="13"/>
        <v>1000</v>
      </c>
    </row>
    <row r="124" spans="1:18" ht="23.25">
      <c r="A124" s="215"/>
      <c r="B124" s="203" t="s">
        <v>473</v>
      </c>
      <c r="C124" s="317">
        <v>1800</v>
      </c>
      <c r="D124" s="312"/>
      <c r="E124" s="246">
        <f t="shared" si="14"/>
        <v>1800</v>
      </c>
      <c r="F124" s="313">
        <f t="shared" si="12"/>
        <v>1800</v>
      </c>
      <c r="G124" s="313">
        <f t="shared" si="12"/>
        <v>1800</v>
      </c>
      <c r="H124" s="313">
        <f t="shared" si="12"/>
        <v>1800</v>
      </c>
      <c r="I124" s="313">
        <f t="shared" si="12"/>
        <v>1800</v>
      </c>
      <c r="J124" s="314">
        <f t="shared" si="12"/>
        <v>1800</v>
      </c>
      <c r="K124" s="314">
        <f t="shared" si="12"/>
        <v>1800</v>
      </c>
      <c r="L124" s="314">
        <f t="shared" si="12"/>
        <v>1800</v>
      </c>
      <c r="M124" s="314">
        <f t="shared" si="12"/>
        <v>1800</v>
      </c>
      <c r="N124" s="314">
        <f t="shared" si="12"/>
        <v>1800</v>
      </c>
      <c r="O124" s="314">
        <f t="shared" si="12"/>
        <v>1800</v>
      </c>
      <c r="P124" s="314">
        <f t="shared" si="12"/>
        <v>1800</v>
      </c>
      <c r="Q124" s="315">
        <f t="shared" si="15"/>
        <v>21600</v>
      </c>
      <c r="R124" s="316">
        <f t="shared" si="13"/>
        <v>21600</v>
      </c>
    </row>
    <row r="125" spans="1:18" ht="23.25">
      <c r="A125" s="215"/>
      <c r="B125" s="203" t="s">
        <v>290</v>
      </c>
      <c r="C125" s="312">
        <v>10100</v>
      </c>
      <c r="D125" s="312"/>
      <c r="E125" s="246">
        <f>C125</f>
        <v>10100</v>
      </c>
      <c r="F125" s="313">
        <f t="shared" si="12"/>
        <v>10100</v>
      </c>
      <c r="G125" s="313">
        <f t="shared" si="12"/>
        <v>10100</v>
      </c>
      <c r="H125" s="313">
        <f t="shared" si="12"/>
        <v>10100</v>
      </c>
      <c r="I125" s="313">
        <f t="shared" si="12"/>
        <v>10100</v>
      </c>
      <c r="J125" s="314">
        <f t="shared" si="12"/>
        <v>10100</v>
      </c>
      <c r="K125" s="314">
        <f t="shared" si="12"/>
        <v>10100</v>
      </c>
      <c r="L125" s="314">
        <f t="shared" si="12"/>
        <v>10100</v>
      </c>
      <c r="M125" s="314">
        <f t="shared" si="12"/>
        <v>10100</v>
      </c>
      <c r="N125" s="314">
        <f t="shared" si="12"/>
        <v>10100</v>
      </c>
      <c r="O125" s="314">
        <f t="shared" si="12"/>
        <v>10100</v>
      </c>
      <c r="P125" s="314">
        <f t="shared" si="12"/>
        <v>10100</v>
      </c>
      <c r="Q125" s="315">
        <f t="shared" si="15"/>
        <v>121200</v>
      </c>
      <c r="R125" s="316">
        <f t="shared" si="13"/>
        <v>121200</v>
      </c>
    </row>
    <row r="126" spans="1:18" ht="23.25">
      <c r="A126" s="215"/>
      <c r="B126" s="203" t="s">
        <v>291</v>
      </c>
      <c r="C126" s="312">
        <f>15.7*2*30</f>
        <v>942</v>
      </c>
      <c r="D126" s="312"/>
      <c r="E126" s="319">
        <f>+C126</f>
        <v>942</v>
      </c>
      <c r="F126" s="313">
        <f t="shared" si="12"/>
        <v>942</v>
      </c>
      <c r="G126" s="313">
        <f t="shared" si="12"/>
        <v>942</v>
      </c>
      <c r="H126" s="313">
        <f t="shared" si="12"/>
        <v>942</v>
      </c>
      <c r="I126" s="313">
        <f t="shared" si="12"/>
        <v>942</v>
      </c>
      <c r="J126" s="314">
        <f t="shared" si="12"/>
        <v>942</v>
      </c>
      <c r="K126" s="314">
        <f t="shared" si="12"/>
        <v>942</v>
      </c>
      <c r="L126" s="314">
        <f t="shared" si="12"/>
        <v>942</v>
      </c>
      <c r="M126" s="314">
        <f t="shared" si="12"/>
        <v>942</v>
      </c>
      <c r="N126" s="314">
        <f t="shared" si="12"/>
        <v>942</v>
      </c>
      <c r="O126" s="314">
        <f t="shared" si="12"/>
        <v>942</v>
      </c>
      <c r="P126" s="314">
        <f t="shared" si="12"/>
        <v>942</v>
      </c>
      <c r="Q126" s="315">
        <f t="shared" si="15"/>
        <v>11304</v>
      </c>
      <c r="R126" s="316">
        <f t="shared" si="13"/>
        <v>11304</v>
      </c>
    </row>
    <row r="127" spans="1:18" ht="23.25">
      <c r="A127" s="215"/>
      <c r="B127" s="203" t="s">
        <v>292</v>
      </c>
      <c r="C127" s="312">
        <v>1200</v>
      </c>
      <c r="D127" s="312"/>
      <c r="E127" s="246">
        <f>C127</f>
        <v>1200</v>
      </c>
      <c r="F127" s="313">
        <f t="shared" si="12"/>
        <v>1200</v>
      </c>
      <c r="G127" s="313">
        <f t="shared" si="12"/>
        <v>1200</v>
      </c>
      <c r="H127" s="313">
        <f t="shared" si="12"/>
        <v>1200</v>
      </c>
      <c r="I127" s="313">
        <f t="shared" si="12"/>
        <v>1200</v>
      </c>
      <c r="J127" s="314">
        <f t="shared" si="12"/>
        <v>1200</v>
      </c>
      <c r="K127" s="314">
        <f t="shared" si="12"/>
        <v>1200</v>
      </c>
      <c r="L127" s="314">
        <f t="shared" si="12"/>
        <v>1200</v>
      </c>
      <c r="M127" s="314">
        <f t="shared" si="12"/>
        <v>1200</v>
      </c>
      <c r="N127" s="314">
        <f t="shared" si="12"/>
        <v>1200</v>
      </c>
      <c r="O127" s="314">
        <f t="shared" si="12"/>
        <v>1200</v>
      </c>
      <c r="P127" s="314">
        <f t="shared" si="12"/>
        <v>1200</v>
      </c>
      <c r="Q127" s="315">
        <f t="shared" si="15"/>
        <v>14400</v>
      </c>
      <c r="R127" s="316">
        <f t="shared" si="13"/>
        <v>14400</v>
      </c>
    </row>
    <row r="128" spans="1:18" ht="23.25">
      <c r="A128" s="215"/>
      <c r="B128" s="203" t="s">
        <v>474</v>
      </c>
      <c r="C128" s="312">
        <v>1500</v>
      </c>
      <c r="D128" s="312"/>
      <c r="E128" s="246">
        <f>C128</f>
        <v>1500</v>
      </c>
      <c r="F128" s="313">
        <f t="shared" si="12"/>
        <v>1500</v>
      </c>
      <c r="G128" s="313">
        <f t="shared" si="12"/>
        <v>1500</v>
      </c>
      <c r="H128" s="313">
        <f t="shared" si="12"/>
        <v>1500</v>
      </c>
      <c r="I128" s="313">
        <f t="shared" si="12"/>
        <v>1500</v>
      </c>
      <c r="J128" s="314">
        <f t="shared" si="12"/>
        <v>1500</v>
      </c>
      <c r="K128" s="314">
        <f t="shared" si="12"/>
        <v>1500</v>
      </c>
      <c r="L128" s="314">
        <f t="shared" si="12"/>
        <v>1500</v>
      </c>
      <c r="M128" s="314">
        <f t="shared" si="12"/>
        <v>1500</v>
      </c>
      <c r="N128" s="314">
        <f t="shared" si="12"/>
        <v>1500</v>
      </c>
      <c r="O128" s="314">
        <f t="shared" si="12"/>
        <v>1500</v>
      </c>
      <c r="P128" s="314">
        <f t="shared" si="12"/>
        <v>1500</v>
      </c>
      <c r="Q128" s="315">
        <f t="shared" si="15"/>
        <v>18000</v>
      </c>
      <c r="R128" s="316">
        <f t="shared" si="13"/>
        <v>18000</v>
      </c>
    </row>
    <row r="129" spans="1:19" ht="23.25">
      <c r="A129" s="215"/>
      <c r="B129" s="203" t="s">
        <v>475</v>
      </c>
      <c r="C129" s="312">
        <v>500</v>
      </c>
      <c r="D129" s="312"/>
      <c r="E129" s="246">
        <f>C129</f>
        <v>500</v>
      </c>
      <c r="F129" s="313">
        <f t="shared" si="12"/>
        <v>500</v>
      </c>
      <c r="G129" s="313">
        <f t="shared" si="12"/>
        <v>500</v>
      </c>
      <c r="H129" s="313">
        <f t="shared" si="12"/>
        <v>500</v>
      </c>
      <c r="I129" s="313">
        <f t="shared" si="12"/>
        <v>500</v>
      </c>
      <c r="J129" s="314">
        <f t="shared" si="12"/>
        <v>500</v>
      </c>
      <c r="K129" s="314">
        <f t="shared" si="12"/>
        <v>500</v>
      </c>
      <c r="L129" s="314">
        <f t="shared" si="12"/>
        <v>500</v>
      </c>
      <c r="M129" s="314">
        <f t="shared" si="12"/>
        <v>500</v>
      </c>
      <c r="N129" s="314">
        <f t="shared" si="12"/>
        <v>500</v>
      </c>
      <c r="O129" s="314">
        <f t="shared" si="12"/>
        <v>500</v>
      </c>
      <c r="P129" s="314">
        <f t="shared" si="12"/>
        <v>500</v>
      </c>
      <c r="Q129" s="315">
        <f t="shared" si="15"/>
        <v>6000</v>
      </c>
      <c r="R129" s="316">
        <f t="shared" si="13"/>
        <v>6000</v>
      </c>
    </row>
    <row r="130" spans="1:19" ht="46.5">
      <c r="A130" s="215"/>
      <c r="B130" s="203" t="s">
        <v>293</v>
      </c>
      <c r="C130" s="317">
        <v>500</v>
      </c>
      <c r="D130" s="203"/>
      <c r="E130" s="246">
        <f>C130</f>
        <v>500</v>
      </c>
      <c r="F130" s="313">
        <f t="shared" si="12"/>
        <v>500</v>
      </c>
      <c r="G130" s="313">
        <f t="shared" si="12"/>
        <v>500</v>
      </c>
      <c r="H130" s="313">
        <f t="shared" si="12"/>
        <v>500</v>
      </c>
      <c r="I130" s="313">
        <f t="shared" si="12"/>
        <v>500</v>
      </c>
      <c r="J130" s="314">
        <f t="shared" si="12"/>
        <v>500</v>
      </c>
      <c r="K130" s="314">
        <f t="shared" si="12"/>
        <v>500</v>
      </c>
      <c r="L130" s="314">
        <f t="shared" si="12"/>
        <v>500</v>
      </c>
      <c r="M130" s="314">
        <f t="shared" si="12"/>
        <v>500</v>
      </c>
      <c r="N130" s="314">
        <f t="shared" si="12"/>
        <v>500</v>
      </c>
      <c r="O130" s="314">
        <f t="shared" si="12"/>
        <v>500</v>
      </c>
      <c r="P130" s="314">
        <f t="shared" si="12"/>
        <v>500</v>
      </c>
      <c r="Q130" s="315">
        <f t="shared" si="15"/>
        <v>6000</v>
      </c>
      <c r="R130" s="316">
        <f t="shared" si="13"/>
        <v>6000</v>
      </c>
    </row>
    <row r="131" spans="1:19" ht="51" customHeight="1">
      <c r="A131" s="215"/>
      <c r="B131" s="1102" t="s">
        <v>476</v>
      </c>
      <c r="C131" s="1112"/>
      <c r="D131" s="1103"/>
      <c r="E131" s="320">
        <f t="shared" ref="E131:R131" si="16">SUM(E118:E130)</f>
        <v>19073.653333333335</v>
      </c>
      <c r="F131" s="320">
        <f t="shared" si="16"/>
        <v>19073.653333333335</v>
      </c>
      <c r="G131" s="320">
        <f t="shared" si="16"/>
        <v>19073.653333333335</v>
      </c>
      <c r="H131" s="320">
        <f t="shared" si="16"/>
        <v>19073.653333333335</v>
      </c>
      <c r="I131" s="320">
        <f t="shared" si="16"/>
        <v>19073.653333333335</v>
      </c>
      <c r="J131" s="320">
        <f t="shared" si="16"/>
        <v>19073.653333333335</v>
      </c>
      <c r="K131" s="283">
        <f t="shared" si="16"/>
        <v>19073.653333333335</v>
      </c>
      <c r="L131" s="283">
        <f t="shared" si="16"/>
        <v>19073.653333333335</v>
      </c>
      <c r="M131" s="283">
        <f t="shared" si="16"/>
        <v>19073.653333333335</v>
      </c>
      <c r="N131" s="283">
        <f t="shared" si="16"/>
        <v>19073.653333333335</v>
      </c>
      <c r="O131" s="283">
        <f t="shared" si="16"/>
        <v>19073.653333333335</v>
      </c>
      <c r="P131" s="283">
        <f t="shared" si="16"/>
        <v>19073.653333333335</v>
      </c>
      <c r="Q131" s="321">
        <f t="shared" si="16"/>
        <v>228883.84</v>
      </c>
      <c r="R131" s="322">
        <f t="shared" si="16"/>
        <v>228883.84</v>
      </c>
    </row>
    <row r="132" spans="1:19" ht="23.25">
      <c r="A132" s="215"/>
      <c r="B132" s="203"/>
      <c r="C132" s="203"/>
      <c r="D132" s="203"/>
      <c r="E132" s="203"/>
      <c r="F132" s="313">
        <f>E132</f>
        <v>0</v>
      </c>
      <c r="G132" s="302"/>
      <c r="H132" s="302"/>
      <c r="I132" s="302"/>
      <c r="J132" s="310"/>
      <c r="K132" s="310"/>
      <c r="L132" s="310"/>
      <c r="M132" s="310"/>
      <c r="N132" s="310"/>
      <c r="O132" s="310"/>
      <c r="P132" s="310"/>
      <c r="Q132" s="302"/>
      <c r="R132" s="310"/>
    </row>
    <row r="133" spans="1:19" ht="23.25">
      <c r="A133" s="215"/>
      <c r="B133" s="223" t="s">
        <v>294</v>
      </c>
      <c r="C133" s="203"/>
      <c r="D133" s="203"/>
      <c r="E133" s="323">
        <f>+'8'!$H$30</f>
        <v>737.42683333333343</v>
      </c>
      <c r="F133" s="323">
        <f>+'8'!$H$30</f>
        <v>737.42683333333343</v>
      </c>
      <c r="G133" s="323">
        <f>+'8'!$H$30</f>
        <v>737.42683333333343</v>
      </c>
      <c r="H133" s="323">
        <f>+'8'!$H$30</f>
        <v>737.42683333333343</v>
      </c>
      <c r="I133" s="323">
        <f>+'8'!$H$30</f>
        <v>737.42683333333343</v>
      </c>
      <c r="J133" s="323">
        <f>+'8'!$H$30</f>
        <v>737.42683333333343</v>
      </c>
      <c r="K133" s="323">
        <f>+'8'!$H$30</f>
        <v>737.42683333333343</v>
      </c>
      <c r="L133" s="323">
        <f>+'8'!$H$30</f>
        <v>737.42683333333343</v>
      </c>
      <c r="M133" s="323">
        <f>+'8'!$H$30</f>
        <v>737.42683333333343</v>
      </c>
      <c r="N133" s="323">
        <f>+'8'!$H$30</f>
        <v>737.42683333333343</v>
      </c>
      <c r="O133" s="323">
        <f>+'8'!$H$30</f>
        <v>737.42683333333343</v>
      </c>
      <c r="P133" s="323">
        <f>+'8'!$H$30</f>
        <v>737.42683333333343</v>
      </c>
      <c r="Q133" s="219">
        <f>SUM(E133:P133)</f>
        <v>8849.1219999999994</v>
      </c>
      <c r="R133" s="325">
        <f>+'8'!G30</f>
        <v>8849.1219999999994</v>
      </c>
    </row>
    <row r="134" spans="1:19" ht="23.25">
      <c r="A134" s="215"/>
      <c r="B134" s="223" t="s">
        <v>295</v>
      </c>
      <c r="C134" s="203"/>
      <c r="D134" s="203"/>
      <c r="E134" s="323">
        <f>+'8'!$H$40</f>
        <v>45.179166666666667</v>
      </c>
      <c r="F134" s="323">
        <f>+'8'!$H$40</f>
        <v>45.179166666666667</v>
      </c>
      <c r="G134" s="323">
        <f>+'8'!$H$40</f>
        <v>45.179166666666667</v>
      </c>
      <c r="H134" s="323">
        <f>+'8'!$H$40</f>
        <v>45.179166666666667</v>
      </c>
      <c r="I134" s="323">
        <f>+'8'!$H$40</f>
        <v>45.179166666666667</v>
      </c>
      <c r="J134" s="323">
        <f>+'8'!$H$40</f>
        <v>45.179166666666667</v>
      </c>
      <c r="K134" s="323">
        <f>+'8'!$H$40</f>
        <v>45.179166666666667</v>
      </c>
      <c r="L134" s="323">
        <f>+'8'!$H$40</f>
        <v>45.179166666666667</v>
      </c>
      <c r="M134" s="323">
        <f>+'8'!$H$40</f>
        <v>45.179166666666667</v>
      </c>
      <c r="N134" s="323">
        <f>+'8'!$H$40</f>
        <v>45.179166666666667</v>
      </c>
      <c r="O134" s="323">
        <f>+'8'!$H$40</f>
        <v>45.179166666666667</v>
      </c>
      <c r="P134" s="323">
        <f>+'8'!$H$40</f>
        <v>45.179166666666667</v>
      </c>
      <c r="Q134" s="219">
        <f>SUM(E134:P134)</f>
        <v>542.15</v>
      </c>
      <c r="R134" s="325">
        <f>+'8'!G40</f>
        <v>542.15</v>
      </c>
    </row>
    <row r="135" spans="1:19" ht="23.25">
      <c r="A135" s="215"/>
      <c r="B135" s="203"/>
      <c r="C135" s="203"/>
      <c r="D135" s="203"/>
      <c r="E135" s="203"/>
      <c r="F135" s="313">
        <f>E135</f>
        <v>0</v>
      </c>
      <c r="G135" s="302"/>
      <c r="H135" s="302"/>
      <c r="I135" s="302"/>
      <c r="J135" s="310"/>
      <c r="K135" s="310"/>
      <c r="L135" s="310"/>
      <c r="M135" s="310"/>
      <c r="N135" s="310"/>
      <c r="O135" s="310"/>
      <c r="P135" s="310"/>
      <c r="Q135" s="302"/>
      <c r="R135" s="310"/>
    </row>
    <row r="136" spans="1:19" ht="69.75" customHeight="1">
      <c r="A136" s="215"/>
      <c r="B136" s="1102" t="s">
        <v>477</v>
      </c>
      <c r="C136" s="1112"/>
      <c r="D136" s="1103"/>
      <c r="E136" s="326">
        <f>E131+E133+E134</f>
        <v>19856.259333333335</v>
      </c>
      <c r="F136" s="326">
        <f>F131+F133+F134</f>
        <v>19856.259333333335</v>
      </c>
      <c r="G136" s="326">
        <f t="shared" ref="G136:Q136" si="17">G131+G133+G134</f>
        <v>19856.259333333335</v>
      </c>
      <c r="H136" s="326">
        <f t="shared" si="17"/>
        <v>19856.259333333335</v>
      </c>
      <c r="I136" s="326">
        <f t="shared" si="17"/>
        <v>19856.259333333335</v>
      </c>
      <c r="J136" s="327">
        <f t="shared" si="17"/>
        <v>19856.259333333335</v>
      </c>
      <c r="K136" s="327">
        <f t="shared" si="17"/>
        <v>19856.259333333335</v>
      </c>
      <c r="L136" s="327">
        <f t="shared" si="17"/>
        <v>19856.259333333335</v>
      </c>
      <c r="M136" s="327">
        <f t="shared" si="17"/>
        <v>19856.259333333335</v>
      </c>
      <c r="N136" s="327">
        <f t="shared" si="17"/>
        <v>19856.259333333335</v>
      </c>
      <c r="O136" s="327">
        <f t="shared" si="17"/>
        <v>19856.259333333335</v>
      </c>
      <c r="P136" s="327">
        <f t="shared" si="17"/>
        <v>19856.259333333335</v>
      </c>
      <c r="Q136" s="326">
        <f t="shared" si="17"/>
        <v>238275.11199999999</v>
      </c>
      <c r="R136" s="327">
        <f>R131+R133+R134</f>
        <v>238275.11199999999</v>
      </c>
    </row>
    <row r="137" spans="1:19" ht="70.5" customHeight="1">
      <c r="A137" s="207"/>
      <c r="B137" s="195"/>
      <c r="C137" s="195"/>
      <c r="D137" s="207"/>
      <c r="E137" s="328"/>
      <c r="F137" s="328"/>
      <c r="G137" s="328"/>
      <c r="H137" s="328"/>
      <c r="I137" s="328"/>
      <c r="J137" s="328"/>
      <c r="K137" s="328"/>
      <c r="L137" s="328"/>
      <c r="M137" s="328"/>
      <c r="N137" s="328"/>
      <c r="O137" s="328"/>
      <c r="P137" s="328"/>
      <c r="Q137" s="328"/>
      <c r="R137" s="328"/>
      <c r="S137" s="193"/>
    </row>
    <row r="138" spans="1:19" hidden="1">
      <c r="D138" s="192" t="s">
        <v>478</v>
      </c>
    </row>
    <row r="140" spans="1:19" ht="29.25" customHeight="1" thickBot="1">
      <c r="A140" s="227">
        <v>4</v>
      </c>
      <c r="B140" s="1371" t="s">
        <v>480</v>
      </c>
      <c r="C140" s="1372"/>
      <c r="D140" s="1372"/>
      <c r="E140" s="1372"/>
      <c r="F140" s="1372"/>
      <c r="G140" s="1372"/>
      <c r="H140" s="1372"/>
      <c r="I140" s="1372"/>
    </row>
    <row r="141" spans="1:19" ht="27" thickBot="1">
      <c r="F141" s="329">
        <v>12</v>
      </c>
    </row>
    <row r="142" spans="1:19" ht="46.5">
      <c r="B142" s="213" t="s">
        <v>481</v>
      </c>
      <c r="C142" s="213" t="s">
        <v>301</v>
      </c>
      <c r="D142" s="213" t="s">
        <v>482</v>
      </c>
      <c r="E142" s="330" t="s">
        <v>483</v>
      </c>
      <c r="F142" s="197"/>
      <c r="Q142" s="331"/>
      <c r="R142" s="212" t="s">
        <v>484</v>
      </c>
    </row>
    <row r="143" spans="1:19" ht="23.25">
      <c r="B143" s="332"/>
      <c r="C143" s="332"/>
      <c r="D143" s="332"/>
      <c r="E143" s="213" t="s">
        <v>467</v>
      </c>
      <c r="F143" s="201" t="s">
        <v>187</v>
      </c>
      <c r="G143" s="209" t="s">
        <v>188</v>
      </c>
      <c r="H143" s="217" t="s">
        <v>189</v>
      </c>
      <c r="I143" s="209" t="s">
        <v>190</v>
      </c>
      <c r="J143" s="217" t="s">
        <v>191</v>
      </c>
      <c r="K143" s="209" t="s">
        <v>192</v>
      </c>
      <c r="L143" s="217" t="s">
        <v>193</v>
      </c>
      <c r="M143" s="209" t="s">
        <v>468</v>
      </c>
      <c r="N143" s="217" t="s">
        <v>195</v>
      </c>
      <c r="O143" s="209" t="s">
        <v>196</v>
      </c>
      <c r="P143" s="217" t="s">
        <v>197</v>
      </c>
      <c r="Q143" s="213" t="s">
        <v>198</v>
      </c>
      <c r="R143" s="212"/>
    </row>
    <row r="144" spans="1:19" ht="23.25">
      <c r="B144" s="312" t="s">
        <v>485</v>
      </c>
      <c r="C144" s="205">
        <v>1</v>
      </c>
      <c r="D144" s="312">
        <v>2500</v>
      </c>
      <c r="E144" s="312">
        <f>C144*D144</f>
        <v>2500</v>
      </c>
      <c r="F144" s="313">
        <f>E144</f>
        <v>2500</v>
      </c>
      <c r="G144" s="314">
        <f t="shared" ref="G144:P144" si="18">F144</f>
        <v>2500</v>
      </c>
      <c r="H144" s="314">
        <f t="shared" si="18"/>
        <v>2500</v>
      </c>
      <c r="I144" s="314">
        <f t="shared" si="18"/>
        <v>2500</v>
      </c>
      <c r="J144" s="314">
        <f t="shared" si="18"/>
        <v>2500</v>
      </c>
      <c r="K144" s="314">
        <f t="shared" si="18"/>
        <v>2500</v>
      </c>
      <c r="L144" s="314">
        <f t="shared" si="18"/>
        <v>2500</v>
      </c>
      <c r="M144" s="314">
        <f t="shared" si="18"/>
        <v>2500</v>
      </c>
      <c r="N144" s="314">
        <f t="shared" si="18"/>
        <v>2500</v>
      </c>
      <c r="O144" s="314">
        <f t="shared" si="18"/>
        <v>2500</v>
      </c>
      <c r="P144" s="314">
        <f t="shared" si="18"/>
        <v>2500</v>
      </c>
      <c r="Q144" s="219">
        <f>SUM(E144:P144)</f>
        <v>30000</v>
      </c>
      <c r="R144" s="333">
        <f t="shared" ref="R144:R149" si="19">E144*$F$141</f>
        <v>30000</v>
      </c>
    </row>
    <row r="145" spans="1:18" ht="23.25">
      <c r="B145" s="312" t="s">
        <v>486</v>
      </c>
      <c r="C145" s="205">
        <v>1</v>
      </c>
      <c r="D145" s="312">
        <v>2100</v>
      </c>
      <c r="E145" s="312">
        <f t="shared" ref="E145:E149" si="20">C145*D145</f>
        <v>2100</v>
      </c>
      <c r="F145" s="313">
        <f t="shared" ref="F145:P158" si="21">E145</f>
        <v>2100</v>
      </c>
      <c r="G145" s="314">
        <f t="shared" si="21"/>
        <v>2100</v>
      </c>
      <c r="H145" s="314">
        <f t="shared" si="21"/>
        <v>2100</v>
      </c>
      <c r="I145" s="314">
        <f t="shared" si="21"/>
        <v>2100</v>
      </c>
      <c r="J145" s="314">
        <f t="shared" si="21"/>
        <v>2100</v>
      </c>
      <c r="K145" s="314">
        <f t="shared" si="21"/>
        <v>2100</v>
      </c>
      <c r="L145" s="314">
        <f t="shared" si="21"/>
        <v>2100</v>
      </c>
      <c r="M145" s="314">
        <f t="shared" si="21"/>
        <v>2100</v>
      </c>
      <c r="N145" s="314">
        <f t="shared" si="21"/>
        <v>2100</v>
      </c>
      <c r="O145" s="314">
        <f t="shared" si="21"/>
        <v>2100</v>
      </c>
      <c r="P145" s="314">
        <f t="shared" si="21"/>
        <v>2100</v>
      </c>
      <c r="Q145" s="219">
        <f t="shared" ref="Q145:Q158" si="22">SUM(E145:P145)</f>
        <v>25200</v>
      </c>
      <c r="R145" s="333">
        <f t="shared" si="19"/>
        <v>25200</v>
      </c>
    </row>
    <row r="146" spans="1:18" ht="23.25">
      <c r="B146" s="312" t="s">
        <v>296</v>
      </c>
      <c r="C146" s="205">
        <v>1</v>
      </c>
      <c r="D146" s="312">
        <v>1200</v>
      </c>
      <c r="E146" s="312">
        <f t="shared" si="20"/>
        <v>1200</v>
      </c>
      <c r="F146" s="313">
        <f t="shared" si="21"/>
        <v>1200</v>
      </c>
      <c r="G146" s="314">
        <f t="shared" si="21"/>
        <v>1200</v>
      </c>
      <c r="H146" s="314">
        <f t="shared" si="21"/>
        <v>1200</v>
      </c>
      <c r="I146" s="314">
        <f t="shared" si="21"/>
        <v>1200</v>
      </c>
      <c r="J146" s="314">
        <f t="shared" si="21"/>
        <v>1200</v>
      </c>
      <c r="K146" s="314">
        <f t="shared" si="21"/>
        <v>1200</v>
      </c>
      <c r="L146" s="314">
        <f t="shared" si="21"/>
        <v>1200</v>
      </c>
      <c r="M146" s="314">
        <f t="shared" si="21"/>
        <v>1200</v>
      </c>
      <c r="N146" s="314">
        <f t="shared" si="21"/>
        <v>1200</v>
      </c>
      <c r="O146" s="314">
        <f t="shared" si="21"/>
        <v>1200</v>
      </c>
      <c r="P146" s="314">
        <f t="shared" si="21"/>
        <v>1200</v>
      </c>
      <c r="Q146" s="219">
        <f t="shared" si="22"/>
        <v>14400</v>
      </c>
      <c r="R146" s="333">
        <f t="shared" si="19"/>
        <v>14400</v>
      </c>
    </row>
    <row r="147" spans="1:18" ht="23.25">
      <c r="B147" s="312" t="s">
        <v>297</v>
      </c>
      <c r="C147" s="205">
        <v>1</v>
      </c>
      <c r="D147" s="312">
        <v>930</v>
      </c>
      <c r="E147" s="312">
        <f t="shared" si="20"/>
        <v>930</v>
      </c>
      <c r="F147" s="313">
        <f t="shared" si="21"/>
        <v>930</v>
      </c>
      <c r="G147" s="314">
        <f t="shared" si="21"/>
        <v>930</v>
      </c>
      <c r="H147" s="314">
        <f t="shared" si="21"/>
        <v>930</v>
      </c>
      <c r="I147" s="314">
        <f t="shared" si="21"/>
        <v>930</v>
      </c>
      <c r="J147" s="314">
        <f t="shared" si="21"/>
        <v>930</v>
      </c>
      <c r="K147" s="314">
        <f t="shared" si="21"/>
        <v>930</v>
      </c>
      <c r="L147" s="314">
        <f t="shared" si="21"/>
        <v>930</v>
      </c>
      <c r="M147" s="314">
        <f t="shared" si="21"/>
        <v>930</v>
      </c>
      <c r="N147" s="314">
        <f t="shared" si="21"/>
        <v>930</v>
      </c>
      <c r="O147" s="314">
        <f t="shared" si="21"/>
        <v>930</v>
      </c>
      <c r="P147" s="314">
        <f t="shared" si="21"/>
        <v>930</v>
      </c>
      <c r="Q147" s="219">
        <f t="shared" si="22"/>
        <v>11160</v>
      </c>
      <c r="R147" s="333">
        <f t="shared" si="19"/>
        <v>11160</v>
      </c>
    </row>
    <row r="148" spans="1:18" ht="46.5">
      <c r="B148" s="312" t="s">
        <v>738</v>
      </c>
      <c r="C148" s="205">
        <v>1</v>
      </c>
      <c r="D148" s="312">
        <v>1900</v>
      </c>
      <c r="E148" s="312">
        <f t="shared" si="20"/>
        <v>1900</v>
      </c>
      <c r="F148" s="313">
        <f t="shared" si="21"/>
        <v>1900</v>
      </c>
      <c r="G148" s="314">
        <f t="shared" si="21"/>
        <v>1900</v>
      </c>
      <c r="H148" s="314">
        <f t="shared" si="21"/>
        <v>1900</v>
      </c>
      <c r="I148" s="314">
        <f t="shared" si="21"/>
        <v>1900</v>
      </c>
      <c r="J148" s="314">
        <f t="shared" si="21"/>
        <v>1900</v>
      </c>
      <c r="K148" s="314">
        <f t="shared" si="21"/>
        <v>1900</v>
      </c>
      <c r="L148" s="314">
        <f t="shared" si="21"/>
        <v>1900</v>
      </c>
      <c r="M148" s="314">
        <f t="shared" si="21"/>
        <v>1900</v>
      </c>
      <c r="N148" s="314">
        <f t="shared" si="21"/>
        <v>1900</v>
      </c>
      <c r="O148" s="314">
        <f t="shared" si="21"/>
        <v>1900</v>
      </c>
      <c r="P148" s="314">
        <f t="shared" si="21"/>
        <v>1900</v>
      </c>
      <c r="Q148" s="219">
        <f t="shared" si="22"/>
        <v>22800</v>
      </c>
      <c r="R148" s="333">
        <f t="shared" si="19"/>
        <v>22800</v>
      </c>
    </row>
    <row r="149" spans="1:18" ht="24" thickBot="1">
      <c r="B149" s="312" t="s">
        <v>739</v>
      </c>
      <c r="C149" s="205">
        <v>1</v>
      </c>
      <c r="D149" s="312">
        <v>1200</v>
      </c>
      <c r="E149" s="312">
        <f t="shared" si="20"/>
        <v>1200</v>
      </c>
      <c r="F149" s="313">
        <f t="shared" si="21"/>
        <v>1200</v>
      </c>
      <c r="G149" s="314">
        <f t="shared" si="21"/>
        <v>1200</v>
      </c>
      <c r="H149" s="314">
        <f t="shared" si="21"/>
        <v>1200</v>
      </c>
      <c r="I149" s="314">
        <f t="shared" si="21"/>
        <v>1200</v>
      </c>
      <c r="J149" s="314">
        <f t="shared" si="21"/>
        <v>1200</v>
      </c>
      <c r="K149" s="314">
        <f t="shared" si="21"/>
        <v>1200</v>
      </c>
      <c r="L149" s="314">
        <f t="shared" si="21"/>
        <v>1200</v>
      </c>
      <c r="M149" s="314">
        <f t="shared" si="21"/>
        <v>1200</v>
      </c>
      <c r="N149" s="314">
        <f t="shared" si="21"/>
        <v>1200</v>
      </c>
      <c r="O149" s="314">
        <f t="shared" si="21"/>
        <v>1200</v>
      </c>
      <c r="P149" s="314">
        <f t="shared" si="21"/>
        <v>1200</v>
      </c>
      <c r="Q149" s="219">
        <f t="shared" si="22"/>
        <v>14400</v>
      </c>
      <c r="R149" s="333">
        <f t="shared" si="19"/>
        <v>14400</v>
      </c>
    </row>
    <row r="150" spans="1:18" ht="24" thickBot="1">
      <c r="B150" s="334" t="s">
        <v>487</v>
      </c>
      <c r="C150" s="335">
        <f>SUM(C144:C149)</f>
        <v>6</v>
      </c>
      <c r="D150" s="336"/>
      <c r="E150" s="219">
        <f>SUM(E144:E149)</f>
        <v>9830</v>
      </c>
      <c r="F150" s="219">
        <f t="shared" si="21"/>
        <v>9830</v>
      </c>
      <c r="G150" s="324">
        <f t="shared" si="21"/>
        <v>9830</v>
      </c>
      <c r="H150" s="324">
        <f t="shared" si="21"/>
        <v>9830</v>
      </c>
      <c r="I150" s="324">
        <f t="shared" si="21"/>
        <v>9830</v>
      </c>
      <c r="J150" s="324">
        <f t="shared" si="21"/>
        <v>9830</v>
      </c>
      <c r="K150" s="324">
        <f t="shared" si="21"/>
        <v>9830</v>
      </c>
      <c r="L150" s="324">
        <f t="shared" si="21"/>
        <v>9830</v>
      </c>
      <c r="M150" s="324">
        <f t="shared" si="21"/>
        <v>9830</v>
      </c>
      <c r="N150" s="324">
        <f t="shared" si="21"/>
        <v>9830</v>
      </c>
      <c r="O150" s="324">
        <f t="shared" si="21"/>
        <v>9830</v>
      </c>
      <c r="P150" s="324">
        <f t="shared" si="21"/>
        <v>9830</v>
      </c>
      <c r="Q150" s="219">
        <f t="shared" si="22"/>
        <v>117960</v>
      </c>
      <c r="R150" s="324">
        <f>SUM(R144:R149)</f>
        <v>117960</v>
      </c>
    </row>
    <row r="151" spans="1:18" ht="24" thickBot="1">
      <c r="B151" s="302"/>
      <c r="C151" s="337"/>
      <c r="D151" s="302"/>
      <c r="E151" s="203"/>
      <c r="F151" s="313">
        <f t="shared" si="21"/>
        <v>0</v>
      </c>
      <c r="G151" s="314">
        <f t="shared" si="21"/>
        <v>0</v>
      </c>
      <c r="H151" s="314">
        <f t="shared" si="21"/>
        <v>0</v>
      </c>
      <c r="I151" s="314">
        <f t="shared" si="21"/>
        <v>0</v>
      </c>
      <c r="J151" s="314">
        <f t="shared" si="21"/>
        <v>0</v>
      </c>
      <c r="K151" s="314">
        <f t="shared" si="21"/>
        <v>0</v>
      </c>
      <c r="L151" s="314">
        <f t="shared" si="21"/>
        <v>0</v>
      </c>
      <c r="M151" s="314">
        <f t="shared" si="21"/>
        <v>0</v>
      </c>
      <c r="N151" s="314">
        <f t="shared" si="21"/>
        <v>0</v>
      </c>
      <c r="O151" s="314">
        <f t="shared" si="21"/>
        <v>0</v>
      </c>
      <c r="P151" s="314">
        <f t="shared" si="21"/>
        <v>0</v>
      </c>
      <c r="Q151" s="219">
        <f t="shared" si="22"/>
        <v>0</v>
      </c>
      <c r="R151" s="295"/>
    </row>
    <row r="152" spans="1:18" ht="23.25">
      <c r="A152" s="1211" t="s">
        <v>488</v>
      </c>
      <c r="B152" s="338" t="s">
        <v>489</v>
      </c>
      <c r="C152" s="302"/>
      <c r="D152" s="1214" t="s">
        <v>800</v>
      </c>
      <c r="E152" s="339">
        <f>(R152/12)*50%</f>
        <v>409.58333333333331</v>
      </c>
      <c r="F152" s="313">
        <f t="shared" si="21"/>
        <v>409.58333333333331</v>
      </c>
      <c r="G152" s="314">
        <f t="shared" si="21"/>
        <v>409.58333333333331</v>
      </c>
      <c r="H152" s="314">
        <f t="shared" si="21"/>
        <v>409.58333333333331</v>
      </c>
      <c r="I152" s="314">
        <f t="shared" si="21"/>
        <v>409.58333333333331</v>
      </c>
      <c r="J152" s="314">
        <f t="shared" si="21"/>
        <v>409.58333333333331</v>
      </c>
      <c r="K152" s="314">
        <f t="shared" si="21"/>
        <v>409.58333333333331</v>
      </c>
      <c r="L152" s="314">
        <f t="shared" si="21"/>
        <v>409.58333333333331</v>
      </c>
      <c r="M152" s="314">
        <f t="shared" si="21"/>
        <v>409.58333333333331</v>
      </c>
      <c r="N152" s="314">
        <f t="shared" si="21"/>
        <v>409.58333333333331</v>
      </c>
      <c r="O152" s="314">
        <f t="shared" si="21"/>
        <v>409.58333333333331</v>
      </c>
      <c r="P152" s="314">
        <f t="shared" si="21"/>
        <v>409.58333333333331</v>
      </c>
      <c r="Q152" s="219">
        <f t="shared" si="22"/>
        <v>4915</v>
      </c>
      <c r="R152" s="314">
        <f>E150</f>
        <v>9830</v>
      </c>
    </row>
    <row r="153" spans="1:18" ht="23.25">
      <c r="A153" s="1212"/>
      <c r="B153" s="340" t="s">
        <v>490</v>
      </c>
      <c r="C153" s="302"/>
      <c r="D153" s="1215"/>
      <c r="E153" s="339">
        <f>(R153/12)*50%</f>
        <v>409.58333333333331</v>
      </c>
      <c r="F153" s="313">
        <f t="shared" si="21"/>
        <v>409.58333333333331</v>
      </c>
      <c r="G153" s="314">
        <f t="shared" si="21"/>
        <v>409.58333333333331</v>
      </c>
      <c r="H153" s="314">
        <f t="shared" si="21"/>
        <v>409.58333333333331</v>
      </c>
      <c r="I153" s="314">
        <f t="shared" si="21"/>
        <v>409.58333333333331</v>
      </c>
      <c r="J153" s="314">
        <f t="shared" si="21"/>
        <v>409.58333333333331</v>
      </c>
      <c r="K153" s="314">
        <f t="shared" si="21"/>
        <v>409.58333333333331</v>
      </c>
      <c r="L153" s="314">
        <f t="shared" si="21"/>
        <v>409.58333333333331</v>
      </c>
      <c r="M153" s="314">
        <f t="shared" si="21"/>
        <v>409.58333333333331</v>
      </c>
      <c r="N153" s="314">
        <f t="shared" si="21"/>
        <v>409.58333333333331</v>
      </c>
      <c r="O153" s="314">
        <f t="shared" si="21"/>
        <v>409.58333333333331</v>
      </c>
      <c r="P153" s="314">
        <f t="shared" si="21"/>
        <v>409.58333333333331</v>
      </c>
      <c r="Q153" s="219">
        <f t="shared" si="22"/>
        <v>4915</v>
      </c>
      <c r="R153" s="314">
        <f>R152</f>
        <v>9830</v>
      </c>
    </row>
    <row r="154" spans="1:18" ht="23.25">
      <c r="A154" s="1212"/>
      <c r="B154" s="338" t="s">
        <v>298</v>
      </c>
      <c r="C154" s="302"/>
      <c r="D154" s="1215"/>
      <c r="E154" s="339">
        <f>(R154/12)*50%</f>
        <v>409.58333333333331</v>
      </c>
      <c r="F154" s="313">
        <f t="shared" si="21"/>
        <v>409.58333333333331</v>
      </c>
      <c r="G154" s="314">
        <f t="shared" si="21"/>
        <v>409.58333333333331</v>
      </c>
      <c r="H154" s="314">
        <f t="shared" si="21"/>
        <v>409.58333333333331</v>
      </c>
      <c r="I154" s="314">
        <f t="shared" si="21"/>
        <v>409.58333333333331</v>
      </c>
      <c r="J154" s="314">
        <f t="shared" si="21"/>
        <v>409.58333333333331</v>
      </c>
      <c r="K154" s="314">
        <f t="shared" si="21"/>
        <v>409.58333333333331</v>
      </c>
      <c r="L154" s="314">
        <f t="shared" si="21"/>
        <v>409.58333333333331</v>
      </c>
      <c r="M154" s="314">
        <f t="shared" si="21"/>
        <v>409.58333333333331</v>
      </c>
      <c r="N154" s="314">
        <f t="shared" si="21"/>
        <v>409.58333333333331</v>
      </c>
      <c r="O154" s="314">
        <f t="shared" si="21"/>
        <v>409.58333333333331</v>
      </c>
      <c r="P154" s="314">
        <f t="shared" si="21"/>
        <v>409.58333333333331</v>
      </c>
      <c r="Q154" s="219">
        <f t="shared" si="22"/>
        <v>4915</v>
      </c>
      <c r="R154" s="314">
        <f>R153</f>
        <v>9830</v>
      </c>
    </row>
    <row r="155" spans="1:18" ht="23.25">
      <c r="A155" s="1212"/>
      <c r="B155" s="340" t="s">
        <v>491</v>
      </c>
      <c r="C155" s="287">
        <v>60</v>
      </c>
      <c r="D155" s="1215"/>
      <c r="E155" s="339">
        <f>(C150*C155)/2</f>
        <v>180</v>
      </c>
      <c r="F155" s="341">
        <f t="shared" si="21"/>
        <v>180</v>
      </c>
      <c r="G155" s="342">
        <f t="shared" si="21"/>
        <v>180</v>
      </c>
      <c r="H155" s="342">
        <f t="shared" si="21"/>
        <v>180</v>
      </c>
      <c r="I155" s="342">
        <f t="shared" si="21"/>
        <v>180</v>
      </c>
      <c r="J155" s="342">
        <f t="shared" si="21"/>
        <v>180</v>
      </c>
      <c r="K155" s="342">
        <f t="shared" si="21"/>
        <v>180</v>
      </c>
      <c r="L155" s="342">
        <f t="shared" si="21"/>
        <v>180</v>
      </c>
      <c r="M155" s="342">
        <f t="shared" si="21"/>
        <v>180</v>
      </c>
      <c r="N155" s="342">
        <f t="shared" si="21"/>
        <v>180</v>
      </c>
      <c r="O155" s="342">
        <f t="shared" si="21"/>
        <v>180</v>
      </c>
      <c r="P155" s="342">
        <f t="shared" si="21"/>
        <v>180</v>
      </c>
      <c r="Q155" s="320">
        <f t="shared" si="22"/>
        <v>2160</v>
      </c>
      <c r="R155" s="342">
        <f>R150*C155</f>
        <v>7077600</v>
      </c>
    </row>
    <row r="156" spans="1:18" ht="31.5" customHeight="1" thickBot="1">
      <c r="A156" s="1213"/>
      <c r="B156" s="338" t="s">
        <v>492</v>
      </c>
      <c r="C156" s="302"/>
      <c r="D156" s="1216"/>
      <c r="E156" s="339">
        <f>(R156/12)*50%</f>
        <v>409.58333333333331</v>
      </c>
      <c r="F156" s="313">
        <f t="shared" si="21"/>
        <v>409.58333333333331</v>
      </c>
      <c r="G156" s="314">
        <f t="shared" si="21"/>
        <v>409.58333333333331</v>
      </c>
      <c r="H156" s="314">
        <f t="shared" si="21"/>
        <v>409.58333333333331</v>
      </c>
      <c r="I156" s="314">
        <f t="shared" si="21"/>
        <v>409.58333333333331</v>
      </c>
      <c r="J156" s="314">
        <f t="shared" si="21"/>
        <v>409.58333333333331</v>
      </c>
      <c r="K156" s="314">
        <f t="shared" si="21"/>
        <v>409.58333333333331</v>
      </c>
      <c r="L156" s="314">
        <f t="shared" si="21"/>
        <v>409.58333333333331</v>
      </c>
      <c r="M156" s="314">
        <f t="shared" si="21"/>
        <v>409.58333333333331</v>
      </c>
      <c r="N156" s="314">
        <f t="shared" si="21"/>
        <v>409.58333333333331</v>
      </c>
      <c r="O156" s="314">
        <f t="shared" si="21"/>
        <v>409.58333333333331</v>
      </c>
      <c r="P156" s="314">
        <f t="shared" si="21"/>
        <v>409.58333333333331</v>
      </c>
      <c r="Q156" s="219">
        <f t="shared" si="22"/>
        <v>4915</v>
      </c>
      <c r="R156" s="314">
        <f>E150</f>
        <v>9830</v>
      </c>
    </row>
    <row r="157" spans="1:18" ht="23.25">
      <c r="B157" s="302"/>
      <c r="C157" s="302"/>
      <c r="D157" s="302"/>
      <c r="E157" s="203"/>
      <c r="F157" s="313">
        <f t="shared" si="21"/>
        <v>0</v>
      </c>
      <c r="G157" s="314">
        <f t="shared" si="21"/>
        <v>0</v>
      </c>
      <c r="H157" s="314">
        <f t="shared" si="21"/>
        <v>0</v>
      </c>
      <c r="I157" s="314">
        <f t="shared" si="21"/>
        <v>0</v>
      </c>
      <c r="J157" s="314">
        <f t="shared" si="21"/>
        <v>0</v>
      </c>
      <c r="K157" s="314">
        <f t="shared" si="21"/>
        <v>0</v>
      </c>
      <c r="L157" s="314">
        <f t="shared" si="21"/>
        <v>0</v>
      </c>
      <c r="M157" s="314">
        <f t="shared" si="21"/>
        <v>0</v>
      </c>
      <c r="N157" s="314">
        <f t="shared" si="21"/>
        <v>0</v>
      </c>
      <c r="O157" s="314">
        <f t="shared" si="21"/>
        <v>0</v>
      </c>
      <c r="P157" s="314">
        <f t="shared" si="21"/>
        <v>0</v>
      </c>
      <c r="Q157" s="219">
        <f t="shared" si="22"/>
        <v>0</v>
      </c>
      <c r="R157" s="295"/>
    </row>
    <row r="158" spans="1:18" ht="55.5" customHeight="1">
      <c r="B158" s="1102" t="s">
        <v>493</v>
      </c>
      <c r="C158" s="1112"/>
      <c r="D158" s="1103"/>
      <c r="E158" s="320">
        <f>SUM(E150:E157)</f>
        <v>11648.333333333336</v>
      </c>
      <c r="F158" s="320">
        <f t="shared" si="21"/>
        <v>11648.333333333336</v>
      </c>
      <c r="G158" s="283">
        <f t="shared" si="21"/>
        <v>11648.333333333336</v>
      </c>
      <c r="H158" s="283">
        <f t="shared" si="21"/>
        <v>11648.333333333336</v>
      </c>
      <c r="I158" s="283">
        <f t="shared" si="21"/>
        <v>11648.333333333336</v>
      </c>
      <c r="J158" s="283">
        <f t="shared" si="21"/>
        <v>11648.333333333336</v>
      </c>
      <c r="K158" s="283">
        <f t="shared" si="21"/>
        <v>11648.333333333336</v>
      </c>
      <c r="L158" s="283">
        <f t="shared" si="21"/>
        <v>11648.333333333336</v>
      </c>
      <c r="M158" s="283">
        <f t="shared" si="21"/>
        <v>11648.333333333336</v>
      </c>
      <c r="N158" s="283">
        <f t="shared" si="21"/>
        <v>11648.333333333336</v>
      </c>
      <c r="O158" s="283">
        <f t="shared" si="21"/>
        <v>11648.333333333336</v>
      </c>
      <c r="P158" s="283">
        <f t="shared" si="21"/>
        <v>11648.333333333336</v>
      </c>
      <c r="Q158" s="320">
        <f t="shared" si="22"/>
        <v>139780.00000000006</v>
      </c>
      <c r="R158" s="283"/>
    </row>
    <row r="160" spans="1:18" ht="21.75" thickBot="1"/>
    <row r="161" spans="1:10" ht="51.75" customHeight="1">
      <c r="A161" s="1217"/>
      <c r="B161" s="1218" t="s">
        <v>495</v>
      </c>
      <c r="C161" s="1210" t="s">
        <v>496</v>
      </c>
      <c r="D161" s="1210"/>
      <c r="E161" s="1210"/>
      <c r="F161" s="1210"/>
      <c r="G161" s="1210"/>
      <c r="H161" s="1210"/>
    </row>
    <row r="162" spans="1:10" ht="57.75" customHeight="1" thickBot="1">
      <c r="A162" s="1217"/>
      <c r="B162" s="1219"/>
      <c r="C162" s="1210" t="s">
        <v>497</v>
      </c>
      <c r="D162" s="1210"/>
      <c r="E162" s="1210"/>
      <c r="F162" s="1210"/>
      <c r="G162" s="1210"/>
      <c r="H162" s="1210"/>
    </row>
    <row r="165" spans="1:10" ht="51.75" customHeight="1">
      <c r="B165" s="1165" t="s">
        <v>861</v>
      </c>
      <c r="C165" s="1165"/>
      <c r="D165" s="1165"/>
      <c r="E165" s="1165"/>
      <c r="F165" s="1165"/>
    </row>
    <row r="167" spans="1:10" ht="114" customHeight="1">
      <c r="B167" s="1206" t="s">
        <v>862</v>
      </c>
      <c r="C167" s="1207"/>
    </row>
    <row r="168" spans="1:10">
      <c r="A168" s="1208" t="s">
        <v>820</v>
      </c>
      <c r="B168" s="1208"/>
      <c r="C168" s="1208"/>
      <c r="D168" s="1208"/>
      <c r="E168" s="1208"/>
      <c r="F168" s="1208"/>
      <c r="G168" s="1208"/>
      <c r="H168" s="1208"/>
      <c r="I168" s="1209"/>
      <c r="J168" s="1209"/>
    </row>
    <row r="169" spans="1:10">
      <c r="A169" s="295"/>
      <c r="B169" s="295"/>
      <c r="C169" s="295"/>
      <c r="D169" s="244" t="s">
        <v>284</v>
      </c>
      <c r="E169" s="243"/>
      <c r="F169" s="243"/>
      <c r="G169" s="243"/>
      <c r="H169" s="244" t="s">
        <v>284</v>
      </c>
      <c r="I169" s="195"/>
      <c r="J169" s="195"/>
    </row>
    <row r="170" spans="1:10">
      <c r="A170" s="1203" t="s">
        <v>504</v>
      </c>
      <c r="B170" s="1204"/>
      <c r="C170" s="1205"/>
      <c r="D170" s="333">
        <f>G24</f>
        <v>2048.5</v>
      </c>
      <c r="E170" s="243" t="s">
        <v>501</v>
      </c>
      <c r="F170" s="295"/>
      <c r="G170" s="295"/>
      <c r="H170" s="333">
        <v>0</v>
      </c>
      <c r="I170" s="195"/>
      <c r="J170" s="195"/>
    </row>
    <row r="171" spans="1:10">
      <c r="A171" s="1203" t="s">
        <v>506</v>
      </c>
      <c r="B171" s="1204"/>
      <c r="C171" s="1205"/>
      <c r="D171" s="333">
        <f>D80</f>
        <v>1303.8</v>
      </c>
      <c r="E171" s="243" t="s">
        <v>503</v>
      </c>
      <c r="F171" s="295"/>
      <c r="G171" s="295"/>
      <c r="H171" s="333">
        <v>0</v>
      </c>
      <c r="I171" s="195"/>
      <c r="J171" s="195"/>
    </row>
    <row r="172" spans="1:10">
      <c r="A172" s="343"/>
      <c r="B172" s="343"/>
      <c r="C172" s="343"/>
      <c r="D172" s="333"/>
      <c r="E172" s="243"/>
      <c r="F172" s="295"/>
      <c r="G172" s="295"/>
      <c r="H172" s="333"/>
      <c r="I172" s="195"/>
      <c r="J172" s="195"/>
    </row>
    <row r="173" spans="1:10">
      <c r="A173" s="1203" t="s">
        <v>500</v>
      </c>
      <c r="B173" s="1204"/>
      <c r="C173" s="1205"/>
      <c r="D173" s="333">
        <f>G25</f>
        <v>1311</v>
      </c>
      <c r="E173" s="243" t="s">
        <v>505</v>
      </c>
      <c r="F173" s="295"/>
      <c r="G173" s="295"/>
      <c r="H173" s="333">
        <v>0</v>
      </c>
    </row>
    <row r="174" spans="1:10">
      <c r="A174" s="1203" t="s">
        <v>502</v>
      </c>
      <c r="B174" s="1204"/>
      <c r="C174" s="1205"/>
      <c r="D174" s="333">
        <f>D77</f>
        <v>803.8</v>
      </c>
      <c r="E174" s="243" t="s">
        <v>503</v>
      </c>
      <c r="F174" s="295"/>
      <c r="G174" s="295"/>
      <c r="H174" s="333">
        <v>0</v>
      </c>
    </row>
    <row r="175" spans="1:10">
      <c r="A175" s="295"/>
      <c r="B175" s="295"/>
      <c r="C175" s="295"/>
      <c r="D175" s="333"/>
      <c r="E175" s="295"/>
      <c r="F175" s="295"/>
      <c r="G175" s="295"/>
      <c r="H175" s="333"/>
    </row>
    <row r="176" spans="1:10">
      <c r="A176" s="1203" t="s">
        <v>507</v>
      </c>
      <c r="B176" s="1204"/>
      <c r="C176" s="1205"/>
      <c r="D176" s="333">
        <f>+G26</f>
        <v>783.33333333333337</v>
      </c>
      <c r="E176" s="295" t="s">
        <v>505</v>
      </c>
      <c r="F176" s="295"/>
      <c r="G176" s="295"/>
      <c r="H176" s="333"/>
    </row>
    <row r="177" spans="1:8">
      <c r="A177" s="1203" t="s">
        <v>508</v>
      </c>
      <c r="B177" s="1204"/>
      <c r="C177" s="1205"/>
      <c r="D177" s="344">
        <f>+D93</f>
        <v>0</v>
      </c>
      <c r="E177" s="295" t="s">
        <v>509</v>
      </c>
      <c r="F177" s="295"/>
      <c r="G177" s="295"/>
      <c r="H177" s="333"/>
    </row>
    <row r="178" spans="1:8">
      <c r="A178" s="295"/>
      <c r="B178" s="295"/>
      <c r="C178" s="295"/>
      <c r="D178" s="333"/>
      <c r="E178" s="295"/>
      <c r="F178" s="295"/>
      <c r="G178" s="295"/>
      <c r="H178" s="333"/>
    </row>
    <row r="179" spans="1:8">
      <c r="A179" s="1179" t="s">
        <v>243</v>
      </c>
      <c r="B179" s="1180"/>
      <c r="C179" s="1181"/>
      <c r="D179" s="224" t="s">
        <v>248</v>
      </c>
      <c r="E179" s="295"/>
      <c r="F179" s="295"/>
      <c r="G179" s="295"/>
      <c r="H179" s="295"/>
    </row>
    <row r="180" spans="1:8">
      <c r="A180" s="1195" t="s">
        <v>510</v>
      </c>
      <c r="B180" s="1196"/>
      <c r="C180" s="1197"/>
      <c r="D180" s="333">
        <f>+'8'!E30</f>
        <v>62883.72</v>
      </c>
      <c r="E180" s="295"/>
      <c r="F180" s="295"/>
      <c r="G180" s="295"/>
      <c r="H180" s="295"/>
    </row>
    <row r="181" spans="1:8">
      <c r="A181" s="1195" t="s">
        <v>511</v>
      </c>
      <c r="B181" s="1196"/>
      <c r="C181" s="1197"/>
      <c r="D181" s="333">
        <f>+'8'!E40</f>
        <v>6221.5</v>
      </c>
      <c r="E181" s="295"/>
      <c r="F181" s="295"/>
      <c r="G181" s="295"/>
      <c r="H181" s="295"/>
    </row>
    <row r="182" spans="1:8">
      <c r="A182" s="1195" t="s">
        <v>512</v>
      </c>
      <c r="B182" s="1196"/>
      <c r="C182" s="1197"/>
      <c r="D182" s="333">
        <f>+'8'!E42</f>
        <v>10365.782999999999</v>
      </c>
      <c r="E182" s="295"/>
      <c r="F182" s="295"/>
      <c r="G182" s="295"/>
      <c r="H182" s="295"/>
    </row>
    <row r="183" spans="1:8">
      <c r="A183" s="1179" t="s">
        <v>513</v>
      </c>
      <c r="B183" s="1180"/>
      <c r="C183" s="1181"/>
      <c r="D183" s="210">
        <f>SUM(D180:D182)</f>
        <v>79471.002999999997</v>
      </c>
      <c r="E183" s="295"/>
      <c r="F183" s="295"/>
      <c r="G183" s="295"/>
      <c r="H183" s="295"/>
    </row>
    <row r="184" spans="1:8">
      <c r="A184" s="345"/>
      <c r="B184" s="345"/>
      <c r="C184" s="345"/>
      <c r="D184" s="346"/>
      <c r="E184" s="295"/>
      <c r="F184" s="295"/>
      <c r="G184" s="295"/>
      <c r="H184" s="295"/>
    </row>
    <row r="185" spans="1:8" ht="84">
      <c r="A185" s="1188" t="s">
        <v>514</v>
      </c>
      <c r="B185" s="1189"/>
      <c r="C185" s="209" t="s">
        <v>515</v>
      </c>
      <c r="D185" s="217" t="s">
        <v>248</v>
      </c>
      <c r="E185" s="217" t="s">
        <v>516</v>
      </c>
      <c r="F185" s="217" t="s">
        <v>517</v>
      </c>
      <c r="G185" s="310"/>
      <c r="H185" s="295"/>
    </row>
    <row r="186" spans="1:8" ht="26.25">
      <c r="A186" s="1201" t="s">
        <v>518</v>
      </c>
      <c r="B186" s="1202"/>
      <c r="C186" s="347">
        <f>+'8'!D62</f>
        <v>0.6</v>
      </c>
      <c r="D186" s="342">
        <f>D183*C186</f>
        <v>47682.601799999997</v>
      </c>
      <c r="E186" s="348">
        <f>+'8'!I62</f>
        <v>0.26392900000000002</v>
      </c>
      <c r="F186" s="295"/>
      <c r="G186" s="310"/>
      <c r="H186" s="295"/>
    </row>
    <row r="187" spans="1:8" ht="26.25">
      <c r="A187" s="1201" t="s">
        <v>519</v>
      </c>
      <c r="B187" s="1202"/>
      <c r="C187" s="347">
        <f>+'8'!D63</f>
        <v>0.4</v>
      </c>
      <c r="D187" s="342">
        <f>D183*C187</f>
        <v>31788.4012</v>
      </c>
      <c r="E187" s="295"/>
      <c r="F187" s="349">
        <f>+'8'!C70</f>
        <v>0.17199999999999999</v>
      </c>
      <c r="G187" s="310"/>
      <c r="H187" s="295"/>
    </row>
    <row r="188" spans="1:8">
      <c r="A188" s="295"/>
      <c r="B188" s="295"/>
      <c r="C188" s="350"/>
      <c r="D188" s="350"/>
      <c r="E188" s="295"/>
      <c r="F188" s="295"/>
      <c r="G188" s="295"/>
      <c r="H188" s="295"/>
    </row>
    <row r="189" spans="1:8">
      <c r="A189" s="1188" t="s">
        <v>520</v>
      </c>
      <c r="B189" s="1194"/>
      <c r="C189" s="1189"/>
      <c r="D189" s="217" t="s">
        <v>389</v>
      </c>
      <c r="E189" s="243"/>
      <c r="F189" s="243"/>
      <c r="G189" s="243"/>
      <c r="H189" s="217" t="s">
        <v>521</v>
      </c>
    </row>
    <row r="190" spans="1:8" ht="26.25">
      <c r="A190" s="1195" t="s">
        <v>522</v>
      </c>
      <c r="B190" s="1196"/>
      <c r="C190" s="1197"/>
      <c r="D190" s="351">
        <f>E131</f>
        <v>19073.653333333335</v>
      </c>
      <c r="E190" s="295"/>
      <c r="F190" s="295"/>
      <c r="G190" s="295"/>
      <c r="H190" s="312">
        <f>D190*12</f>
        <v>228883.84000000003</v>
      </c>
    </row>
    <row r="191" spans="1:8" ht="26.25">
      <c r="A191" s="1198" t="s">
        <v>523</v>
      </c>
      <c r="B191" s="1199"/>
      <c r="C191" s="1200"/>
      <c r="D191" s="352">
        <f>E158</f>
        <v>11648.333333333336</v>
      </c>
      <c r="E191" s="350"/>
      <c r="F191" s="350"/>
      <c r="G191" s="350"/>
      <c r="H191" s="317">
        <f>D191*12</f>
        <v>139780.00000000003</v>
      </c>
    </row>
    <row r="192" spans="1:8" ht="26.25">
      <c r="A192" s="295"/>
      <c r="B192" s="295"/>
      <c r="C192" s="295"/>
      <c r="D192" s="351"/>
      <c r="E192" s="295"/>
      <c r="F192" s="295"/>
      <c r="G192" s="295"/>
      <c r="H192" s="312">
        <f>D192*12</f>
        <v>0</v>
      </c>
    </row>
    <row r="193" spans="1:10" ht="26.25">
      <c r="A193" s="295"/>
      <c r="B193" s="295"/>
      <c r="C193" s="295"/>
      <c r="D193" s="351"/>
      <c r="E193" s="295"/>
      <c r="F193" s="295"/>
      <c r="G193" s="295"/>
      <c r="H193" s="312">
        <f>D193*12</f>
        <v>0</v>
      </c>
    </row>
    <row r="194" spans="1:10" ht="26.25">
      <c r="A194" s="295"/>
      <c r="B194" s="295"/>
      <c r="C194" s="224" t="s">
        <v>524</v>
      </c>
      <c r="D194" s="353">
        <f>SUM(D190:D193)</f>
        <v>30721.986666666671</v>
      </c>
      <c r="E194" s="295"/>
      <c r="F194" s="295"/>
      <c r="G194" s="224" t="s">
        <v>525</v>
      </c>
      <c r="H194" s="354">
        <f>SUM(H190:H193)</f>
        <v>368663.84000000008</v>
      </c>
    </row>
    <row r="195" spans="1:10" ht="26.25">
      <c r="A195" s="1195" t="s">
        <v>526</v>
      </c>
      <c r="B195" s="1196"/>
      <c r="C195" s="1197"/>
      <c r="D195" s="351">
        <f>E133</f>
        <v>737.42683333333343</v>
      </c>
      <c r="E195" s="295"/>
      <c r="F195" s="295"/>
      <c r="G195" s="295"/>
      <c r="H195" s="312">
        <f>D180/10</f>
        <v>6288.3720000000003</v>
      </c>
    </row>
    <row r="196" spans="1:10" ht="26.25">
      <c r="A196" s="1195" t="s">
        <v>527</v>
      </c>
      <c r="B196" s="1196"/>
      <c r="C196" s="1197"/>
      <c r="D196" s="351">
        <f>E134</f>
        <v>45.179166666666667</v>
      </c>
      <c r="E196" s="295"/>
      <c r="F196" s="295"/>
      <c r="G196" s="295"/>
      <c r="H196" s="312">
        <f>D181/10</f>
        <v>622.15</v>
      </c>
    </row>
    <row r="197" spans="1:10" ht="42">
      <c r="A197" s="1188" t="s">
        <v>528</v>
      </c>
      <c r="B197" s="1194"/>
      <c r="C197" s="1189"/>
      <c r="D197" s="355">
        <f>SUM(D194:D196)</f>
        <v>31504.592666666671</v>
      </c>
      <c r="E197" s="356"/>
      <c r="F197" s="356"/>
      <c r="G197" s="217" t="s">
        <v>529</v>
      </c>
      <c r="H197" s="355">
        <f>SUM(H194:H196)</f>
        <v>375574.36200000008</v>
      </c>
    </row>
    <row r="198" spans="1:10">
      <c r="A198" s="345"/>
      <c r="B198" s="345"/>
      <c r="C198" s="345"/>
      <c r="D198" s="346"/>
      <c r="E198" s="345"/>
      <c r="F198" s="345"/>
      <c r="G198" s="345"/>
      <c r="H198" s="346"/>
      <c r="I198" s="193"/>
      <c r="J198" s="193"/>
    </row>
    <row r="199" spans="1:10">
      <c r="A199" s="345"/>
      <c r="B199" s="345"/>
      <c r="C199" s="345"/>
      <c r="D199" s="346"/>
      <c r="E199" s="345"/>
      <c r="F199" s="345"/>
      <c r="G199" s="345"/>
      <c r="H199" s="346"/>
      <c r="I199" s="193"/>
      <c r="J199" s="193"/>
    </row>
    <row r="200" spans="1:10">
      <c r="A200" s="310"/>
      <c r="B200" s="310"/>
      <c r="C200" s="310"/>
      <c r="D200" s="357"/>
      <c r="E200" s="310"/>
      <c r="F200" s="310"/>
      <c r="G200" s="310"/>
      <c r="H200" s="357"/>
    </row>
    <row r="201" spans="1:10" ht="49.5" customHeight="1">
      <c r="A201" s="1191" t="s">
        <v>530</v>
      </c>
      <c r="B201" s="1192"/>
      <c r="C201" s="1192"/>
      <c r="D201" s="1192"/>
      <c r="E201" s="1192"/>
      <c r="F201" s="1193"/>
      <c r="G201" s="310"/>
      <c r="H201" s="357"/>
    </row>
    <row r="202" spans="1:10">
      <c r="A202" s="310"/>
      <c r="B202" s="310"/>
      <c r="C202" s="310"/>
      <c r="D202" s="310"/>
      <c r="E202" s="310"/>
      <c r="F202" s="310"/>
      <c r="G202" s="310"/>
      <c r="H202" s="310"/>
    </row>
    <row r="203" spans="1:10" ht="69.75">
      <c r="A203" s="243"/>
      <c r="B203" s="243"/>
      <c r="C203" s="202" t="s">
        <v>531</v>
      </c>
      <c r="D203" s="202" t="s">
        <v>532</v>
      </c>
      <c r="E203" s="202" t="s">
        <v>533</v>
      </c>
      <c r="F203" s="202" t="s">
        <v>534</v>
      </c>
      <c r="G203" s="202" t="s">
        <v>535</v>
      </c>
      <c r="H203" s="358"/>
    </row>
    <row r="204" spans="1:10" ht="63">
      <c r="A204" s="1145" t="s">
        <v>538</v>
      </c>
      <c r="B204" s="1147"/>
      <c r="C204" s="359">
        <f>D170</f>
        <v>2048.5</v>
      </c>
      <c r="D204" s="359">
        <f>D171</f>
        <v>1303.8</v>
      </c>
      <c r="E204" s="359">
        <f>C204-D204</f>
        <v>744.7</v>
      </c>
      <c r="F204" s="360">
        <f>D197/E204</f>
        <v>42.305079450337949</v>
      </c>
      <c r="G204" s="360">
        <f>H197/E204</f>
        <v>504.32974620652618</v>
      </c>
      <c r="H204" s="232" t="s">
        <v>818</v>
      </c>
      <c r="I204" s="361">
        <f>E204*G204</f>
        <v>375574.36200000008</v>
      </c>
    </row>
    <row r="205" spans="1:10" ht="28.5">
      <c r="A205" s="244"/>
      <c r="B205" s="243"/>
      <c r="C205" s="359">
        <f>H170</f>
        <v>0</v>
      </c>
      <c r="D205" s="359">
        <f>H171</f>
        <v>0</v>
      </c>
      <c r="E205" s="359">
        <f>C205-D205</f>
        <v>0</v>
      </c>
      <c r="F205" s="360"/>
      <c r="G205" s="362"/>
      <c r="H205" s="232"/>
      <c r="I205" s="327">
        <f>E205*G205</f>
        <v>0</v>
      </c>
    </row>
    <row r="206" spans="1:10" ht="84">
      <c r="A206" s="1145" t="s">
        <v>536</v>
      </c>
      <c r="B206" s="1147"/>
      <c r="C206" s="359">
        <f>D173</f>
        <v>1311</v>
      </c>
      <c r="D206" s="359">
        <f>D174</f>
        <v>803.8</v>
      </c>
      <c r="E206" s="359">
        <f>C206-D206</f>
        <v>507.20000000000005</v>
      </c>
      <c r="F206" s="360">
        <f>D197/E206</f>
        <v>62.114733175604627</v>
      </c>
      <c r="G206" s="362">
        <f>H197/E206</f>
        <v>740.48572949526829</v>
      </c>
      <c r="H206" s="232" t="s">
        <v>817</v>
      </c>
      <c r="I206" s="361">
        <f>E206*G206</f>
        <v>375574.36200000008</v>
      </c>
    </row>
    <row r="207" spans="1:10">
      <c r="A207" s="244"/>
      <c r="B207" s="243"/>
      <c r="C207" s="363">
        <f>H173</f>
        <v>0</v>
      </c>
      <c r="D207" s="363">
        <f>H174</f>
        <v>0</v>
      </c>
      <c r="E207" s="363">
        <f>C207-D207</f>
        <v>0</v>
      </c>
      <c r="F207" s="288"/>
      <c r="G207" s="288"/>
      <c r="H207" s="232"/>
      <c r="I207" s="327">
        <f>E207*G207</f>
        <v>0</v>
      </c>
    </row>
    <row r="208" spans="1:10" ht="84" customHeight="1">
      <c r="A208" s="1145" t="s">
        <v>380</v>
      </c>
      <c r="B208" s="1147"/>
      <c r="C208" s="359">
        <f>+D176</f>
        <v>783.33333333333337</v>
      </c>
      <c r="D208" s="364">
        <f>+D177</f>
        <v>0</v>
      </c>
      <c r="E208" s="359">
        <f>+C208-D208</f>
        <v>783.33333333333337</v>
      </c>
      <c r="F208" s="360">
        <f>+D197/E208</f>
        <v>40.218628936170219</v>
      </c>
      <c r="G208" s="362">
        <f>+H197/E208</f>
        <v>479.45663234042559</v>
      </c>
      <c r="H208" s="232" t="s">
        <v>819</v>
      </c>
      <c r="I208" s="361">
        <f>+E208*G208</f>
        <v>375574.36200000008</v>
      </c>
    </row>
    <row r="209" spans="1:14">
      <c r="A209" s="358"/>
      <c r="B209" s="365"/>
      <c r="C209" s="366"/>
      <c r="D209" s="366"/>
      <c r="E209" s="366"/>
      <c r="F209" s="367"/>
      <c r="G209" s="367"/>
      <c r="H209" s="358"/>
    </row>
    <row r="210" spans="1:14" ht="51" customHeight="1">
      <c r="A210" s="1155" t="s">
        <v>822</v>
      </c>
      <c r="B210" s="1155"/>
      <c r="C210" s="1155"/>
      <c r="D210" s="1155"/>
      <c r="E210" s="1155"/>
      <c r="F210" s="1155"/>
      <c r="G210" s="1155"/>
      <c r="H210" s="1155"/>
      <c r="I210" s="193"/>
    </row>
    <row r="211" spans="1:14">
      <c r="A211" s="358"/>
      <c r="B211" s="358"/>
      <c r="C211" s="358"/>
      <c r="D211" s="358"/>
      <c r="E211" s="358"/>
      <c r="F211" s="358"/>
      <c r="G211" s="358"/>
      <c r="H211" s="358"/>
    </row>
    <row r="212" spans="1:14" ht="52.5">
      <c r="A212" s="243"/>
      <c r="B212" s="243"/>
      <c r="C212" s="368" t="s">
        <v>541</v>
      </c>
      <c r="D212" s="368" t="s">
        <v>542</v>
      </c>
      <c r="E212" s="368" t="s">
        <v>543</v>
      </c>
      <c r="F212" s="368" t="s">
        <v>544</v>
      </c>
      <c r="G212" s="368" t="s">
        <v>545</v>
      </c>
      <c r="H212" s="368" t="s">
        <v>546</v>
      </c>
    </row>
    <row r="213" spans="1:14">
      <c r="A213" s="243"/>
      <c r="B213" s="243"/>
      <c r="C213" s="243"/>
      <c r="D213" s="243"/>
      <c r="E213" s="243"/>
      <c r="F213" s="243"/>
      <c r="G213" s="243">
        <v>12</v>
      </c>
      <c r="H213" s="243"/>
    </row>
    <row r="214" spans="1:14" ht="75.75" customHeight="1">
      <c r="A214" s="1138" t="str">
        <f>+A204</f>
        <v>SERVICIO ONCOLÓGICO</v>
      </c>
      <c r="B214" s="1140"/>
      <c r="C214" s="369">
        <f t="shared" ref="C214:E216" si="23">C204</f>
        <v>2048.5</v>
      </c>
      <c r="D214" s="369">
        <f t="shared" si="23"/>
        <v>1303.8</v>
      </c>
      <c r="E214" s="369">
        <f t="shared" si="23"/>
        <v>744.7</v>
      </c>
      <c r="F214" s="370">
        <v>17</v>
      </c>
      <c r="G214" s="371">
        <f>F214*$G$213</f>
        <v>204</v>
      </c>
      <c r="H214" s="372">
        <f>G214*E214</f>
        <v>151918.80000000002</v>
      </c>
      <c r="I214" s="1188" t="s">
        <v>547</v>
      </c>
      <c r="J214" s="1189"/>
      <c r="K214" s="373"/>
      <c r="L214" s="207"/>
      <c r="M214" s="207"/>
    </row>
    <row r="215" spans="1:14" ht="28.5">
      <c r="A215" s="374"/>
      <c r="B215" s="374"/>
      <c r="C215" s="369">
        <f t="shared" si="23"/>
        <v>0</v>
      </c>
      <c r="D215" s="369">
        <f t="shared" si="23"/>
        <v>0</v>
      </c>
      <c r="E215" s="369">
        <f t="shared" si="23"/>
        <v>0</v>
      </c>
      <c r="F215" s="371"/>
      <c r="G215" s="371"/>
      <c r="H215" s="369">
        <f>G215*E215</f>
        <v>0</v>
      </c>
      <c r="I215" s="1190"/>
      <c r="J215" s="1190"/>
      <c r="K215" s="193"/>
      <c r="L215" s="193"/>
      <c r="M215" s="193"/>
    </row>
    <row r="216" spans="1:14" ht="65.25" customHeight="1">
      <c r="A216" s="1138" t="str">
        <f>+A206</f>
        <v>SERVICIO ENDOCRINO</v>
      </c>
      <c r="B216" s="1140"/>
      <c r="C216" s="369">
        <f t="shared" si="23"/>
        <v>1311</v>
      </c>
      <c r="D216" s="369">
        <f t="shared" si="23"/>
        <v>803.8</v>
      </c>
      <c r="E216" s="369">
        <f t="shared" si="23"/>
        <v>507.20000000000005</v>
      </c>
      <c r="F216" s="370">
        <v>22</v>
      </c>
      <c r="G216" s="371">
        <f>F216*$G$213</f>
        <v>264</v>
      </c>
      <c r="H216" s="372">
        <f>G216*E216</f>
        <v>133900.80000000002</v>
      </c>
      <c r="I216" s="1188" t="s">
        <v>548</v>
      </c>
      <c r="J216" s="1189"/>
      <c r="K216" s="373"/>
      <c r="L216" s="193"/>
      <c r="M216" s="193"/>
    </row>
    <row r="217" spans="1:14" ht="27.75" customHeight="1">
      <c r="A217" s="375"/>
      <c r="B217" s="376"/>
      <c r="C217" s="369"/>
      <c r="D217" s="369"/>
      <c r="E217" s="369"/>
      <c r="F217" s="370"/>
      <c r="G217" s="371"/>
      <c r="H217" s="372"/>
      <c r="I217" s="377"/>
      <c r="J217" s="378"/>
      <c r="K217" s="379"/>
      <c r="L217" s="193"/>
      <c r="M217" s="193"/>
    </row>
    <row r="218" spans="1:14" ht="65.25" customHeight="1">
      <c r="A218" s="1138" t="str">
        <f>+A208</f>
        <v>SERVICIO DE IMPORTACIÓN</v>
      </c>
      <c r="B218" s="1140"/>
      <c r="C218" s="369">
        <f>+C208</f>
        <v>783.33333333333337</v>
      </c>
      <c r="D218" s="369">
        <f>+D208</f>
        <v>0</v>
      </c>
      <c r="E218" s="369">
        <f>+C218-D218</f>
        <v>783.33333333333337</v>
      </c>
      <c r="F218" s="370">
        <v>10</v>
      </c>
      <c r="G218" s="371">
        <f>+F218*$G$213</f>
        <v>120</v>
      </c>
      <c r="H218" s="372">
        <f>+E218*G218</f>
        <v>94000</v>
      </c>
      <c r="I218" s="377"/>
      <c r="J218" s="378"/>
      <c r="K218" s="379"/>
      <c r="L218" s="193"/>
      <c r="M218" s="193"/>
    </row>
    <row r="219" spans="1:14">
      <c r="A219" s="243"/>
      <c r="B219" s="243"/>
      <c r="C219" s="380">
        <f>C207</f>
        <v>0</v>
      </c>
      <c r="D219" s="380">
        <f>D207</f>
        <v>0</v>
      </c>
      <c r="E219" s="380">
        <f>E207</f>
        <v>0</v>
      </c>
      <c r="F219" s="297"/>
      <c r="G219" s="297"/>
      <c r="H219" s="380">
        <f>G219*E219</f>
        <v>0</v>
      </c>
      <c r="I219" s="1190"/>
      <c r="J219" s="1190"/>
      <c r="K219" s="193"/>
    </row>
    <row r="220" spans="1:14" ht="31.5">
      <c r="A220" s="381"/>
      <c r="B220" s="381"/>
      <c r="C220" s="224"/>
      <c r="D220" s="224"/>
      <c r="E220" s="382" t="s">
        <v>183</v>
      </c>
      <c r="F220" s="383">
        <f>SUM(F214:F219)</f>
        <v>49</v>
      </c>
      <c r="G220" s="384">
        <f>SUM(G214:G219)</f>
        <v>588</v>
      </c>
      <c r="H220" s="383">
        <f>SUM(H214:H219)</f>
        <v>379819.60000000003</v>
      </c>
      <c r="J220" s="207"/>
      <c r="K220" s="207"/>
      <c r="L220" s="193"/>
      <c r="M220" s="207"/>
      <c r="N220" s="193"/>
    </row>
    <row r="221" spans="1:14" ht="94.5">
      <c r="A221" s="194"/>
      <c r="B221" s="194"/>
      <c r="C221" s="194"/>
      <c r="D221" s="194"/>
      <c r="E221" s="194"/>
      <c r="F221" s="385"/>
      <c r="G221" s="386" t="s">
        <v>549</v>
      </c>
      <c r="H221" s="387">
        <f>I206</f>
        <v>375574.36200000008</v>
      </c>
      <c r="J221" s="207"/>
      <c r="K221" s="207"/>
      <c r="L221" s="193"/>
      <c r="M221" s="207"/>
      <c r="N221" s="193"/>
    </row>
    <row r="222" spans="1:14" ht="72.75" customHeight="1">
      <c r="H222" s="369">
        <f>H220-H197</f>
        <v>4245.2379999999539</v>
      </c>
      <c r="I222" s="1178" t="s">
        <v>550</v>
      </c>
      <c r="J222" s="1178"/>
      <c r="K222" s="388"/>
      <c r="L222" s="193"/>
      <c r="M222" s="207"/>
      <c r="N222" s="193"/>
    </row>
    <row r="223" spans="1:14" ht="37.5" customHeight="1">
      <c r="A223" s="193"/>
      <c r="B223" s="193"/>
      <c r="C223" s="193"/>
      <c r="D223" s="193"/>
      <c r="E223" s="194"/>
      <c r="F223" s="389"/>
      <c r="G223" s="194"/>
      <c r="H223" s="194"/>
      <c r="I223" s="379"/>
      <c r="J223" s="379"/>
      <c r="K223" s="379"/>
      <c r="L223" s="193"/>
      <c r="M223" s="207"/>
      <c r="N223" s="193"/>
    </row>
    <row r="224" spans="1:14" hidden="1">
      <c r="L224" s="193"/>
    </row>
    <row r="225" spans="1:12" ht="26.25">
      <c r="B225" s="390" t="s">
        <v>551</v>
      </c>
      <c r="D225" s="193"/>
      <c r="L225" s="193"/>
    </row>
    <row r="226" spans="1:12">
      <c r="L226" s="193"/>
    </row>
    <row r="227" spans="1:12" ht="21.75" thickBot="1">
      <c r="A227" s="215"/>
      <c r="B227" s="215"/>
      <c r="C227" s="215"/>
      <c r="D227" s="1179" t="s">
        <v>553</v>
      </c>
      <c r="E227" s="1180"/>
      <c r="F227" s="1180"/>
      <c r="G227" s="1180"/>
      <c r="H227" s="1181"/>
      <c r="L227" s="193"/>
    </row>
    <row r="228" spans="1:12" ht="132" thickBot="1">
      <c r="A228" s="1182" t="s">
        <v>554</v>
      </c>
      <c r="B228" s="1183"/>
      <c r="C228" s="1184"/>
      <c r="D228" s="391" t="s">
        <v>555</v>
      </c>
      <c r="E228" s="392">
        <v>2</v>
      </c>
      <c r="F228" s="392">
        <v>3</v>
      </c>
      <c r="G228" s="392">
        <v>4</v>
      </c>
      <c r="H228" s="392">
        <v>5</v>
      </c>
      <c r="J228" s="567"/>
      <c r="K228" s="567"/>
      <c r="L228" s="568"/>
    </row>
    <row r="229" spans="1:12" ht="63" customHeight="1">
      <c r="A229" s="1185" t="s">
        <v>556</v>
      </c>
      <c r="B229" s="1186"/>
      <c r="C229" s="1187"/>
      <c r="D229" s="393">
        <v>2023</v>
      </c>
      <c r="E229" s="394">
        <f>D229+1</f>
        <v>2024</v>
      </c>
      <c r="F229" s="394">
        <f>E229+1</f>
        <v>2025</v>
      </c>
      <c r="G229" s="394">
        <f>F229+1</f>
        <v>2026</v>
      </c>
      <c r="H229" s="394">
        <f>G229+1</f>
        <v>2027</v>
      </c>
      <c r="J229" s="569"/>
      <c r="K229" s="569"/>
      <c r="L229" s="569"/>
    </row>
    <row r="230" spans="1:12" ht="72" customHeight="1">
      <c r="A230" s="1169" t="s">
        <v>557</v>
      </c>
      <c r="B230" s="1170"/>
      <c r="C230" s="1171"/>
      <c r="D230" s="395" t="s">
        <v>558</v>
      </c>
      <c r="E230" s="396">
        <v>2.4500000000000001E-2</v>
      </c>
      <c r="F230" s="396">
        <v>2.4500000000000001E-2</v>
      </c>
      <c r="G230" s="396">
        <v>2.4500000000000001E-2</v>
      </c>
      <c r="H230" s="396">
        <v>2.4500000000000001E-2</v>
      </c>
      <c r="J230" s="569"/>
      <c r="K230" s="570"/>
      <c r="L230" s="571"/>
    </row>
    <row r="231" spans="1:12" ht="61.5" customHeight="1">
      <c r="A231" s="1172" t="s">
        <v>559</v>
      </c>
      <c r="B231" s="1173"/>
      <c r="C231" s="1174"/>
      <c r="D231" s="395" t="s">
        <v>558</v>
      </c>
      <c r="E231" s="397">
        <v>1.0245</v>
      </c>
      <c r="F231" s="397">
        <v>1.0245</v>
      </c>
      <c r="G231" s="397">
        <v>1.0245</v>
      </c>
      <c r="H231" s="397">
        <v>1.0245</v>
      </c>
      <c r="J231" s="572"/>
      <c r="K231" s="573"/>
      <c r="L231" s="573"/>
    </row>
    <row r="232" spans="1:12" ht="46.5">
      <c r="A232" s="398"/>
      <c r="B232" s="399"/>
      <c r="C232" s="400"/>
      <c r="D232" s="401" t="s">
        <v>553</v>
      </c>
      <c r="E232" s="402">
        <v>2024</v>
      </c>
      <c r="F232" s="402">
        <v>2025</v>
      </c>
      <c r="G232" s="402">
        <v>2026</v>
      </c>
      <c r="H232" s="402">
        <v>2027</v>
      </c>
      <c r="J232" s="568"/>
      <c r="K232" s="574"/>
      <c r="L232" s="575"/>
    </row>
    <row r="233" spans="1:12" ht="68.25" customHeight="1">
      <c r="A233" s="1169" t="s">
        <v>560</v>
      </c>
      <c r="B233" s="1170"/>
      <c r="C233" s="1171"/>
      <c r="D233" s="395" t="s">
        <v>558</v>
      </c>
      <c r="E233" s="396">
        <v>7.0000000000000001E-3</v>
      </c>
      <c r="F233" s="396">
        <v>8.0000000000000002E-3</v>
      </c>
      <c r="G233" s="396">
        <v>8.9999999999999993E-3</v>
      </c>
      <c r="H233" s="396">
        <v>0.01</v>
      </c>
      <c r="I233" s="403"/>
      <c r="J233" s="576"/>
      <c r="K233" s="576"/>
      <c r="L233" s="568"/>
    </row>
    <row r="234" spans="1:12" ht="50.25" customHeight="1">
      <c r="A234" s="1172" t="s">
        <v>561</v>
      </c>
      <c r="B234" s="1173"/>
      <c r="C234" s="1174"/>
      <c r="D234" s="395" t="s">
        <v>558</v>
      </c>
      <c r="E234" s="404">
        <v>1.0069999999999999</v>
      </c>
      <c r="F234" s="404">
        <v>1.008</v>
      </c>
      <c r="G234" s="404">
        <v>1.0089999999999999</v>
      </c>
      <c r="H234" s="405">
        <v>1.01</v>
      </c>
      <c r="I234" s="403"/>
      <c r="J234" s="577"/>
      <c r="K234" s="577"/>
      <c r="L234" s="568"/>
    </row>
    <row r="235" spans="1:12" ht="28.5">
      <c r="A235" s="345"/>
      <c r="B235" s="345"/>
      <c r="C235" s="345"/>
      <c r="D235" s="400" t="s">
        <v>553</v>
      </c>
      <c r="E235" s="402">
        <f>E232</f>
        <v>2024</v>
      </c>
      <c r="F235" s="402">
        <f>F232</f>
        <v>2025</v>
      </c>
      <c r="G235" s="402">
        <f>G232</f>
        <v>2026</v>
      </c>
      <c r="H235" s="402">
        <f>H232</f>
        <v>2027</v>
      </c>
      <c r="I235" s="403"/>
      <c r="J235" s="576"/>
      <c r="K235" s="576"/>
      <c r="L235" s="568"/>
    </row>
    <row r="236" spans="1:12" ht="78.75" customHeight="1">
      <c r="A236" s="1169" t="s">
        <v>562</v>
      </c>
      <c r="B236" s="1170"/>
      <c r="C236" s="1171"/>
      <c r="D236" s="406" t="s">
        <v>558</v>
      </c>
      <c r="E236" s="407">
        <v>0.03</v>
      </c>
      <c r="F236" s="407">
        <v>3.5000000000000003E-2</v>
      </c>
      <c r="G236" s="407">
        <v>3.5000000000000003E-2</v>
      </c>
      <c r="H236" s="407">
        <v>3.2500000000000001E-2</v>
      </c>
      <c r="I236" s="403"/>
      <c r="J236" s="576"/>
      <c r="K236" s="576"/>
      <c r="L236" s="568"/>
    </row>
    <row r="237" spans="1:12" ht="45.75" customHeight="1">
      <c r="A237" s="1172" t="s">
        <v>563</v>
      </c>
      <c r="B237" s="1173"/>
      <c r="C237" s="1174"/>
      <c r="D237" s="406" t="s">
        <v>558</v>
      </c>
      <c r="E237" s="220">
        <v>1.03</v>
      </c>
      <c r="F237" s="220">
        <v>1.0349999999999999</v>
      </c>
      <c r="G237" s="220">
        <v>1.0349999999999999</v>
      </c>
      <c r="H237" s="220">
        <v>1.0325</v>
      </c>
      <c r="I237" s="403"/>
      <c r="J237" s="576"/>
      <c r="K237" s="576"/>
      <c r="L237" s="568"/>
    </row>
    <row r="238" spans="1:12" ht="28.5">
      <c r="A238" s="345"/>
      <c r="B238" s="345"/>
      <c r="C238" s="345"/>
      <c r="D238" s="400" t="s">
        <v>553</v>
      </c>
      <c r="E238" s="408">
        <f>E235</f>
        <v>2024</v>
      </c>
      <c r="F238" s="408">
        <f>F235</f>
        <v>2025</v>
      </c>
      <c r="G238" s="408">
        <f>G235</f>
        <v>2026</v>
      </c>
      <c r="H238" s="408">
        <f>H235</f>
        <v>2027</v>
      </c>
      <c r="I238" s="403"/>
      <c r="J238" s="576"/>
      <c r="K238" s="576"/>
      <c r="L238" s="568"/>
    </row>
    <row r="239" spans="1:12" ht="57" customHeight="1">
      <c r="A239" s="1175" t="s">
        <v>564</v>
      </c>
      <c r="B239" s="1176"/>
      <c r="C239" s="1177"/>
      <c r="D239" s="406" t="s">
        <v>558</v>
      </c>
      <c r="E239" s="407">
        <v>3.2000000000000001E-2</v>
      </c>
      <c r="F239" s="407">
        <v>3.2500000000000001E-2</v>
      </c>
      <c r="G239" s="407">
        <v>3.2000000000000001E-2</v>
      </c>
      <c r="H239" s="407">
        <v>3.1E-2</v>
      </c>
      <c r="I239" s="403"/>
      <c r="J239" s="576"/>
      <c r="K239" s="576"/>
      <c r="L239" s="568"/>
    </row>
    <row r="240" spans="1:12" ht="39.75" customHeight="1">
      <c r="A240" s="1172" t="s">
        <v>565</v>
      </c>
      <c r="B240" s="1173"/>
      <c r="C240" s="1174"/>
      <c r="D240" s="406" t="s">
        <v>558</v>
      </c>
      <c r="E240" s="409">
        <v>1.032</v>
      </c>
      <c r="F240" s="220">
        <v>1.0325</v>
      </c>
      <c r="G240" s="409">
        <v>1.032</v>
      </c>
      <c r="H240" s="409">
        <v>1.0309999999999999</v>
      </c>
      <c r="L240" s="193"/>
    </row>
    <row r="241" spans="1:12">
      <c r="L241" s="193"/>
    </row>
    <row r="242" spans="1:12">
      <c r="L242" s="193"/>
    </row>
    <row r="243" spans="1:12">
      <c r="L243" s="193"/>
    </row>
    <row r="245" spans="1:12" ht="60" customHeight="1">
      <c r="A245" s="227">
        <v>1</v>
      </c>
      <c r="B245" s="1168" t="s">
        <v>801</v>
      </c>
      <c r="C245" s="1165"/>
      <c r="D245" s="1165"/>
      <c r="E245" s="1165"/>
      <c r="F245" s="1165"/>
      <c r="G245" s="1165"/>
      <c r="H245" s="1165"/>
    </row>
    <row r="247" spans="1:12">
      <c r="B247" s="215"/>
      <c r="C247" s="215"/>
      <c r="D247" s="215"/>
      <c r="E247" s="215"/>
      <c r="F247" s="243" t="s">
        <v>567</v>
      </c>
      <c r="G247" s="243" t="s">
        <v>567</v>
      </c>
      <c r="H247" s="243" t="s">
        <v>567</v>
      </c>
      <c r="I247" s="243" t="s">
        <v>567</v>
      </c>
      <c r="J247" s="243" t="s">
        <v>567</v>
      </c>
    </row>
    <row r="248" spans="1:12">
      <c r="B248" s="215"/>
      <c r="C248" s="215"/>
      <c r="D248" s="215"/>
      <c r="E248" s="215"/>
      <c r="F248" s="410">
        <v>1</v>
      </c>
      <c r="G248" s="410">
        <v>2</v>
      </c>
      <c r="H248" s="410">
        <v>3</v>
      </c>
      <c r="I248" s="410">
        <v>4</v>
      </c>
      <c r="J248" s="410">
        <v>5</v>
      </c>
    </row>
    <row r="249" spans="1:12" ht="63" customHeight="1">
      <c r="B249" s="1165" t="s">
        <v>568</v>
      </c>
      <c r="C249" s="1165"/>
      <c r="D249" s="1165"/>
      <c r="E249" s="233"/>
      <c r="F249" s="217">
        <f>D229</f>
        <v>2023</v>
      </c>
      <c r="G249" s="217">
        <f>E229</f>
        <v>2024</v>
      </c>
      <c r="H249" s="217">
        <f>F229</f>
        <v>2025</v>
      </c>
      <c r="I249" s="217">
        <f>G229</f>
        <v>2026</v>
      </c>
      <c r="J249" s="217">
        <f>H229</f>
        <v>2027</v>
      </c>
    </row>
    <row r="250" spans="1:12">
      <c r="B250" s="215"/>
      <c r="C250" s="215"/>
      <c r="D250" s="215"/>
      <c r="E250" s="215"/>
      <c r="F250" s="215"/>
      <c r="G250" s="215"/>
      <c r="H250" s="215"/>
      <c r="I250" s="215"/>
      <c r="J250" s="215"/>
    </row>
    <row r="251" spans="1:12">
      <c r="B251" s="1166" t="s">
        <v>569</v>
      </c>
      <c r="C251" s="1166"/>
      <c r="D251" s="1166"/>
      <c r="E251" s="1166"/>
      <c r="F251" s="215"/>
      <c r="G251" s="411">
        <f>E231</f>
        <v>1.0245</v>
      </c>
      <c r="H251" s="411">
        <f>F231</f>
        <v>1.0245</v>
      </c>
      <c r="I251" s="411">
        <f>G231</f>
        <v>1.0245</v>
      </c>
      <c r="J251" s="411">
        <f>H231</f>
        <v>1.0245</v>
      </c>
    </row>
    <row r="252" spans="1:12">
      <c r="B252" s="1166" t="s">
        <v>570</v>
      </c>
      <c r="C252" s="1166"/>
      <c r="D252" s="1166"/>
      <c r="E252" s="1166"/>
      <c r="F252" s="215"/>
      <c r="G252" s="411">
        <f>E231</f>
        <v>1.0245</v>
      </c>
      <c r="H252" s="411">
        <f>F231</f>
        <v>1.0245</v>
      </c>
      <c r="I252" s="411">
        <f>G231</f>
        <v>1.0245</v>
      </c>
      <c r="J252" s="411">
        <f>H231</f>
        <v>1.0245</v>
      </c>
    </row>
    <row r="253" spans="1:12">
      <c r="B253" s="1166" t="s">
        <v>571</v>
      </c>
      <c r="C253" s="1166"/>
      <c r="D253" s="1166"/>
      <c r="E253" s="1166"/>
      <c r="F253" s="215"/>
      <c r="G253" s="411">
        <f>+E231</f>
        <v>1.0245</v>
      </c>
      <c r="H253" s="411">
        <f t="shared" ref="H253:J253" si="24">+F231</f>
        <v>1.0245</v>
      </c>
      <c r="I253" s="411">
        <f t="shared" si="24"/>
        <v>1.0245</v>
      </c>
      <c r="J253" s="411">
        <f t="shared" si="24"/>
        <v>1.0245</v>
      </c>
    </row>
    <row r="254" spans="1:12" ht="40.5" customHeight="1">
      <c r="B254" s="1166" t="s">
        <v>572</v>
      </c>
      <c r="C254" s="1166"/>
      <c r="D254" s="1166"/>
      <c r="E254" s="1166"/>
      <c r="F254" s="215"/>
      <c r="G254" s="411">
        <f>E234</f>
        <v>1.0069999999999999</v>
      </c>
      <c r="H254" s="411">
        <f>F234</f>
        <v>1.008</v>
      </c>
      <c r="I254" s="411">
        <f>G234</f>
        <v>1.0089999999999999</v>
      </c>
      <c r="J254" s="411">
        <f>H234</f>
        <v>1.01</v>
      </c>
    </row>
    <row r="255" spans="1:12" ht="41.25" customHeight="1">
      <c r="B255" s="1166" t="s">
        <v>573</v>
      </c>
      <c r="C255" s="1166"/>
      <c r="D255" s="1166"/>
      <c r="E255" s="1166"/>
      <c r="F255" s="215"/>
      <c r="G255" s="411">
        <f>E234</f>
        <v>1.0069999999999999</v>
      </c>
      <c r="H255" s="411">
        <f>F234</f>
        <v>1.008</v>
      </c>
      <c r="I255" s="411">
        <f>G234</f>
        <v>1.0089999999999999</v>
      </c>
      <c r="J255" s="411">
        <f>H234</f>
        <v>1.01</v>
      </c>
    </row>
    <row r="256" spans="1:12" ht="41.25" customHeight="1">
      <c r="B256" s="1166" t="s">
        <v>574</v>
      </c>
      <c r="C256" s="1166"/>
      <c r="D256" s="1166"/>
      <c r="E256" s="1166"/>
      <c r="F256" s="215"/>
      <c r="G256" s="411">
        <f>+E234</f>
        <v>1.0069999999999999</v>
      </c>
      <c r="H256" s="411">
        <f t="shared" ref="H256:J256" si="25">+F234</f>
        <v>1.008</v>
      </c>
      <c r="I256" s="411">
        <f t="shared" si="25"/>
        <v>1.0089999999999999</v>
      </c>
      <c r="J256" s="411">
        <f t="shared" si="25"/>
        <v>1.01</v>
      </c>
    </row>
    <row r="257" spans="2:10">
      <c r="B257" s="215"/>
      <c r="C257" s="215"/>
      <c r="D257" s="215"/>
      <c r="E257" s="215"/>
      <c r="F257" s="215"/>
      <c r="G257" s="412"/>
      <c r="H257" s="412"/>
      <c r="I257" s="412"/>
      <c r="J257" s="412"/>
    </row>
    <row r="258" spans="2:10" ht="42" customHeight="1">
      <c r="B258" s="1120" t="s">
        <v>575</v>
      </c>
      <c r="C258" s="1120"/>
      <c r="D258" s="1120"/>
      <c r="E258" s="215"/>
      <c r="F258" s="215"/>
      <c r="G258" s="215"/>
      <c r="H258" s="215"/>
      <c r="I258" s="215"/>
      <c r="J258" s="215"/>
    </row>
    <row r="259" spans="2:10" ht="38.25" customHeight="1">
      <c r="B259" s="1167" t="s">
        <v>538</v>
      </c>
      <c r="C259" s="1167"/>
      <c r="D259" s="1167"/>
      <c r="E259" s="413" t="s">
        <v>576</v>
      </c>
      <c r="F259" s="987">
        <f>P34</f>
        <v>287.97599999999994</v>
      </c>
      <c r="G259" s="987">
        <f>((F259*G251))*G254</f>
        <v>297.09663188399992</v>
      </c>
      <c r="H259" s="987">
        <f>((G259*H251))*H254</f>
        <v>306.81050336007917</v>
      </c>
      <c r="I259" s="987">
        <f>((H259*I251))*I254</f>
        <v>317.15630693863267</v>
      </c>
      <c r="J259" s="987">
        <f>((I259*J251))*J254</f>
        <v>328.17590282321544</v>
      </c>
    </row>
    <row r="260" spans="2:10" ht="38.25" customHeight="1">
      <c r="B260" s="1167" t="s">
        <v>536</v>
      </c>
      <c r="C260" s="1167"/>
      <c r="D260" s="1167"/>
      <c r="E260" s="413" t="s">
        <v>577</v>
      </c>
      <c r="F260" s="987">
        <f>P35</f>
        <v>383.99640000000005</v>
      </c>
      <c r="G260" s="987">
        <f t="shared" ref="G260:J261" si="26">(F260*G252)*G255</f>
        <v>396.1581419826</v>
      </c>
      <c r="H260" s="987">
        <f t="shared" si="26"/>
        <v>409.11092859286305</v>
      </c>
      <c r="I260" s="987">
        <f t="shared" si="26"/>
        <v>422.90635366047866</v>
      </c>
      <c r="J260" s="987">
        <f t="shared" si="26"/>
        <v>437.60023491841201</v>
      </c>
    </row>
    <row r="261" spans="2:10" ht="38.25" customHeight="1">
      <c r="B261" s="1167" t="s">
        <v>380</v>
      </c>
      <c r="C261" s="1167"/>
      <c r="D261" s="1167"/>
      <c r="E261" s="413" t="s">
        <v>578</v>
      </c>
      <c r="F261" s="987">
        <f>+P36</f>
        <v>180.02759999999998</v>
      </c>
      <c r="G261" s="987">
        <f t="shared" si="26"/>
        <v>185.72934413339993</v>
      </c>
      <c r="H261" s="987">
        <f t="shared" si="26"/>
        <v>191.80195076918557</v>
      </c>
      <c r="I261" s="987">
        <f t="shared" si="26"/>
        <v>198.26960845009788</v>
      </c>
      <c r="J261" s="987">
        <f t="shared" si="26"/>
        <v>205.15848599569654</v>
      </c>
    </row>
    <row r="262" spans="2:10">
      <c r="B262" s="215"/>
      <c r="C262" s="215"/>
      <c r="D262" s="215"/>
      <c r="E262" s="215"/>
      <c r="F262" s="215"/>
      <c r="G262" s="215"/>
      <c r="H262" s="215"/>
      <c r="I262" s="215"/>
      <c r="J262" s="215"/>
    </row>
    <row r="263" spans="2:10" ht="63" customHeight="1">
      <c r="B263" s="1165" t="s">
        <v>579</v>
      </c>
      <c r="C263" s="1165"/>
      <c r="D263" s="1165"/>
      <c r="E263" s="215"/>
      <c r="F263" s="215"/>
      <c r="G263" s="215"/>
      <c r="H263" s="215"/>
      <c r="I263" s="215"/>
      <c r="J263" s="215"/>
    </row>
    <row r="264" spans="2:10">
      <c r="B264" s="215"/>
      <c r="C264" s="215"/>
      <c r="D264" s="215"/>
      <c r="E264" s="215"/>
      <c r="F264" s="215"/>
      <c r="G264" s="215"/>
      <c r="H264" s="215"/>
      <c r="I264" s="215"/>
      <c r="J264" s="215"/>
    </row>
    <row r="265" spans="2:10" ht="39" customHeight="1">
      <c r="B265" s="1166" t="s">
        <v>827</v>
      </c>
      <c r="C265" s="1166"/>
      <c r="D265" s="1166"/>
      <c r="E265" s="1166"/>
      <c r="F265" s="215"/>
      <c r="G265" s="414">
        <f>E237</f>
        <v>1.03</v>
      </c>
      <c r="H265" s="414">
        <f>F237</f>
        <v>1.0349999999999999</v>
      </c>
      <c r="I265" s="414">
        <f>G237</f>
        <v>1.0349999999999999</v>
      </c>
      <c r="J265" s="414">
        <f>H237</f>
        <v>1.0325</v>
      </c>
    </row>
    <row r="266" spans="2:10" ht="39" customHeight="1">
      <c r="B266" s="1166" t="s">
        <v>825</v>
      </c>
      <c r="C266" s="1166"/>
      <c r="D266" s="1166"/>
      <c r="E266" s="1166"/>
      <c r="F266" s="215"/>
      <c r="G266" s="414">
        <f>E237</f>
        <v>1.03</v>
      </c>
      <c r="H266" s="414">
        <f>F237</f>
        <v>1.0349999999999999</v>
      </c>
      <c r="I266" s="414">
        <f>G237</f>
        <v>1.0349999999999999</v>
      </c>
      <c r="J266" s="414">
        <f>H237</f>
        <v>1.0325</v>
      </c>
    </row>
    <row r="267" spans="2:10" ht="39" customHeight="1">
      <c r="B267" s="1166" t="s">
        <v>826</v>
      </c>
      <c r="C267" s="1166"/>
      <c r="D267" s="1166"/>
      <c r="E267" s="1166"/>
      <c r="F267" s="215"/>
      <c r="G267" s="414">
        <f>+E237</f>
        <v>1.03</v>
      </c>
      <c r="H267" s="414">
        <f t="shared" ref="H267:J267" si="27">+F237</f>
        <v>1.0349999999999999</v>
      </c>
      <c r="I267" s="414">
        <f t="shared" si="27"/>
        <v>1.0349999999999999</v>
      </c>
      <c r="J267" s="414">
        <f t="shared" si="27"/>
        <v>1.0325</v>
      </c>
    </row>
    <row r="268" spans="2:10">
      <c r="B268" s="215"/>
      <c r="C268" s="215"/>
      <c r="D268" s="215"/>
      <c r="E268" s="215"/>
      <c r="F268" s="215"/>
      <c r="G268" s="415"/>
      <c r="H268" s="415"/>
      <c r="I268" s="415"/>
      <c r="J268" s="415"/>
    </row>
    <row r="269" spans="2:10" ht="61.5" customHeight="1">
      <c r="B269" s="1156" t="s">
        <v>581</v>
      </c>
      <c r="C269" s="1156"/>
      <c r="D269" s="1156"/>
      <c r="E269" s="413" t="s">
        <v>577</v>
      </c>
      <c r="F269" s="416">
        <f>G24</f>
        <v>2048.5</v>
      </c>
      <c r="G269" s="416">
        <f t="shared" ref="G269:J271" si="28">F269*G265</f>
        <v>2109.9549999999999</v>
      </c>
      <c r="H269" s="416">
        <f t="shared" si="28"/>
        <v>2183.8034249999996</v>
      </c>
      <c r="I269" s="416">
        <f t="shared" si="28"/>
        <v>2260.2365448749993</v>
      </c>
      <c r="J269" s="416">
        <f t="shared" si="28"/>
        <v>2333.6942325834366</v>
      </c>
    </row>
    <row r="270" spans="2:10" ht="61.5" customHeight="1">
      <c r="B270" s="1156" t="s">
        <v>580</v>
      </c>
      <c r="C270" s="1156"/>
      <c r="D270" s="1156"/>
      <c r="E270" s="413" t="s">
        <v>576</v>
      </c>
      <c r="F270" s="416">
        <f>+G25</f>
        <v>1311</v>
      </c>
      <c r="G270" s="416">
        <f t="shared" si="28"/>
        <v>1350.33</v>
      </c>
      <c r="H270" s="416">
        <f t="shared" si="28"/>
        <v>1397.5915499999999</v>
      </c>
      <c r="I270" s="416">
        <f t="shared" si="28"/>
        <v>1446.5072542499997</v>
      </c>
      <c r="J270" s="416">
        <f t="shared" si="28"/>
        <v>1493.5187400131247</v>
      </c>
    </row>
    <row r="271" spans="2:10" ht="73.5" customHeight="1">
      <c r="B271" s="1156" t="s">
        <v>582</v>
      </c>
      <c r="C271" s="1156"/>
      <c r="D271" s="1156"/>
      <c r="E271" s="413" t="s">
        <v>578</v>
      </c>
      <c r="F271" s="416">
        <f>+G26</f>
        <v>783.33333333333337</v>
      </c>
      <c r="G271" s="416">
        <f t="shared" si="28"/>
        <v>806.83333333333337</v>
      </c>
      <c r="H271" s="416">
        <f t="shared" si="28"/>
        <v>835.07249999999999</v>
      </c>
      <c r="I271" s="416">
        <f t="shared" si="28"/>
        <v>864.30003749999992</v>
      </c>
      <c r="J271" s="416">
        <f t="shared" si="28"/>
        <v>892.38978871874986</v>
      </c>
    </row>
    <row r="272" spans="2:10">
      <c r="B272" s="417"/>
      <c r="C272" s="417"/>
      <c r="D272" s="417"/>
      <c r="E272" s="417"/>
      <c r="F272" s="418"/>
      <c r="G272" s="418"/>
      <c r="H272" s="418"/>
      <c r="I272" s="418"/>
      <c r="J272" s="418"/>
    </row>
    <row r="273" spans="1:11" ht="58.5" customHeight="1">
      <c r="B273" s="1159" t="s">
        <v>583</v>
      </c>
      <c r="C273" s="1160"/>
      <c r="D273" s="1160"/>
      <c r="E273" s="1160"/>
      <c r="F273" s="1160"/>
      <c r="G273" s="1160"/>
      <c r="H273" s="1160"/>
      <c r="I273" s="1160"/>
      <c r="J273" s="1161"/>
    </row>
    <row r="274" spans="1:11">
      <c r="B274" s="419"/>
      <c r="C274" s="419"/>
      <c r="D274" s="419"/>
      <c r="E274" s="419"/>
      <c r="F274" s="420" t="s">
        <v>521</v>
      </c>
      <c r="G274" s="420" t="s">
        <v>521</v>
      </c>
      <c r="H274" s="420" t="s">
        <v>521</v>
      </c>
      <c r="I274" s="421" t="s">
        <v>521</v>
      </c>
      <c r="J274" s="421" t="s">
        <v>521</v>
      </c>
    </row>
    <row r="275" spans="1:11" ht="84" customHeight="1">
      <c r="B275" s="1151" t="s">
        <v>584</v>
      </c>
      <c r="C275" s="1151"/>
      <c r="D275" s="1151"/>
      <c r="E275" s="1151"/>
      <c r="F275" s="220">
        <f>F249</f>
        <v>2023</v>
      </c>
      <c r="G275" s="220">
        <f>G249</f>
        <v>2024</v>
      </c>
      <c r="H275" s="220">
        <f>H249</f>
        <v>2025</v>
      </c>
      <c r="I275" s="220">
        <f>I249</f>
        <v>2026</v>
      </c>
      <c r="J275" s="220">
        <f>J249</f>
        <v>2027</v>
      </c>
    </row>
    <row r="276" spans="1:11">
      <c r="B276" s="1162" t="s">
        <v>538</v>
      </c>
      <c r="C276" s="1163"/>
      <c r="D276" s="1163"/>
      <c r="E276" s="1164"/>
      <c r="F276" s="283">
        <f>P43</f>
        <v>589918.83600000001</v>
      </c>
      <c r="G276" s="283">
        <f>G259*G269</f>
        <v>626860.52392680501</v>
      </c>
      <c r="H276" s="283">
        <f>H259*H269</f>
        <v>670013.82806371478</v>
      </c>
      <c r="I276" s="283">
        <f t="shared" ref="G276:J277" si="29">I259*I269</f>
        <v>716848.27538028988</v>
      </c>
      <c r="J276" s="283">
        <f t="shared" si="29"/>
        <v>765862.21169140027</v>
      </c>
    </row>
    <row r="277" spans="1:11">
      <c r="B277" s="1162" t="s">
        <v>536</v>
      </c>
      <c r="C277" s="1163"/>
      <c r="D277" s="1163"/>
      <c r="E277" s="1164"/>
      <c r="F277" s="283">
        <f>P44</f>
        <v>503419.28040000005</v>
      </c>
      <c r="G277" s="283">
        <f t="shared" si="29"/>
        <v>534944.2238633642</v>
      </c>
      <c r="H277" s="283">
        <f t="shared" si="29"/>
        <v>571769.9768140387</v>
      </c>
      <c r="I277" s="283">
        <f t="shared" si="29"/>
        <v>611737.10843829834</v>
      </c>
      <c r="J277" s="283">
        <f t="shared" si="29"/>
        <v>653564.1514847941</v>
      </c>
    </row>
    <row r="278" spans="1:11">
      <c r="B278" s="1162" t="str">
        <f t="shared" ref="B278" si="30">+B261</f>
        <v>SERVICIO DE IMPORTACIÓN</v>
      </c>
      <c r="C278" s="1163"/>
      <c r="D278" s="1163"/>
      <c r="E278" s="1164"/>
      <c r="F278" s="283">
        <f>+P45</f>
        <v>141021.62000000002</v>
      </c>
      <c r="G278" s="283">
        <f>+G261*G271</f>
        <v>149852.62582496487</v>
      </c>
      <c r="H278" s="283">
        <f t="shared" ref="H278:J278" si="31">+H261*H271</f>
        <v>160168.5345337007</v>
      </c>
      <c r="I278" s="283">
        <f t="shared" si="31"/>
        <v>171364.43001852991</v>
      </c>
      <c r="J278" s="283">
        <f t="shared" si="31"/>
        <v>183081.33797155824</v>
      </c>
    </row>
    <row r="279" spans="1:11" ht="42" customHeight="1">
      <c r="B279" s="1152" t="s">
        <v>585</v>
      </c>
      <c r="C279" s="1153"/>
      <c r="D279" s="1153"/>
      <c r="E279" s="1154"/>
      <c r="F279" s="283">
        <f>SUM(F276:F278)</f>
        <v>1234359.7364000003</v>
      </c>
      <c r="G279" s="283">
        <f>SUM(G276:G278)</f>
        <v>1311657.373615134</v>
      </c>
      <c r="H279" s="283">
        <f>SUM(H276:H278)</f>
        <v>1401952.339411454</v>
      </c>
      <c r="I279" s="283">
        <f>SUM(I276:I278)</f>
        <v>1499949.8138371182</v>
      </c>
      <c r="J279" s="283">
        <f>SUM(J276:J278)</f>
        <v>1602507.7011477528</v>
      </c>
    </row>
    <row r="280" spans="1:11">
      <c r="B280" s="215"/>
      <c r="C280" s="215"/>
      <c r="D280" s="215"/>
      <c r="E280" s="215"/>
      <c r="F280" s="215"/>
      <c r="G280" s="215"/>
      <c r="H280" s="215"/>
      <c r="I280" s="215"/>
      <c r="J280" s="215"/>
      <c r="K280" s="192" t="s">
        <v>586</v>
      </c>
    </row>
    <row r="281" spans="1:11">
      <c r="B281" s="215"/>
      <c r="C281" s="215"/>
      <c r="D281" s="215"/>
      <c r="E281" s="215"/>
      <c r="F281" s="215"/>
      <c r="G281" s="215"/>
      <c r="H281" s="215"/>
      <c r="I281" s="215"/>
      <c r="J281" s="215"/>
    </row>
    <row r="282" spans="1:11">
      <c r="B282" s="215"/>
      <c r="C282" s="215"/>
      <c r="D282" s="215"/>
      <c r="E282" s="215"/>
      <c r="F282" s="215"/>
      <c r="G282" s="215"/>
      <c r="H282" s="215"/>
      <c r="I282" s="215"/>
      <c r="J282" s="215"/>
    </row>
    <row r="283" spans="1:11">
      <c r="B283" s="215"/>
      <c r="C283" s="215"/>
      <c r="D283" s="215"/>
      <c r="E283" s="215"/>
      <c r="F283" s="215"/>
      <c r="G283" s="215"/>
      <c r="H283" s="215"/>
      <c r="I283" s="215"/>
      <c r="J283" s="215"/>
    </row>
    <row r="284" spans="1:11" ht="59.25" customHeight="1">
      <c r="A284" s="227">
        <v>2</v>
      </c>
      <c r="B284" s="1126" t="s">
        <v>587</v>
      </c>
      <c r="C284" s="1126"/>
      <c r="D284" s="1126"/>
      <c r="E284" s="1126"/>
      <c r="F284" s="1126"/>
      <c r="G284" s="1126"/>
      <c r="H284" s="1126"/>
      <c r="I284" s="1126"/>
      <c r="J284" s="1126"/>
    </row>
    <row r="285" spans="1:11">
      <c r="B285" s="207"/>
      <c r="C285" s="207"/>
      <c r="D285" s="207"/>
      <c r="E285" s="207"/>
      <c r="F285" s="193"/>
    </row>
    <row r="286" spans="1:11">
      <c r="B286" s="417"/>
      <c r="C286" s="417"/>
      <c r="D286" s="417"/>
      <c r="E286" s="417"/>
      <c r="F286" s="422" t="s">
        <v>521</v>
      </c>
      <c r="G286" s="422" t="s">
        <v>521</v>
      </c>
      <c r="H286" s="422" t="s">
        <v>521</v>
      </c>
      <c r="I286" s="422" t="s">
        <v>521</v>
      </c>
      <c r="J286" s="422" t="s">
        <v>521</v>
      </c>
    </row>
    <row r="287" spans="1:11">
      <c r="B287" s="417"/>
      <c r="C287" s="417"/>
      <c r="D287" s="417"/>
      <c r="E287" s="417"/>
      <c r="F287" s="423">
        <v>1</v>
      </c>
      <c r="G287" s="423">
        <v>2</v>
      </c>
      <c r="H287" s="423">
        <v>3</v>
      </c>
      <c r="I287" s="423">
        <v>4</v>
      </c>
      <c r="J287" s="423">
        <v>5</v>
      </c>
    </row>
    <row r="288" spans="1:11">
      <c r="B288" s="417"/>
      <c r="C288" s="417"/>
      <c r="D288" s="417"/>
      <c r="E288" s="417"/>
      <c r="F288" s="243">
        <f>F275</f>
        <v>2023</v>
      </c>
      <c r="G288" s="243">
        <f>G275</f>
        <v>2024</v>
      </c>
      <c r="H288" s="243">
        <f>H275</f>
        <v>2025</v>
      </c>
      <c r="I288" s="243">
        <f>I275</f>
        <v>2026</v>
      </c>
      <c r="J288" s="243">
        <f>J275</f>
        <v>2027</v>
      </c>
    </row>
    <row r="289" spans="2:10">
      <c r="B289" s="1156" t="s">
        <v>828</v>
      </c>
      <c r="C289" s="1156"/>
      <c r="D289" s="1156"/>
      <c r="E289" s="1156"/>
      <c r="F289" s="986">
        <f t="shared" ref="F289:J290" si="32">F259</f>
        <v>287.97599999999994</v>
      </c>
      <c r="G289" s="986">
        <f t="shared" si="32"/>
        <v>297.09663188399992</v>
      </c>
      <c r="H289" s="986">
        <f t="shared" si="32"/>
        <v>306.81050336007917</v>
      </c>
      <c r="I289" s="986">
        <f t="shared" si="32"/>
        <v>317.15630693863267</v>
      </c>
      <c r="J289" s="986">
        <f t="shared" si="32"/>
        <v>328.17590282321544</v>
      </c>
    </row>
    <row r="290" spans="2:10">
      <c r="B290" s="1156" t="s">
        <v>588</v>
      </c>
      <c r="C290" s="1156"/>
      <c r="D290" s="1156"/>
      <c r="E290" s="1156"/>
      <c r="F290" s="986">
        <f t="shared" si="32"/>
        <v>383.99640000000005</v>
      </c>
      <c r="G290" s="986">
        <f t="shared" si="32"/>
        <v>396.1581419826</v>
      </c>
      <c r="H290" s="986">
        <f t="shared" si="32"/>
        <v>409.11092859286305</v>
      </c>
      <c r="I290" s="986">
        <f t="shared" si="32"/>
        <v>422.90635366047866</v>
      </c>
      <c r="J290" s="986">
        <f t="shared" si="32"/>
        <v>437.60023491841201</v>
      </c>
    </row>
    <row r="291" spans="2:10">
      <c r="B291" s="1156" t="s">
        <v>589</v>
      </c>
      <c r="C291" s="1156"/>
      <c r="D291" s="1156"/>
      <c r="E291" s="1156"/>
      <c r="F291" s="986">
        <f>+F261</f>
        <v>180.02759999999998</v>
      </c>
      <c r="G291" s="986">
        <f t="shared" ref="G291:J291" si="33">+G261</f>
        <v>185.72934413339993</v>
      </c>
      <c r="H291" s="986">
        <f t="shared" si="33"/>
        <v>191.80195076918557</v>
      </c>
      <c r="I291" s="986">
        <f t="shared" si="33"/>
        <v>198.26960845009788</v>
      </c>
      <c r="J291" s="986">
        <f t="shared" si="33"/>
        <v>205.15848599569654</v>
      </c>
    </row>
    <row r="292" spans="2:10">
      <c r="B292" s="417"/>
      <c r="C292" s="417"/>
      <c r="D292" s="417"/>
      <c r="E292" s="417"/>
      <c r="F292" s="424"/>
      <c r="G292" s="424"/>
      <c r="H292" s="424"/>
      <c r="I292" s="424"/>
      <c r="J292" s="424"/>
    </row>
    <row r="293" spans="2:10">
      <c r="B293" s="1157" t="s">
        <v>590</v>
      </c>
      <c r="C293" s="1157"/>
      <c r="D293" s="1157"/>
      <c r="E293" s="1158"/>
      <c r="F293" s="424"/>
      <c r="G293" s="424"/>
      <c r="H293" s="424"/>
      <c r="I293" s="424"/>
      <c r="J293" s="424"/>
    </row>
    <row r="294" spans="2:10">
      <c r="B294" s="417"/>
      <c r="C294" s="417"/>
      <c r="D294" s="417"/>
      <c r="E294" s="417"/>
      <c r="F294" s="342"/>
      <c r="G294" s="342"/>
      <c r="H294" s="342"/>
      <c r="I294" s="342"/>
      <c r="J294" s="342"/>
    </row>
    <row r="295" spans="2:10">
      <c r="B295" s="1156" t="s">
        <v>592</v>
      </c>
      <c r="C295" s="1156"/>
      <c r="D295" s="1156"/>
      <c r="E295" s="1156"/>
      <c r="F295" s="342"/>
      <c r="G295" s="282">
        <f>E240</f>
        <v>1.032</v>
      </c>
      <c r="H295" s="282">
        <f>F240</f>
        <v>1.0325</v>
      </c>
      <c r="I295" s="282">
        <f>G240</f>
        <v>1.032</v>
      </c>
      <c r="J295" s="282">
        <f>H240</f>
        <v>1.0309999999999999</v>
      </c>
    </row>
    <row r="296" spans="2:10">
      <c r="B296" s="1156" t="s">
        <v>829</v>
      </c>
      <c r="C296" s="1156"/>
      <c r="D296" s="1156"/>
      <c r="E296" s="1156"/>
      <c r="F296" s="342"/>
      <c r="G296" s="282">
        <f>E240</f>
        <v>1.032</v>
      </c>
      <c r="H296" s="282">
        <f>F240</f>
        <v>1.0325</v>
      </c>
      <c r="I296" s="282">
        <f>G240</f>
        <v>1.032</v>
      </c>
      <c r="J296" s="282">
        <f>H240</f>
        <v>1.0309999999999999</v>
      </c>
    </row>
    <row r="297" spans="2:10">
      <c r="B297" s="1156" t="s">
        <v>593</v>
      </c>
      <c r="C297" s="1156"/>
      <c r="D297" s="1156"/>
      <c r="E297" s="1156"/>
      <c r="F297" s="342"/>
      <c r="G297" s="282">
        <f>+E240</f>
        <v>1.032</v>
      </c>
      <c r="H297" s="282">
        <f>+F240</f>
        <v>1.0325</v>
      </c>
      <c r="I297" s="282">
        <f>+G240</f>
        <v>1.032</v>
      </c>
      <c r="J297" s="282">
        <f>+H240</f>
        <v>1.0309999999999999</v>
      </c>
    </row>
    <row r="298" spans="2:10">
      <c r="B298" s="417"/>
      <c r="C298" s="417"/>
      <c r="D298" s="417"/>
      <c r="E298" s="417"/>
      <c r="F298" s="350"/>
      <c r="G298" s="350"/>
      <c r="H298" s="350"/>
      <c r="I298" s="350"/>
      <c r="J298" s="350"/>
    </row>
    <row r="299" spans="2:10">
      <c r="B299" s="1156" t="s">
        <v>595</v>
      </c>
      <c r="C299" s="1156"/>
      <c r="D299" s="1156"/>
      <c r="E299" s="1156"/>
      <c r="F299" s="425">
        <f>D80</f>
        <v>1303.8</v>
      </c>
      <c r="G299" s="426">
        <f t="shared" ref="G299:J300" si="34">F299*G295</f>
        <v>1345.5216</v>
      </c>
      <c r="H299" s="426">
        <f t="shared" si="34"/>
        <v>1389.2510520000001</v>
      </c>
      <c r="I299" s="426">
        <f t="shared" si="34"/>
        <v>1433.707085664</v>
      </c>
      <c r="J299" s="426">
        <f t="shared" si="34"/>
        <v>1478.1520053195838</v>
      </c>
    </row>
    <row r="300" spans="2:10">
      <c r="B300" s="1156" t="s">
        <v>594</v>
      </c>
      <c r="C300" s="1156"/>
      <c r="D300" s="1156"/>
      <c r="E300" s="1156"/>
      <c r="F300" s="425">
        <f>D77</f>
        <v>803.8</v>
      </c>
      <c r="G300" s="426">
        <f t="shared" si="34"/>
        <v>829.52159999999992</v>
      </c>
      <c r="H300" s="426">
        <f t="shared" si="34"/>
        <v>856.48105199999986</v>
      </c>
      <c r="I300" s="426">
        <f t="shared" si="34"/>
        <v>883.88844566399985</v>
      </c>
      <c r="J300" s="426">
        <f t="shared" si="34"/>
        <v>911.28898747958374</v>
      </c>
    </row>
    <row r="301" spans="2:10">
      <c r="B301" s="1156" t="s">
        <v>596</v>
      </c>
      <c r="C301" s="1156"/>
      <c r="D301" s="1156"/>
      <c r="E301" s="1156"/>
      <c r="F301" s="425">
        <f>+D93</f>
        <v>0</v>
      </c>
      <c r="G301" s="425">
        <f>+F301*G297</f>
        <v>0</v>
      </c>
      <c r="H301" s="425">
        <f>+G301*H297</f>
        <v>0</v>
      </c>
      <c r="I301" s="425">
        <f t="shared" ref="I301:J301" si="35">+H301*I297</f>
        <v>0</v>
      </c>
      <c r="J301" s="425">
        <f t="shared" si="35"/>
        <v>0</v>
      </c>
    </row>
    <row r="302" spans="2:10">
      <c r="B302" s="417"/>
      <c r="C302" s="417"/>
      <c r="D302" s="417"/>
      <c r="E302" s="417"/>
      <c r="F302" s="342"/>
      <c r="G302" s="427"/>
      <c r="H302" s="427"/>
      <c r="I302" s="427"/>
      <c r="J302" s="427"/>
    </row>
    <row r="303" spans="2:10" ht="66.75" customHeight="1">
      <c r="B303" s="1151" t="s">
        <v>597</v>
      </c>
      <c r="C303" s="1151"/>
      <c r="D303" s="1151"/>
      <c r="E303" s="1151"/>
      <c r="F303" s="220">
        <f>F288</f>
        <v>2023</v>
      </c>
      <c r="G303" s="220">
        <f>G288</f>
        <v>2024</v>
      </c>
      <c r="H303" s="220">
        <f>H288</f>
        <v>2025</v>
      </c>
      <c r="I303" s="220">
        <f>I288</f>
        <v>2026</v>
      </c>
      <c r="J303" s="220">
        <f>J288</f>
        <v>2027</v>
      </c>
    </row>
    <row r="304" spans="2:10">
      <c r="B304" s="1152" t="s">
        <v>599</v>
      </c>
      <c r="C304" s="1153"/>
      <c r="D304" s="1153"/>
      <c r="E304" s="1154"/>
      <c r="F304" s="212">
        <f>F289*F299</f>
        <v>375463.10879999993</v>
      </c>
      <c r="G304" s="212">
        <f>G289*G299</f>
        <v>399749.93548717059</v>
      </c>
      <c r="H304" s="212">
        <f>H289*H299</f>
        <v>426236.81455763953</v>
      </c>
      <c r="I304" s="212">
        <f t="shared" ref="F304:J305" si="36">I289*I299</f>
        <v>454709.24452094414</v>
      </c>
      <c r="J304" s="212">
        <f>J289*J299</f>
        <v>485093.86885570077</v>
      </c>
    </row>
    <row r="305" spans="1:10">
      <c r="B305" s="1152" t="s">
        <v>598</v>
      </c>
      <c r="C305" s="1153"/>
      <c r="D305" s="1153"/>
      <c r="E305" s="1154"/>
      <c r="F305" s="212">
        <f t="shared" si="36"/>
        <v>308656.30632000003</v>
      </c>
      <c r="G305" s="212">
        <f t="shared" si="36"/>
        <v>328621.73579043348</v>
      </c>
      <c r="H305" s="212">
        <f>H290*H300</f>
        <v>350395.75850591215</v>
      </c>
      <c r="I305" s="212">
        <f t="shared" si="36"/>
        <v>373802.03959839029</v>
      </c>
      <c r="J305" s="212">
        <f t="shared" si="36"/>
        <v>398780.27499962767</v>
      </c>
    </row>
    <row r="306" spans="1:10">
      <c r="B306" s="1152" t="s">
        <v>600</v>
      </c>
      <c r="C306" s="1153"/>
      <c r="D306" s="1153"/>
      <c r="E306" s="1154"/>
      <c r="F306" s="212">
        <f>+F291*F301</f>
        <v>0</v>
      </c>
      <c r="G306" s="212">
        <f t="shared" ref="G306:J306" si="37">+G291*G301</f>
        <v>0</v>
      </c>
      <c r="H306" s="212">
        <f t="shared" si="37"/>
        <v>0</v>
      </c>
      <c r="I306" s="212">
        <f t="shared" si="37"/>
        <v>0</v>
      </c>
      <c r="J306" s="212">
        <f t="shared" si="37"/>
        <v>0</v>
      </c>
    </row>
    <row r="307" spans="1:10" ht="42" customHeight="1">
      <c r="B307" s="1152" t="s">
        <v>601</v>
      </c>
      <c r="C307" s="1153"/>
      <c r="D307" s="1153"/>
      <c r="E307" s="1154"/>
      <c r="F307" s="283">
        <f>SUM(F304:F306)</f>
        <v>684119.41512000002</v>
      </c>
      <c r="G307" s="283">
        <f>SUM(G304:G306)</f>
        <v>728371.67127760407</v>
      </c>
      <c r="H307" s="283">
        <f>SUM(H304:H306)</f>
        <v>776632.57306355168</v>
      </c>
      <c r="I307" s="283">
        <f>SUM(I304:I306)</f>
        <v>828511.28411933442</v>
      </c>
      <c r="J307" s="283">
        <f>SUM(J304:J306)</f>
        <v>883874.14385532844</v>
      </c>
    </row>
    <row r="313" spans="1:10" ht="63" customHeight="1">
      <c r="A313" s="227">
        <v>3</v>
      </c>
      <c r="B313" s="1155" t="s">
        <v>602</v>
      </c>
      <c r="C313" s="1155"/>
      <c r="D313" s="1155"/>
      <c r="E313" s="1155"/>
      <c r="F313" s="1155"/>
      <c r="G313" s="1155"/>
      <c r="H313" s="1155"/>
      <c r="I313" s="1155"/>
      <c r="J313" s="428"/>
    </row>
    <row r="315" spans="1:10" ht="23.25">
      <c r="E315" s="429" t="str">
        <f t="shared" ref="E315:I317" si="38">F286</f>
        <v>año</v>
      </c>
      <c r="F315" s="429" t="str">
        <f t="shared" si="38"/>
        <v>año</v>
      </c>
      <c r="G315" s="429" t="str">
        <f t="shared" si="38"/>
        <v>año</v>
      </c>
      <c r="H315" s="429" t="str">
        <f t="shared" si="38"/>
        <v>año</v>
      </c>
      <c r="I315" s="429" t="str">
        <f t="shared" si="38"/>
        <v>año</v>
      </c>
    </row>
    <row r="316" spans="1:10" ht="23.25">
      <c r="E316" s="430">
        <f t="shared" si="38"/>
        <v>1</v>
      </c>
      <c r="F316" s="430">
        <f t="shared" si="38"/>
        <v>2</v>
      </c>
      <c r="G316" s="430">
        <f t="shared" si="38"/>
        <v>3</v>
      </c>
      <c r="H316" s="430">
        <f t="shared" si="38"/>
        <v>4</v>
      </c>
      <c r="I316" s="430">
        <f t="shared" si="38"/>
        <v>5</v>
      </c>
    </row>
    <row r="317" spans="1:10" ht="23.25">
      <c r="B317" s="431"/>
      <c r="C317" s="432"/>
      <c r="E317" s="221">
        <f t="shared" si="38"/>
        <v>2023</v>
      </c>
      <c r="F317" s="221">
        <f t="shared" si="38"/>
        <v>2024</v>
      </c>
      <c r="G317" s="221">
        <f t="shared" si="38"/>
        <v>2025</v>
      </c>
      <c r="H317" s="221">
        <f t="shared" si="38"/>
        <v>2026</v>
      </c>
      <c r="I317" s="221">
        <f t="shared" si="38"/>
        <v>2027</v>
      </c>
    </row>
    <row r="318" spans="1:10" ht="24" thickBot="1">
      <c r="B318" s="431"/>
      <c r="C318" s="432"/>
      <c r="E318" s="199"/>
      <c r="F318" s="199"/>
      <c r="G318" s="199"/>
      <c r="H318" s="199"/>
      <c r="I318" s="199"/>
    </row>
    <row r="319" spans="1:10" ht="84.75" customHeight="1" thickBot="1">
      <c r="A319" s="433" t="s">
        <v>803</v>
      </c>
      <c r="B319" s="1138" t="s">
        <v>802</v>
      </c>
      <c r="C319" s="1139"/>
      <c r="D319" s="1140"/>
      <c r="E319" s="434">
        <f>E317</f>
        <v>2023</v>
      </c>
      <c r="F319" s="434">
        <f>F317</f>
        <v>2024</v>
      </c>
      <c r="G319" s="434">
        <f>G317</f>
        <v>2025</v>
      </c>
      <c r="H319" s="434">
        <f>H317</f>
        <v>2026</v>
      </c>
      <c r="I319" s="434">
        <f>I317</f>
        <v>2027</v>
      </c>
    </row>
    <row r="320" spans="1:10" ht="23.25">
      <c r="A320" s="435">
        <v>1.0345</v>
      </c>
      <c r="B320" s="222" t="str">
        <f t="shared" ref="B320:B329" si="39">B118</f>
        <v xml:space="preserve">Luz </v>
      </c>
      <c r="C320" s="218"/>
      <c r="D320" s="218"/>
      <c r="E320" s="436">
        <f t="shared" ref="E320:E329" si="40">R118</f>
        <v>12098.039999999999</v>
      </c>
      <c r="F320" s="437">
        <f>E320*$A$320</f>
        <v>12515.422379999998</v>
      </c>
      <c r="G320" s="437">
        <f>F320*$A$320</f>
        <v>12947.204452109998</v>
      </c>
      <c r="H320" s="437">
        <f>G320*$A$320</f>
        <v>13393.883005707792</v>
      </c>
      <c r="I320" s="437">
        <f>H320*$A$320</f>
        <v>13855.971969404711</v>
      </c>
    </row>
    <row r="321" spans="1:9" ht="23.25">
      <c r="A321" s="435">
        <v>1.01</v>
      </c>
      <c r="B321" s="222" t="str">
        <f t="shared" si="39"/>
        <v>Útiles de oficina</v>
      </c>
      <c r="C321" s="218"/>
      <c r="D321" s="218"/>
      <c r="E321" s="436">
        <f t="shared" si="40"/>
        <v>2400</v>
      </c>
      <c r="F321" s="437">
        <f>E321*$A$321</f>
        <v>2424</v>
      </c>
      <c r="G321" s="437">
        <f>F321*$A$321</f>
        <v>2448.2400000000002</v>
      </c>
      <c r="H321" s="437">
        <f>G321*$A$321</f>
        <v>2472.7224000000001</v>
      </c>
      <c r="I321" s="437">
        <f>H321*$A$321</f>
        <v>2497.4496240000003</v>
      </c>
    </row>
    <row r="322" spans="1:9" ht="23.25">
      <c r="A322" s="435">
        <v>1.04</v>
      </c>
      <c r="B322" s="222" t="str">
        <f t="shared" si="39"/>
        <v>Seguridad Privada</v>
      </c>
      <c r="C322" s="218"/>
      <c r="D322" s="218"/>
      <c r="E322" s="436">
        <f t="shared" si="40"/>
        <v>12000</v>
      </c>
      <c r="F322" s="437">
        <f>E322</f>
        <v>12000</v>
      </c>
      <c r="G322" s="437">
        <f>F322*$A$322</f>
        <v>12480</v>
      </c>
      <c r="H322" s="437">
        <f>G322*$A$322</f>
        <v>12979.2</v>
      </c>
      <c r="I322" s="437">
        <f>H322*$A$322</f>
        <v>13498.368</v>
      </c>
    </row>
    <row r="323" spans="1:9" ht="23.25">
      <c r="A323" s="435">
        <v>1.024</v>
      </c>
      <c r="B323" s="438" t="str">
        <f t="shared" si="39"/>
        <v>Agua</v>
      </c>
      <c r="C323" s="218"/>
      <c r="D323" s="218"/>
      <c r="E323" s="436">
        <f t="shared" si="40"/>
        <v>987</v>
      </c>
      <c r="F323" s="437">
        <f>E323</f>
        <v>987</v>
      </c>
      <c r="G323" s="437">
        <f>F323*$A$323</f>
        <v>1010.688</v>
      </c>
      <c r="H323" s="437">
        <f>G323*$A$323</f>
        <v>1034.944512</v>
      </c>
      <c r="I323" s="437">
        <f>H323*$A$323</f>
        <v>1059.783180288</v>
      </c>
    </row>
    <row r="324" spans="1:9" ht="46.5">
      <c r="A324" s="435">
        <v>1.0349999999999999</v>
      </c>
      <c r="B324" s="222" t="str">
        <f t="shared" si="39"/>
        <v>Cable, telefonía fija e internet</v>
      </c>
      <c r="C324" s="218"/>
      <c r="D324" s="218"/>
      <c r="E324" s="436">
        <f t="shared" si="40"/>
        <v>1894.8000000000002</v>
      </c>
      <c r="F324" s="439">
        <f>E324*$A$324</f>
        <v>1961.1179999999999</v>
      </c>
      <c r="G324" s="439">
        <f>F324*$A$324</f>
        <v>2029.7571299999997</v>
      </c>
      <c r="H324" s="439">
        <f>G324*$A$324</f>
        <v>2100.7986295499995</v>
      </c>
      <c r="I324" s="439">
        <f>H324*$A$324</f>
        <v>2174.3265815842492</v>
      </c>
    </row>
    <row r="325" spans="1:9" ht="46.5">
      <c r="A325" s="435">
        <v>1.05</v>
      </c>
      <c r="B325" s="222" t="str">
        <f t="shared" si="39"/>
        <v>Mantenimiento de equipos</v>
      </c>
      <c r="C325" s="218"/>
      <c r="D325" s="218"/>
      <c r="E325" s="436">
        <f t="shared" si="40"/>
        <v>1000</v>
      </c>
      <c r="F325" s="437">
        <f>E325*A325</f>
        <v>1050</v>
      </c>
      <c r="G325" s="437">
        <f>F325*$A$325</f>
        <v>1102.5</v>
      </c>
      <c r="H325" s="437">
        <f>G325*$A$325</f>
        <v>1157.625</v>
      </c>
      <c r="I325" s="437">
        <f>H325*$A$325</f>
        <v>1215.5062500000001</v>
      </c>
    </row>
    <row r="326" spans="1:9" ht="23.25">
      <c r="A326" s="435">
        <v>1.04</v>
      </c>
      <c r="B326" s="222" t="str">
        <f t="shared" si="39"/>
        <v>Asesoría Contable</v>
      </c>
      <c r="C326" s="218"/>
      <c r="D326" s="218"/>
      <c r="E326" s="436">
        <f t="shared" si="40"/>
        <v>21600</v>
      </c>
      <c r="F326" s="437">
        <f>E326</f>
        <v>21600</v>
      </c>
      <c r="G326" s="437">
        <f>F326*$A$326</f>
        <v>22464</v>
      </c>
      <c r="H326" s="437">
        <f>G326*$A$326</f>
        <v>23362.560000000001</v>
      </c>
      <c r="I326" s="437">
        <f>H326*$A$326</f>
        <v>24297.062400000003</v>
      </c>
    </row>
    <row r="327" spans="1:9" ht="23.25">
      <c r="A327" s="435">
        <v>1.0249999999999999</v>
      </c>
      <c r="B327" s="222" t="str">
        <f t="shared" si="39"/>
        <v xml:space="preserve">Alquiler de oficina </v>
      </c>
      <c r="C327" s="218"/>
      <c r="D327" s="218"/>
      <c r="E327" s="436">
        <f t="shared" si="40"/>
        <v>121200</v>
      </c>
      <c r="F327" s="437">
        <f>E327*$A$327</f>
        <v>124229.99999999999</v>
      </c>
      <c r="G327" s="437">
        <f>F327*$A$327</f>
        <v>127335.74999999997</v>
      </c>
      <c r="H327" s="437">
        <f>G327*$A$327</f>
        <v>130519.14374999996</v>
      </c>
      <c r="I327" s="437">
        <f>H327*$A$327</f>
        <v>133782.12234374994</v>
      </c>
    </row>
    <row r="328" spans="1:9" ht="23.25">
      <c r="A328" s="435">
        <v>1.056</v>
      </c>
      <c r="B328" s="222" t="str">
        <f t="shared" si="39"/>
        <v>Combustible</v>
      </c>
      <c r="C328" s="218"/>
      <c r="D328" s="218"/>
      <c r="E328" s="436">
        <f t="shared" si="40"/>
        <v>11304</v>
      </c>
      <c r="F328" s="437">
        <f>E328*A328</f>
        <v>11937.024000000001</v>
      </c>
      <c r="G328" s="437">
        <f>F328*A328</f>
        <v>12605.497344000001</v>
      </c>
      <c r="H328" s="437">
        <f>G328</f>
        <v>12605.497344000001</v>
      </c>
      <c r="I328" s="437">
        <f>H328*A328</f>
        <v>13311.405195264002</v>
      </c>
    </row>
    <row r="329" spans="1:9" ht="23.25">
      <c r="A329" s="435">
        <v>1.03</v>
      </c>
      <c r="B329" s="222" t="str">
        <f t="shared" si="39"/>
        <v>Asesoría legal</v>
      </c>
      <c r="C329" s="218"/>
      <c r="D329" s="218"/>
      <c r="E329" s="436">
        <f t="shared" si="40"/>
        <v>14400</v>
      </c>
      <c r="F329" s="437">
        <f>+E329</f>
        <v>14400</v>
      </c>
      <c r="G329" s="437">
        <f>F329*$A$329</f>
        <v>14832</v>
      </c>
      <c r="H329" s="437">
        <f>G329*$A$329</f>
        <v>15276.960000000001</v>
      </c>
      <c r="I329" s="437">
        <f>H329*$A$329</f>
        <v>15735.268800000002</v>
      </c>
    </row>
    <row r="330" spans="1:9" ht="23.25">
      <c r="A330" s="435">
        <v>1.05</v>
      </c>
      <c r="B330" s="222" t="str">
        <f>+B128</f>
        <v>Marketing digital</v>
      </c>
      <c r="C330" s="218"/>
      <c r="D330" s="218"/>
      <c r="E330" s="436">
        <f>+R128</f>
        <v>18000</v>
      </c>
      <c r="F330" s="437">
        <f>+E330*$A$330</f>
        <v>18900</v>
      </c>
      <c r="G330" s="437">
        <f t="shared" ref="G330:I330" si="41">+F330*$A$330</f>
        <v>19845</v>
      </c>
      <c r="H330" s="437">
        <f t="shared" si="41"/>
        <v>20837.25</v>
      </c>
      <c r="I330" s="437">
        <f t="shared" si="41"/>
        <v>21879.112499999999</v>
      </c>
    </row>
    <row r="331" spans="1:9" ht="23.25">
      <c r="A331" s="435">
        <v>1.03</v>
      </c>
      <c r="B331" s="438" t="str">
        <f>B129</f>
        <v>Servicio de limpieza</v>
      </c>
      <c r="C331" s="218"/>
      <c r="D331" s="218"/>
      <c r="E331" s="436">
        <f>R129</f>
        <v>6000</v>
      </c>
      <c r="F331" s="437">
        <f>+E331</f>
        <v>6000</v>
      </c>
      <c r="G331" s="437">
        <f>+F331*$A$331</f>
        <v>6180</v>
      </c>
      <c r="H331" s="437">
        <f t="shared" ref="H331:I331" si="42">+G331*$A$331</f>
        <v>6365.4000000000005</v>
      </c>
      <c r="I331" s="437">
        <f t="shared" si="42"/>
        <v>6556.362000000001</v>
      </c>
    </row>
    <row r="332" spans="1:9" ht="46.5">
      <c r="A332" s="440">
        <v>1.0149999999999999</v>
      </c>
      <c r="B332" s="222" t="str">
        <f>B130</f>
        <v>Gastos operativos varios</v>
      </c>
      <c r="C332" s="218"/>
      <c r="D332" s="218"/>
      <c r="E332" s="436">
        <f>R130</f>
        <v>6000</v>
      </c>
      <c r="F332" s="437">
        <f>E332*$A$332</f>
        <v>6089.9999999999991</v>
      </c>
      <c r="G332" s="437">
        <f>F332*$A$332</f>
        <v>6181.3499999999985</v>
      </c>
      <c r="H332" s="437">
        <f>G332*$A$332</f>
        <v>6274.0702499999979</v>
      </c>
      <c r="I332" s="437">
        <f>H332*$A$332</f>
        <v>6368.1813037499969</v>
      </c>
    </row>
    <row r="333" spans="1:9" ht="44.25" customHeight="1">
      <c r="A333" s="215"/>
      <c r="B333" s="1141" t="s">
        <v>604</v>
      </c>
      <c r="C333" s="1141"/>
      <c r="D333" s="1141"/>
      <c r="E333" s="441">
        <f>SUM(E320:E332)</f>
        <v>228883.84</v>
      </c>
      <c r="F333" s="442">
        <f>SUM(F320:F332)</f>
        <v>234094.56437999997</v>
      </c>
      <c r="G333" s="442">
        <f>SUM(G320:G332)</f>
        <v>241461.98692610997</v>
      </c>
      <c r="H333" s="442">
        <f>SUM(H320:H332)</f>
        <v>248380.05489125775</v>
      </c>
      <c r="I333" s="442">
        <f>SUM(I320:I332)</f>
        <v>256230.92014804087</v>
      </c>
    </row>
    <row r="334" spans="1:9" ht="23.25">
      <c r="A334" s="215"/>
      <c r="B334" s="218"/>
      <c r="C334" s="218"/>
      <c r="D334" s="218"/>
      <c r="E334" s="443">
        <f>E319</f>
        <v>2023</v>
      </c>
      <c r="F334" s="443">
        <f>F319</f>
        <v>2024</v>
      </c>
      <c r="G334" s="443">
        <f>G319</f>
        <v>2025</v>
      </c>
      <c r="H334" s="443">
        <f>H319</f>
        <v>2026</v>
      </c>
      <c r="I334" s="443">
        <f>I319</f>
        <v>2027</v>
      </c>
    </row>
    <row r="335" spans="1:9" ht="23.25">
      <c r="A335" s="215"/>
      <c r="B335" s="218" t="str">
        <f>B133</f>
        <v>DEPRECIACIÓN</v>
      </c>
      <c r="C335" s="218"/>
      <c r="D335" s="218"/>
      <c r="E335" s="436">
        <f>R133</f>
        <v>8849.1219999999994</v>
      </c>
      <c r="F335" s="437">
        <f t="shared" ref="F335:I336" si="43">E335</f>
        <v>8849.1219999999994</v>
      </c>
      <c r="G335" s="437">
        <f t="shared" si="43"/>
        <v>8849.1219999999994</v>
      </c>
      <c r="H335" s="437">
        <f t="shared" si="43"/>
        <v>8849.1219999999994</v>
      </c>
      <c r="I335" s="437">
        <f t="shared" si="43"/>
        <v>8849.1219999999994</v>
      </c>
    </row>
    <row r="336" spans="1:9" ht="23.25">
      <c r="A336" s="215"/>
      <c r="B336" s="218" t="str">
        <f>B134</f>
        <v>AMORTIZACIÓN</v>
      </c>
      <c r="C336" s="218"/>
      <c r="D336" s="218"/>
      <c r="E336" s="436">
        <f>R134</f>
        <v>542.15</v>
      </c>
      <c r="F336" s="437">
        <f t="shared" si="43"/>
        <v>542.15</v>
      </c>
      <c r="G336" s="437">
        <f t="shared" si="43"/>
        <v>542.15</v>
      </c>
      <c r="H336" s="437">
        <f t="shared" si="43"/>
        <v>542.15</v>
      </c>
      <c r="I336" s="437">
        <f t="shared" si="43"/>
        <v>542.15</v>
      </c>
    </row>
    <row r="337" spans="1:10" ht="23.25">
      <c r="A337" s="215"/>
      <c r="B337" s="218"/>
      <c r="C337" s="218"/>
      <c r="D337" s="218"/>
      <c r="E337" s="444"/>
      <c r="F337" s="445"/>
      <c r="G337" s="445"/>
      <c r="H337" s="445"/>
      <c r="I337" s="445"/>
    </row>
    <row r="338" spans="1:10" ht="23.25">
      <c r="A338" s="215"/>
      <c r="B338" s="1141" t="s">
        <v>605</v>
      </c>
      <c r="C338" s="1141"/>
      <c r="D338" s="1141"/>
      <c r="E338" s="446">
        <f>E333+E335+E336</f>
        <v>238275.11199999999</v>
      </c>
      <c r="F338" s="447">
        <f>F333+F335+F336</f>
        <v>243485.83637999996</v>
      </c>
      <c r="G338" s="447">
        <f>G333+G335+G336</f>
        <v>250853.25892610996</v>
      </c>
      <c r="H338" s="447">
        <f>H333+H335+H336</f>
        <v>257771.32689125775</v>
      </c>
      <c r="I338" s="447">
        <f>I333+I335+I336</f>
        <v>265622.19214804086</v>
      </c>
    </row>
    <row r="339" spans="1:10">
      <c r="A339" s="215"/>
      <c r="B339" s="215"/>
      <c r="C339" s="215"/>
      <c r="D339" s="215"/>
      <c r="E339" s="295"/>
      <c r="F339" s="310"/>
      <c r="G339" s="310"/>
      <c r="H339" s="310"/>
      <c r="I339" s="310"/>
    </row>
    <row r="340" spans="1:10" ht="21.75" thickBot="1"/>
    <row r="341" spans="1:10" ht="41.25" customHeight="1" thickBot="1">
      <c r="A341" s="448">
        <v>4</v>
      </c>
      <c r="B341" s="1142" t="s">
        <v>606</v>
      </c>
      <c r="C341" s="1143"/>
      <c r="D341" s="1143"/>
      <c r="E341" s="1143"/>
      <c r="F341" s="1143"/>
      <c r="G341" s="1143"/>
      <c r="H341" s="1143"/>
      <c r="I341" s="1144"/>
      <c r="J341" s="379"/>
    </row>
    <row r="343" spans="1:10" ht="105" customHeight="1">
      <c r="A343" s="919" t="s">
        <v>803</v>
      </c>
      <c r="B343" s="1145" t="s">
        <v>607</v>
      </c>
      <c r="C343" s="1146"/>
      <c r="D343" s="1147"/>
      <c r="E343" s="449">
        <f>E317</f>
        <v>2023</v>
      </c>
      <c r="F343" s="220">
        <f>F317</f>
        <v>2024</v>
      </c>
      <c r="G343" s="220">
        <f>G317</f>
        <v>2025</v>
      </c>
      <c r="H343" s="220">
        <f>H317</f>
        <v>2026</v>
      </c>
      <c r="I343" s="220">
        <f>I317</f>
        <v>2027</v>
      </c>
    </row>
    <row r="344" spans="1:10">
      <c r="A344" s="450">
        <v>1.06</v>
      </c>
      <c r="B344" s="324" t="str">
        <f>B144</f>
        <v>Jefe Administrativo</v>
      </c>
      <c r="C344" s="218"/>
      <c r="D344" s="218"/>
      <c r="E344" s="451">
        <f>R144</f>
        <v>30000</v>
      </c>
      <c r="F344" s="324">
        <f t="shared" ref="F344:F348" si="44">E344</f>
        <v>30000</v>
      </c>
      <c r="G344" s="324">
        <f>F344*A344</f>
        <v>31800</v>
      </c>
      <c r="H344" s="324">
        <f t="shared" ref="H344:H348" si="45">G344</f>
        <v>31800</v>
      </c>
      <c r="I344" s="324">
        <f>H344*A344</f>
        <v>33708</v>
      </c>
    </row>
    <row r="345" spans="1:10">
      <c r="A345" s="450">
        <v>1.06</v>
      </c>
      <c r="B345" s="324" t="str">
        <f>B145</f>
        <v>Jefe de Logística</v>
      </c>
      <c r="C345" s="218"/>
      <c r="D345" s="218"/>
      <c r="E345" s="451">
        <f>R145</f>
        <v>25200</v>
      </c>
      <c r="F345" s="324">
        <f>+E345</f>
        <v>25200</v>
      </c>
      <c r="G345" s="324">
        <f t="shared" ref="G345:G348" si="46">F345*A345</f>
        <v>26712</v>
      </c>
      <c r="H345" s="324">
        <f t="shared" si="45"/>
        <v>26712</v>
      </c>
      <c r="I345" s="324">
        <f t="shared" ref="I345:I348" si="47">H345*A345</f>
        <v>28314.720000000001</v>
      </c>
    </row>
    <row r="346" spans="1:10">
      <c r="A346" s="450">
        <v>1.04</v>
      </c>
      <c r="B346" s="324" t="str">
        <f>B146</f>
        <v>Recepcionista</v>
      </c>
      <c r="C346" s="218"/>
      <c r="D346" s="218"/>
      <c r="E346" s="451">
        <f>R146</f>
        <v>14400</v>
      </c>
      <c r="F346" s="324">
        <f t="shared" si="44"/>
        <v>14400</v>
      </c>
      <c r="G346" s="324">
        <f t="shared" si="46"/>
        <v>14976</v>
      </c>
      <c r="H346" s="324">
        <f t="shared" si="45"/>
        <v>14976</v>
      </c>
      <c r="I346" s="324">
        <f t="shared" si="47"/>
        <v>15575.04</v>
      </c>
    </row>
    <row r="347" spans="1:10">
      <c r="A347" s="450">
        <v>1.02</v>
      </c>
      <c r="B347" s="324" t="str">
        <f>B147</f>
        <v>Motorizado</v>
      </c>
      <c r="C347" s="218"/>
      <c r="D347" s="218"/>
      <c r="E347" s="452">
        <f>R147</f>
        <v>11160</v>
      </c>
      <c r="F347" s="283">
        <f t="shared" si="44"/>
        <v>11160</v>
      </c>
      <c r="G347" s="283">
        <f t="shared" si="46"/>
        <v>11383.2</v>
      </c>
      <c r="H347" s="283">
        <f t="shared" si="45"/>
        <v>11383.2</v>
      </c>
      <c r="I347" s="283">
        <f t="shared" si="47"/>
        <v>11610.864000000001</v>
      </c>
    </row>
    <row r="348" spans="1:10" ht="42">
      <c r="A348" s="450">
        <v>1.06</v>
      </c>
      <c r="B348" s="324" t="str">
        <f>B148</f>
        <v>Analista de importaciones</v>
      </c>
      <c r="C348" s="218"/>
      <c r="D348" s="218"/>
      <c r="E348" s="452">
        <f>R148</f>
        <v>22800</v>
      </c>
      <c r="F348" s="283">
        <f t="shared" si="44"/>
        <v>22800</v>
      </c>
      <c r="G348" s="283">
        <f t="shared" si="46"/>
        <v>24168</v>
      </c>
      <c r="H348" s="283">
        <f t="shared" si="45"/>
        <v>24168</v>
      </c>
      <c r="I348" s="283">
        <f t="shared" si="47"/>
        <v>25618.080000000002</v>
      </c>
    </row>
    <row r="349" spans="1:10">
      <c r="B349" s="1148" t="str">
        <f>B150</f>
        <v>SUB-TOTAL</v>
      </c>
      <c r="C349" s="1149"/>
      <c r="D349" s="1150"/>
      <c r="E349" s="453">
        <f>SUM(E344:E348)</f>
        <v>103560</v>
      </c>
      <c r="F349" s="454">
        <f>SUM(F344:F348)</f>
        <v>103560</v>
      </c>
      <c r="G349" s="454">
        <f>SUM(G344:G348)</f>
        <v>109039.2</v>
      </c>
      <c r="H349" s="454">
        <f>SUM(H344:H348)</f>
        <v>109039.2</v>
      </c>
      <c r="I349" s="454">
        <f>SUM(I344:I348)</f>
        <v>114826.70400000001</v>
      </c>
    </row>
    <row r="350" spans="1:10">
      <c r="B350" s="455" t="str">
        <f>B152</f>
        <v>Gratificación julio</v>
      </c>
      <c r="C350" s="218"/>
      <c r="D350" s="1120" t="s">
        <v>804</v>
      </c>
      <c r="E350" s="452">
        <f>(E349/12)*50%</f>
        <v>4315</v>
      </c>
      <c r="F350" s="452">
        <f>(F349/12)*50%</f>
        <v>4315</v>
      </c>
      <c r="G350" s="452">
        <f>(G349/12)*50%</f>
        <v>4543.3</v>
      </c>
      <c r="H350" s="452">
        <f>(H349/12)*50%</f>
        <v>4543.3</v>
      </c>
      <c r="I350" s="452">
        <f>(I349/12)*50%</f>
        <v>4784.4460000000008</v>
      </c>
    </row>
    <row r="351" spans="1:10">
      <c r="B351" s="455" t="str">
        <f>B153</f>
        <v>Gratifica. diciembre</v>
      </c>
      <c r="C351" s="218"/>
      <c r="D351" s="1120"/>
      <c r="E351" s="452">
        <f>E350</f>
        <v>4315</v>
      </c>
      <c r="F351" s="283">
        <f t="shared" ref="F351:I352" si="48">F350</f>
        <v>4315</v>
      </c>
      <c r="G351" s="283">
        <f t="shared" si="48"/>
        <v>4543.3</v>
      </c>
      <c r="H351" s="283">
        <f t="shared" si="48"/>
        <v>4543.3</v>
      </c>
      <c r="I351" s="283">
        <f t="shared" si="48"/>
        <v>4784.4460000000008</v>
      </c>
    </row>
    <row r="352" spans="1:10">
      <c r="B352" s="455" t="str">
        <f>B154</f>
        <v>CTS</v>
      </c>
      <c r="C352" s="218"/>
      <c r="D352" s="1120"/>
      <c r="E352" s="452">
        <f>E351</f>
        <v>4315</v>
      </c>
      <c r="F352" s="283">
        <f t="shared" si="48"/>
        <v>4315</v>
      </c>
      <c r="G352" s="283">
        <f t="shared" si="48"/>
        <v>4543.3</v>
      </c>
      <c r="H352" s="283">
        <f t="shared" si="48"/>
        <v>4543.3</v>
      </c>
      <c r="I352" s="283">
        <f t="shared" si="48"/>
        <v>4784.4460000000008</v>
      </c>
    </row>
    <row r="353" spans="1:12">
      <c r="B353" s="455" t="str">
        <f>B155</f>
        <v>ESSALUD/SIS</v>
      </c>
      <c r="C353" s="250">
        <v>60</v>
      </c>
      <c r="D353" s="1120"/>
      <c r="E353" s="452">
        <f>Q155</f>
        <v>2160</v>
      </c>
      <c r="F353" s="283">
        <f>E353</f>
        <v>2160</v>
      </c>
      <c r="G353" s="283">
        <f>F353</f>
        <v>2160</v>
      </c>
      <c r="H353" s="283">
        <f>G353</f>
        <v>2160</v>
      </c>
      <c r="I353" s="283">
        <f>H353</f>
        <v>2160</v>
      </c>
    </row>
    <row r="354" spans="1:12">
      <c r="B354" s="455" t="str">
        <f>B156</f>
        <v>Vacaciones</v>
      </c>
      <c r="C354" s="218"/>
      <c r="D354" s="1120"/>
      <c r="E354" s="452">
        <f>((E349/12))*50%</f>
        <v>4315</v>
      </c>
      <c r="F354" s="452">
        <f>(F349/12)*50%</f>
        <v>4315</v>
      </c>
      <c r="G354" s="452">
        <f>(G349/12)*50%</f>
        <v>4543.3</v>
      </c>
      <c r="H354" s="452">
        <f>(H349/12)*50%</f>
        <v>4543.3</v>
      </c>
      <c r="I354" s="452">
        <f>(I349/12)*50%</f>
        <v>4784.4460000000008</v>
      </c>
    </row>
    <row r="355" spans="1:12" ht="42" customHeight="1">
      <c r="B355" s="1134" t="s">
        <v>608</v>
      </c>
      <c r="C355" s="1134"/>
      <c r="D355" s="1134"/>
      <c r="E355" s="456">
        <f>SUM(E349:E354)</f>
        <v>122980</v>
      </c>
      <c r="F355" s="457">
        <f>SUM(F349:F354)</f>
        <v>122980</v>
      </c>
      <c r="G355" s="457">
        <f>SUM(G349:G354)</f>
        <v>129372.40000000001</v>
      </c>
      <c r="H355" s="457">
        <f>SUM(H349:H354)</f>
        <v>129372.40000000001</v>
      </c>
      <c r="I355" s="457">
        <f>SUM(I349:I354)</f>
        <v>136124.48800000001</v>
      </c>
    </row>
    <row r="356" spans="1:12" ht="42" customHeight="1">
      <c r="A356" s="193"/>
      <c r="B356" s="458"/>
      <c r="C356" s="458"/>
      <c r="D356" s="458"/>
      <c r="E356" s="459"/>
      <c r="F356" s="459"/>
      <c r="G356" s="459"/>
      <c r="H356" s="459"/>
      <c r="I356" s="459"/>
    </row>
    <row r="357" spans="1:12">
      <c r="A357" s="460"/>
      <c r="B357" s="461"/>
      <c r="C357" s="462"/>
      <c r="D357" s="462"/>
      <c r="E357" s="462"/>
      <c r="F357" s="462"/>
      <c r="G357" s="462"/>
      <c r="H357" s="462"/>
      <c r="I357" s="462"/>
    </row>
    <row r="358" spans="1:12" ht="21.75" thickBot="1">
      <c r="B358" s="215"/>
      <c r="C358" s="215"/>
      <c r="D358" s="215"/>
      <c r="E358" s="215"/>
      <c r="F358" s="215"/>
      <c r="G358" s="215"/>
      <c r="H358" s="215"/>
      <c r="I358" s="215"/>
    </row>
    <row r="359" spans="1:12" ht="126" customHeight="1" thickBot="1">
      <c r="B359" s="1135" t="s">
        <v>609</v>
      </c>
      <c r="C359" s="1136"/>
      <c r="D359" s="200"/>
      <c r="E359" s="1135" t="s">
        <v>610</v>
      </c>
      <c r="F359" s="1137"/>
      <c r="G359" s="1137"/>
      <c r="H359" s="1137"/>
      <c r="I359" s="1136"/>
      <c r="J359" s="198"/>
      <c r="K359" s="193"/>
    </row>
    <row r="360" spans="1:12" ht="23.25">
      <c r="B360" s="197"/>
      <c r="C360" s="197"/>
      <c r="D360" s="197"/>
      <c r="E360" s="197"/>
      <c r="F360" s="197"/>
      <c r="G360" s="197"/>
      <c r="H360" s="197"/>
      <c r="I360" s="197"/>
      <c r="J360" s="197"/>
    </row>
    <row r="361" spans="1:12" ht="39" customHeight="1">
      <c r="B361" s="404">
        <v>10.1</v>
      </c>
      <c r="C361" s="197"/>
      <c r="D361" s="197"/>
      <c r="E361" s="1117" t="s">
        <v>611</v>
      </c>
      <c r="F361" s="1117"/>
      <c r="G361" s="1117"/>
      <c r="H361" s="1117"/>
      <c r="I361" s="1117"/>
      <c r="J361" s="197"/>
    </row>
    <row r="362" spans="1:12" ht="63" customHeight="1">
      <c r="B362" s="1102" t="s">
        <v>612</v>
      </c>
      <c r="C362" s="1103"/>
      <c r="D362" s="463">
        <v>2022</v>
      </c>
      <c r="E362" s="464">
        <f>D362+1</f>
        <v>2023</v>
      </c>
      <c r="F362" s="464">
        <f>E362+1</f>
        <v>2024</v>
      </c>
      <c r="G362" s="464">
        <f>F362+1</f>
        <v>2025</v>
      </c>
      <c r="H362" s="464">
        <f>G362+1</f>
        <v>2026</v>
      </c>
      <c r="I362" s="464">
        <f>H362+1</f>
        <v>2027</v>
      </c>
      <c r="J362" s="198"/>
      <c r="K362" s="207"/>
      <c r="L362" s="193"/>
    </row>
    <row r="363" spans="1:12" ht="23.25">
      <c r="B363" s="465" t="s">
        <v>613</v>
      </c>
      <c r="C363" s="465"/>
      <c r="D363" s="466">
        <v>0</v>
      </c>
      <c r="E363" s="466">
        <v>1</v>
      </c>
      <c r="F363" s="466">
        <v>2</v>
      </c>
      <c r="G363" s="466">
        <v>3</v>
      </c>
      <c r="H363" s="466">
        <v>4</v>
      </c>
      <c r="I363" s="466">
        <v>5</v>
      </c>
      <c r="J363" s="197"/>
    </row>
    <row r="364" spans="1:12" ht="23.25">
      <c r="A364" s="467" t="s">
        <v>614</v>
      </c>
      <c r="B364" s="468" t="s">
        <v>615</v>
      </c>
      <c r="C364" s="469"/>
      <c r="D364" s="470"/>
      <c r="E364" s="470">
        <f>F279</f>
        <v>1234359.7364000003</v>
      </c>
      <c r="F364" s="470">
        <f>G279</f>
        <v>1311657.373615134</v>
      </c>
      <c r="G364" s="470">
        <f>H279</f>
        <v>1401952.339411454</v>
      </c>
      <c r="H364" s="470">
        <f>I279</f>
        <v>1499949.8138371182</v>
      </c>
      <c r="I364" s="470">
        <f>J279</f>
        <v>1602507.7011477528</v>
      </c>
      <c r="J364" s="471"/>
      <c r="K364" s="472"/>
    </row>
    <row r="365" spans="1:12" ht="26.25">
      <c r="A365" s="473" t="s">
        <v>616</v>
      </c>
      <c r="B365" s="1130" t="s">
        <v>617</v>
      </c>
      <c r="C365" s="1131"/>
      <c r="D365" s="470"/>
      <c r="E365" s="470">
        <f>F307</f>
        <v>684119.41512000002</v>
      </c>
      <c r="F365" s="470">
        <f>G307</f>
        <v>728371.67127760407</v>
      </c>
      <c r="G365" s="470">
        <f>H307</f>
        <v>776632.57306355168</v>
      </c>
      <c r="H365" s="470">
        <f>I307</f>
        <v>828511.28411933442</v>
      </c>
      <c r="I365" s="470">
        <f>J307</f>
        <v>883874.14385532844</v>
      </c>
      <c r="J365" s="471"/>
      <c r="K365" s="472"/>
    </row>
    <row r="366" spans="1:12" ht="47.25" customHeight="1">
      <c r="A366" s="473" t="s">
        <v>616</v>
      </c>
      <c r="B366" s="1130" t="s">
        <v>618</v>
      </c>
      <c r="C366" s="1131"/>
      <c r="D366" s="474" t="s">
        <v>619</v>
      </c>
      <c r="E366" s="475">
        <f>E333+E355</f>
        <v>351863.83999999997</v>
      </c>
      <c r="F366" s="475">
        <f>F333+F355</f>
        <v>357074.56438</v>
      </c>
      <c r="G366" s="475">
        <f>G333+G355</f>
        <v>370834.38692610996</v>
      </c>
      <c r="H366" s="475">
        <f>H333+H355</f>
        <v>377752.45489125774</v>
      </c>
      <c r="I366" s="475">
        <f>I333+I355</f>
        <v>392355.40814804088</v>
      </c>
      <c r="J366" s="471"/>
      <c r="K366" s="472"/>
    </row>
    <row r="367" spans="1:12" ht="26.25">
      <c r="A367" s="473" t="s">
        <v>616</v>
      </c>
      <c r="B367" s="469" t="s">
        <v>526</v>
      </c>
      <c r="C367" s="1102" t="s">
        <v>620</v>
      </c>
      <c r="D367" s="1103"/>
      <c r="E367" s="476">
        <f>E335</f>
        <v>8849.1219999999994</v>
      </c>
      <c r="F367" s="476">
        <f>F335</f>
        <v>8849.1219999999994</v>
      </c>
      <c r="G367" s="476">
        <f>G335</f>
        <v>8849.1219999999994</v>
      </c>
      <c r="H367" s="476">
        <f>H335</f>
        <v>8849.1219999999994</v>
      </c>
      <c r="I367" s="476">
        <f>I335</f>
        <v>8849.1219999999994</v>
      </c>
      <c r="J367" s="471"/>
      <c r="K367" s="472"/>
    </row>
    <row r="368" spans="1:12" ht="26.25">
      <c r="A368" s="473" t="s">
        <v>616</v>
      </c>
      <c r="B368" s="469" t="s">
        <v>527</v>
      </c>
      <c r="C368" s="1102" t="s">
        <v>621</v>
      </c>
      <c r="D368" s="1103"/>
      <c r="E368" s="475">
        <f>E336</f>
        <v>542.15</v>
      </c>
      <c r="F368" s="475">
        <f>F336</f>
        <v>542.15</v>
      </c>
      <c r="G368" s="475">
        <f>G336</f>
        <v>542.15</v>
      </c>
      <c r="H368" s="475">
        <f>H336</f>
        <v>542.15</v>
      </c>
      <c r="I368" s="475">
        <f>I336</f>
        <v>542.15</v>
      </c>
      <c r="J368" s="471"/>
      <c r="K368" s="472"/>
    </row>
    <row r="369" spans="1:11" ht="23.25">
      <c r="A369" s="477"/>
      <c r="B369" s="1132" t="s">
        <v>622</v>
      </c>
      <c r="C369" s="1133"/>
      <c r="D369" s="478"/>
      <c r="E369" s="478">
        <f>E364-E365-E366-E367-E368</f>
        <v>188985.2092800003</v>
      </c>
      <c r="F369" s="478">
        <f>F364-F365-F366-F367-F368</f>
        <v>216819.86595752998</v>
      </c>
      <c r="G369" s="478">
        <f>G364-G365-G366-G367-G368</f>
        <v>245094.1074217924</v>
      </c>
      <c r="H369" s="478">
        <f>H364-H365-H366-H367-H368</f>
        <v>284294.80282652605</v>
      </c>
      <c r="I369" s="478">
        <f>I364-I365-I366-I367-I368</f>
        <v>316886.8771443835</v>
      </c>
      <c r="J369" s="471"/>
      <c r="K369" s="472"/>
    </row>
    <row r="370" spans="1:11" ht="23.25">
      <c r="A370" s="479" t="s">
        <v>616</v>
      </c>
      <c r="B370" s="468" t="s">
        <v>623</v>
      </c>
      <c r="C370" s="480"/>
      <c r="D370" s="470"/>
      <c r="E370" s="470">
        <v>0</v>
      </c>
      <c r="F370" s="470">
        <v>0</v>
      </c>
      <c r="G370" s="470">
        <v>0</v>
      </c>
      <c r="H370" s="470">
        <v>0</v>
      </c>
      <c r="I370" s="480">
        <v>0</v>
      </c>
      <c r="J370" s="471"/>
      <c r="K370" s="472"/>
    </row>
    <row r="371" spans="1:11" ht="23.25">
      <c r="A371" s="479" t="s">
        <v>616</v>
      </c>
      <c r="B371" s="1130" t="s">
        <v>624</v>
      </c>
      <c r="C371" s="1131"/>
      <c r="D371" s="470"/>
      <c r="E371" s="470">
        <v>0</v>
      </c>
      <c r="F371" s="470">
        <v>0</v>
      </c>
      <c r="G371" s="470">
        <v>0</v>
      </c>
      <c r="H371" s="470">
        <v>0</v>
      </c>
      <c r="I371" s="480">
        <v>0</v>
      </c>
      <c r="J371" s="197"/>
    </row>
    <row r="372" spans="1:11" ht="23.25">
      <c r="A372" s="479"/>
      <c r="B372" s="1102" t="s">
        <v>625</v>
      </c>
      <c r="C372" s="1103"/>
      <c r="D372" s="478"/>
      <c r="E372" s="478">
        <f>E369-E370-E371</f>
        <v>188985.2092800003</v>
      </c>
      <c r="F372" s="478">
        <f>F369-F370-F371</f>
        <v>216819.86595752998</v>
      </c>
      <c r="G372" s="478">
        <f>G369-G370-G371</f>
        <v>245094.1074217924</v>
      </c>
      <c r="H372" s="478">
        <f>H369-H370-H371</f>
        <v>284294.80282652605</v>
      </c>
      <c r="I372" s="478">
        <f>I369-I370-I371</f>
        <v>316886.8771443835</v>
      </c>
      <c r="J372" s="197"/>
    </row>
    <row r="373" spans="1:11" ht="23.25">
      <c r="A373" s="479" t="s">
        <v>616</v>
      </c>
      <c r="B373" s="469" t="s">
        <v>626</v>
      </c>
      <c r="C373" s="480"/>
      <c r="D373" s="481">
        <v>0.01</v>
      </c>
      <c r="E373" s="470">
        <f>E364*$D$373</f>
        <v>12343.597364000003</v>
      </c>
      <c r="F373" s="470">
        <f>F364*$D$373</f>
        <v>13116.57373615134</v>
      </c>
      <c r="G373" s="470">
        <f>G364*$D$373</f>
        <v>14019.523394114542</v>
      </c>
      <c r="H373" s="470">
        <f>H364*$D$373</f>
        <v>14999.498138371182</v>
      </c>
      <c r="I373" s="470">
        <f>I364*$D$373</f>
        <v>16025.077011477528</v>
      </c>
      <c r="J373" s="197"/>
    </row>
    <row r="374" spans="1:11" ht="139.5">
      <c r="B374" s="1102" t="s">
        <v>627</v>
      </c>
      <c r="C374" s="1103"/>
      <c r="D374" s="287" t="s">
        <v>628</v>
      </c>
      <c r="E374" s="482">
        <f>E372-E373</f>
        <v>176641.61191600029</v>
      </c>
      <c r="F374" s="482">
        <f>F372-F373</f>
        <v>203703.29222137865</v>
      </c>
      <c r="G374" s="482">
        <f>G372-G373</f>
        <v>231074.58402767786</v>
      </c>
      <c r="H374" s="482">
        <f>H372-H373</f>
        <v>269295.30468815489</v>
      </c>
      <c r="I374" s="482">
        <f>I372-I373</f>
        <v>300861.80013290595</v>
      </c>
      <c r="J374" s="197"/>
    </row>
    <row r="375" spans="1:11" ht="26.25">
      <c r="A375" s="483" t="s">
        <v>629</v>
      </c>
      <c r="B375" s="484" t="s">
        <v>526</v>
      </c>
      <c r="C375" s="480"/>
      <c r="D375" s="470"/>
      <c r="E375" s="470">
        <f>E367</f>
        <v>8849.1219999999994</v>
      </c>
      <c r="F375" s="470">
        <f t="shared" ref="F375:I376" si="49">F367</f>
        <v>8849.1219999999994</v>
      </c>
      <c r="G375" s="470">
        <f t="shared" si="49"/>
        <v>8849.1219999999994</v>
      </c>
      <c r="H375" s="470">
        <f t="shared" si="49"/>
        <v>8849.1219999999994</v>
      </c>
      <c r="I375" s="470">
        <f t="shared" si="49"/>
        <v>8849.1219999999994</v>
      </c>
      <c r="J375" s="197"/>
    </row>
    <row r="376" spans="1:11" ht="26.25">
      <c r="A376" s="483" t="s">
        <v>629</v>
      </c>
      <c r="B376" s="484" t="s">
        <v>527</v>
      </c>
      <c r="C376" s="480"/>
      <c r="D376" s="480"/>
      <c r="E376" s="470">
        <f>E368</f>
        <v>542.15</v>
      </c>
      <c r="F376" s="470">
        <f t="shared" si="49"/>
        <v>542.15</v>
      </c>
      <c r="G376" s="470">
        <f t="shared" si="49"/>
        <v>542.15</v>
      </c>
      <c r="H376" s="470">
        <f t="shared" si="49"/>
        <v>542.15</v>
      </c>
      <c r="I376" s="470">
        <f t="shared" si="49"/>
        <v>542.15</v>
      </c>
      <c r="J376" s="197"/>
    </row>
    <row r="377" spans="1:11" ht="26.25">
      <c r="A377" s="483" t="s">
        <v>629</v>
      </c>
      <c r="B377" s="484" t="s">
        <v>623</v>
      </c>
      <c r="C377" s="480"/>
      <c r="D377" s="480"/>
      <c r="E377" s="319">
        <f>E370</f>
        <v>0</v>
      </c>
      <c r="F377" s="319">
        <f t="shared" ref="F377:I378" si="50">F370</f>
        <v>0</v>
      </c>
      <c r="G377" s="319">
        <f t="shared" si="50"/>
        <v>0</v>
      </c>
      <c r="H377" s="319">
        <f t="shared" si="50"/>
        <v>0</v>
      </c>
      <c r="I377" s="319">
        <f t="shared" si="50"/>
        <v>0</v>
      </c>
      <c r="J377" s="197"/>
    </row>
    <row r="378" spans="1:11" ht="26.25">
      <c r="A378" s="483" t="s">
        <v>629</v>
      </c>
      <c r="B378" s="484" t="s">
        <v>624</v>
      </c>
      <c r="C378" s="480"/>
      <c r="D378" s="480"/>
      <c r="E378" s="319">
        <f>E371</f>
        <v>0</v>
      </c>
      <c r="F378" s="319">
        <f t="shared" si="50"/>
        <v>0</v>
      </c>
      <c r="G378" s="319">
        <f t="shared" si="50"/>
        <v>0</v>
      </c>
      <c r="H378" s="319">
        <f t="shared" si="50"/>
        <v>0</v>
      </c>
      <c r="I378" s="319">
        <f t="shared" si="50"/>
        <v>0</v>
      </c>
      <c r="J378" s="197"/>
    </row>
    <row r="379" spans="1:11" ht="55.5" customHeight="1">
      <c r="A379" s="228"/>
      <c r="B379" s="1102" t="s">
        <v>630</v>
      </c>
      <c r="C379" s="1103"/>
      <c r="D379" s="201">
        <v>2022</v>
      </c>
      <c r="E379" s="485">
        <f>E374+E375+E376+E377+E378</f>
        <v>186032.88391600028</v>
      </c>
      <c r="F379" s="485">
        <f>F374+F375+F376+F377+F378</f>
        <v>213094.56422137865</v>
      </c>
      <c r="G379" s="485">
        <f>G374+G375+G376+G377+G378</f>
        <v>240465.85602767786</v>
      </c>
      <c r="H379" s="485">
        <f>H374+H375+H376+H377+H378</f>
        <v>278686.57668815489</v>
      </c>
      <c r="I379" s="485">
        <f>I374+I375+I376+I377+I378</f>
        <v>310253.07213290595</v>
      </c>
      <c r="J379" s="197"/>
    </row>
    <row r="380" spans="1:11" ht="23.25">
      <c r="B380" s="1114" t="s">
        <v>631</v>
      </c>
      <c r="C380" s="1105"/>
      <c r="D380" s="475">
        <f>-D183</f>
        <v>-79471.002999999997</v>
      </c>
      <c r="E380" s="480"/>
      <c r="F380" s="480"/>
      <c r="G380" s="480"/>
      <c r="H380" s="480"/>
      <c r="I380" s="480"/>
      <c r="J380" s="197"/>
    </row>
    <row r="381" spans="1:11" ht="23.25">
      <c r="B381" s="302"/>
      <c r="C381" s="197"/>
      <c r="D381" s="486">
        <f>D379</f>
        <v>2022</v>
      </c>
      <c r="E381" s="487">
        <f>D381+1</f>
        <v>2023</v>
      </c>
      <c r="F381" s="487">
        <f>E381+1</f>
        <v>2024</v>
      </c>
      <c r="G381" s="488">
        <f>F381+1</f>
        <v>2025</v>
      </c>
      <c r="H381" s="487">
        <f>G381+1</f>
        <v>2026</v>
      </c>
      <c r="I381" s="487">
        <f>H381+1</f>
        <v>2027</v>
      </c>
      <c r="J381" s="197"/>
    </row>
    <row r="382" spans="1:11" ht="65.25" customHeight="1">
      <c r="B382" s="1102" t="s">
        <v>632</v>
      </c>
      <c r="C382" s="1103"/>
      <c r="D382" s="213">
        <f>D380</f>
        <v>-79471.002999999997</v>
      </c>
      <c r="E382" s="213">
        <f>E379</f>
        <v>186032.88391600028</v>
      </c>
      <c r="F382" s="213">
        <f>F379</f>
        <v>213094.56422137865</v>
      </c>
      <c r="G382" s="213">
        <f>G379</f>
        <v>240465.85602767786</v>
      </c>
      <c r="H382" s="213">
        <f>H379</f>
        <v>278686.57668815489</v>
      </c>
      <c r="I382" s="213">
        <f>I379</f>
        <v>310253.07213290595</v>
      </c>
      <c r="J382" s="489">
        <f>SUM(E382:I383)</f>
        <v>1228532.9529861177</v>
      </c>
    </row>
    <row r="383" spans="1:11" ht="33.75">
      <c r="A383" s="490">
        <v>10.199999999999999</v>
      </c>
      <c r="B383" s="201" t="s">
        <v>633</v>
      </c>
      <c r="C383" s="491">
        <f>E186</f>
        <v>0.26392900000000002</v>
      </c>
      <c r="D383" s="492"/>
      <c r="E383" s="493"/>
      <c r="F383" s="493"/>
      <c r="G383" s="493"/>
      <c r="H383" s="493"/>
      <c r="I383" s="493"/>
    </row>
    <row r="384" spans="1:11" ht="69.75">
      <c r="A384" s="1129" t="s">
        <v>634</v>
      </c>
      <c r="B384" s="202" t="s">
        <v>635</v>
      </c>
      <c r="C384" s="494" t="s">
        <v>636</v>
      </c>
      <c r="D384" s="287">
        <f>NPV(C383,E382:I382)+D382</f>
        <v>525583.74302191054</v>
      </c>
      <c r="E384" s="495"/>
      <c r="F384" s="496"/>
      <c r="G384" s="495"/>
      <c r="H384" s="495"/>
      <c r="I384" s="495"/>
      <c r="J384" s="497"/>
    </row>
    <row r="385" spans="1:11" ht="69.75">
      <c r="A385" s="1129"/>
      <c r="B385" s="202" t="s">
        <v>637</v>
      </c>
      <c r="C385" s="494" t="s">
        <v>638</v>
      </c>
      <c r="D385" s="498">
        <f>IRR(D382:I382)</f>
        <v>2.4739344005604096</v>
      </c>
      <c r="E385" s="499"/>
      <c r="F385" s="500"/>
      <c r="G385" s="499"/>
      <c r="H385" s="499"/>
      <c r="I385" s="499"/>
    </row>
    <row r="386" spans="1:11" ht="67.5" customHeight="1">
      <c r="A386" s="1129"/>
      <c r="B386" s="202" t="s">
        <v>639</v>
      </c>
      <c r="C386" s="494" t="s">
        <v>640</v>
      </c>
      <c r="D386" s="287">
        <f>NPV(C383,E382:I382)/-D380</f>
        <v>7.6135284969526635</v>
      </c>
      <c r="E386" s="1126" t="s">
        <v>641</v>
      </c>
      <c r="F386" s="1126"/>
      <c r="G386" s="1126"/>
      <c r="H386" s="1126"/>
      <c r="I386" s="501">
        <f>D386-1</f>
        <v>6.6135284969526635</v>
      </c>
      <c r="J386" s="474"/>
    </row>
    <row r="387" spans="1:11" ht="116.25">
      <c r="A387" s="1129"/>
      <c r="B387" s="202" t="s">
        <v>642</v>
      </c>
      <c r="C387" s="494" t="s">
        <v>643</v>
      </c>
      <c r="D387" s="312"/>
      <c r="E387" s="201">
        <v>2023</v>
      </c>
      <c r="F387" s="201">
        <f>E387+1</f>
        <v>2024</v>
      </c>
      <c r="G387" s="201">
        <f>F387+1</f>
        <v>2025</v>
      </c>
      <c r="H387" s="201">
        <f>G387+1</f>
        <v>2026</v>
      </c>
      <c r="I387" s="201">
        <f>H387+1</f>
        <v>2027</v>
      </c>
    </row>
    <row r="388" spans="1:11" ht="51.75" customHeight="1">
      <c r="B388" s="201" t="s">
        <v>264</v>
      </c>
      <c r="C388" s="201" t="s">
        <v>644</v>
      </c>
      <c r="D388" s="213" t="s">
        <v>645</v>
      </c>
      <c r="E388" s="1106" t="s">
        <v>647</v>
      </c>
      <c r="F388" s="1128"/>
      <c r="G388" s="1128"/>
      <c r="H388" s="1128"/>
      <c r="I388" s="1107"/>
      <c r="J388" s="356"/>
      <c r="K388" s="244"/>
    </row>
    <row r="389" spans="1:11" ht="23.25">
      <c r="B389" s="204">
        <v>0</v>
      </c>
      <c r="C389" s="480"/>
      <c r="D389" s="470">
        <f>-D382</f>
        <v>79471.002999999997</v>
      </c>
      <c r="E389" s="502">
        <f>E382/(1+$C$383)^(1)</f>
        <v>147186.18206877148</v>
      </c>
      <c r="F389" s="502">
        <f>F382/(1+$C$383)^(2)</f>
        <v>133391.14929220453</v>
      </c>
      <c r="G389" s="502">
        <f>G382/(1+$C$383)^(3)</f>
        <v>119092.76638867187</v>
      </c>
      <c r="H389" s="502">
        <f>H382/(1+$C$383)^(4)</f>
        <v>109200.67845682485</v>
      </c>
      <c r="I389" s="503">
        <f>I382/(1+$C$383)^(5)</f>
        <v>96183.969815437755</v>
      </c>
      <c r="J389" s="327">
        <f>SUM(E389:I389)</f>
        <v>605054.74602191045</v>
      </c>
      <c r="K389" s="363"/>
    </row>
    <row r="390" spans="1:11" ht="23.25">
      <c r="B390" s="204">
        <v>1</v>
      </c>
      <c r="C390" s="319">
        <f>E389</f>
        <v>147186.18206877148</v>
      </c>
      <c r="D390" s="470">
        <f>D389-C390</f>
        <v>-67715.179068771482</v>
      </c>
      <c r="E390" s="499"/>
      <c r="F390" s="499"/>
      <c r="G390" s="499"/>
      <c r="H390" s="499"/>
      <c r="I390" s="499"/>
      <c r="J390" s="504">
        <f>D382</f>
        <v>-79471.002999999997</v>
      </c>
      <c r="K390" s="244"/>
    </row>
    <row r="391" spans="1:11" ht="23.25">
      <c r="B391" s="204">
        <v>2</v>
      </c>
      <c r="C391" s="319">
        <f>F389</f>
        <v>133391.14929220453</v>
      </c>
      <c r="D391" s="470">
        <f>D390-C391</f>
        <v>-201106.32836097601</v>
      </c>
      <c r="E391" s="499"/>
      <c r="F391" s="499"/>
      <c r="G391" s="499"/>
      <c r="H391" s="499"/>
      <c r="I391" s="201" t="s">
        <v>648</v>
      </c>
      <c r="J391" s="327">
        <f>SUM(J389:J390)</f>
        <v>525583.74302191043</v>
      </c>
      <c r="K391" s="505"/>
    </row>
    <row r="392" spans="1:11" ht="23.25">
      <c r="B392" s="204">
        <v>3</v>
      </c>
      <c r="C392" s="319">
        <f>G389</f>
        <v>119092.76638867187</v>
      </c>
      <c r="D392" s="470">
        <f>D391-C392</f>
        <v>-320199.09474964789</v>
      </c>
      <c r="E392" s="506" t="s">
        <v>567</v>
      </c>
      <c r="F392" s="506" t="s">
        <v>649</v>
      </c>
      <c r="G392" s="506" t="s">
        <v>650</v>
      </c>
      <c r="H392" s="499"/>
      <c r="I392" s="499"/>
    </row>
    <row r="393" spans="1:11" ht="23.25">
      <c r="B393" s="204">
        <v>4</v>
      </c>
      <c r="C393" s="319">
        <f>H389</f>
        <v>109200.67845682485</v>
      </c>
      <c r="D393" s="470">
        <f>D392-C393</f>
        <v>-429399.77320647275</v>
      </c>
      <c r="E393" s="506">
        <v>0</v>
      </c>
      <c r="F393" s="506">
        <v>6</v>
      </c>
      <c r="G393" s="506">
        <v>14</v>
      </c>
      <c r="H393" s="499"/>
      <c r="I393" s="499"/>
    </row>
    <row r="394" spans="1:11" ht="23.25">
      <c r="A394" s="228"/>
      <c r="B394" s="204">
        <v>5</v>
      </c>
      <c r="C394" s="319">
        <f>I389</f>
        <v>96183.969815437755</v>
      </c>
      <c r="D394" s="470">
        <f>D393-C394</f>
        <v>-525583.74302191054</v>
      </c>
      <c r="E394" s="507"/>
      <c r="F394" s="506">
        <f>(D389/C390)*12</f>
        <v>6.4792225913871055</v>
      </c>
      <c r="G394" s="506">
        <f>(F394-F393)*30</f>
        <v>14.376677741613166</v>
      </c>
      <c r="H394" s="499"/>
      <c r="I394" s="495"/>
    </row>
    <row r="395" spans="1:11">
      <c r="B395" s="215"/>
      <c r="C395" s="508"/>
      <c r="D395" s="509"/>
      <c r="E395" s="207"/>
      <c r="F395" s="194"/>
      <c r="G395" s="194"/>
      <c r="H395" s="207"/>
      <c r="I395" s="510"/>
    </row>
    <row r="396" spans="1:11" ht="45" customHeight="1">
      <c r="B396" s="511">
        <v>10.5</v>
      </c>
      <c r="C396" s="1127" t="s">
        <v>651</v>
      </c>
      <c r="D396" s="1127"/>
      <c r="E396" s="1127"/>
      <c r="F396" s="1127"/>
      <c r="G396" s="1127"/>
      <c r="H396" s="207"/>
      <c r="I396" s="215"/>
    </row>
    <row r="397" spans="1:11">
      <c r="B397" s="215"/>
      <c r="C397" s="508"/>
      <c r="D397" s="509"/>
      <c r="E397" s="207"/>
      <c r="F397" s="194"/>
      <c r="G397" s="194"/>
      <c r="H397" s="207"/>
      <c r="I397" s="215"/>
    </row>
    <row r="398" spans="1:11" ht="45.75" customHeight="1">
      <c r="B398" s="1126" t="s">
        <v>652</v>
      </c>
      <c r="C398" s="1126"/>
      <c r="D398" s="1126"/>
      <c r="E398" s="1126"/>
      <c r="F398" s="1126"/>
      <c r="G398" s="1126"/>
      <c r="H398" s="207"/>
      <c r="I398" s="207"/>
      <c r="J398" s="193"/>
      <c r="K398" s="193"/>
    </row>
    <row r="399" spans="1:11" ht="55.5" customHeight="1">
      <c r="B399" s="1126" t="s">
        <v>653</v>
      </c>
      <c r="C399" s="1126"/>
      <c r="D399" s="1126"/>
      <c r="E399" s="1126"/>
      <c r="F399" s="1126"/>
      <c r="G399" s="1126"/>
      <c r="H399" s="207"/>
      <c r="I399" s="207"/>
      <c r="J399" s="193"/>
      <c r="K399" s="193"/>
    </row>
    <row r="400" spans="1:11" ht="41.25" customHeight="1">
      <c r="B400" s="1126" t="s">
        <v>654</v>
      </c>
      <c r="C400" s="1126"/>
      <c r="D400" s="1126"/>
      <c r="E400" s="1126"/>
      <c r="F400" s="1126"/>
      <c r="G400" s="1126"/>
      <c r="H400" s="207"/>
      <c r="I400" s="207"/>
      <c r="J400" s="193"/>
      <c r="K400" s="193"/>
    </row>
    <row r="401" spans="2:12">
      <c r="B401" s="215"/>
      <c r="C401" s="508"/>
      <c r="D401" s="509"/>
      <c r="E401" s="207"/>
      <c r="F401" s="194"/>
      <c r="G401" s="194"/>
      <c r="H401" s="207"/>
      <c r="I401" s="215"/>
    </row>
    <row r="402" spans="2:12" ht="78.75">
      <c r="B402" s="512" t="s">
        <v>655</v>
      </c>
      <c r="C402" s="513" t="s">
        <v>248</v>
      </c>
      <c r="D402" s="514">
        <v>10.6</v>
      </c>
      <c r="E402" s="207"/>
      <c r="F402" s="194"/>
      <c r="G402" s="194"/>
      <c r="H402" s="207"/>
      <c r="I402" s="215"/>
    </row>
    <row r="403" spans="2:12" ht="26.25">
      <c r="B403" s="512" t="s">
        <v>656</v>
      </c>
      <c r="C403" s="361">
        <f>D187</f>
        <v>31788.4012</v>
      </c>
      <c r="D403" s="509"/>
      <c r="E403" s="207"/>
      <c r="F403" s="194"/>
      <c r="G403" s="194"/>
      <c r="H403" s="207"/>
      <c r="I403" s="215"/>
    </row>
    <row r="404" spans="2:12" ht="26.25">
      <c r="B404" s="512" t="s">
        <v>657</v>
      </c>
      <c r="C404" s="512">
        <f>+'8'!G64</f>
        <v>5</v>
      </c>
      <c r="D404" s="515" t="s">
        <v>264</v>
      </c>
      <c r="E404" s="207"/>
      <c r="F404" s="194"/>
      <c r="G404" s="194"/>
      <c r="H404" s="207"/>
      <c r="I404" s="215"/>
    </row>
    <row r="405" spans="2:12" ht="26.25">
      <c r="B405" s="512" t="s">
        <v>263</v>
      </c>
      <c r="C405" s="516">
        <f>+'8'!G63</f>
        <v>0.17199999999999999</v>
      </c>
      <c r="D405" s="515"/>
      <c r="E405" s="207"/>
      <c r="F405" s="194"/>
      <c r="G405" s="194"/>
      <c r="H405" s="207"/>
      <c r="I405" s="215"/>
    </row>
    <row r="406" spans="2:12" ht="26.25">
      <c r="B406" s="512" t="s">
        <v>269</v>
      </c>
      <c r="C406" s="517">
        <f>+'8'!C71</f>
        <v>1.3313824334185265E-2</v>
      </c>
      <c r="D406" s="515"/>
      <c r="E406" s="207"/>
      <c r="F406" s="194"/>
      <c r="G406" s="194"/>
      <c r="H406" s="207"/>
      <c r="I406" s="215"/>
    </row>
    <row r="407" spans="2:12" ht="52.5">
      <c r="B407" s="512" t="s">
        <v>270</v>
      </c>
      <c r="C407" s="512">
        <f>+'8'!G65</f>
        <v>12</v>
      </c>
      <c r="D407" s="515" t="s">
        <v>658</v>
      </c>
      <c r="E407" s="207"/>
      <c r="F407" s="194"/>
      <c r="G407" s="194"/>
      <c r="H407" s="207"/>
      <c r="I407" s="215"/>
    </row>
    <row r="408" spans="2:12" ht="52.5">
      <c r="B408" s="512" t="s">
        <v>272</v>
      </c>
      <c r="C408" s="512">
        <f>+'8'!G66</f>
        <v>60</v>
      </c>
      <c r="D408" s="515" t="s">
        <v>659</v>
      </c>
      <c r="E408" s="207"/>
      <c r="F408" s="194"/>
      <c r="G408" s="194"/>
      <c r="H408" s="207"/>
      <c r="I408" s="215"/>
    </row>
    <row r="409" spans="2:12">
      <c r="B409" s="215"/>
      <c r="C409" s="508"/>
      <c r="D409" s="509"/>
      <c r="E409" s="207"/>
      <c r="F409" s="194"/>
      <c r="G409" s="194"/>
      <c r="H409" s="207"/>
      <c r="I409" s="215"/>
    </row>
    <row r="410" spans="2:12" ht="42" customHeight="1">
      <c r="B410" s="1120" t="s">
        <v>660</v>
      </c>
      <c r="C410" s="1120"/>
      <c r="D410" s="514">
        <v>10.6</v>
      </c>
      <c r="E410" s="207"/>
      <c r="F410" s="194"/>
      <c r="G410" s="194"/>
      <c r="H410" s="207"/>
      <c r="I410" s="215"/>
    </row>
    <row r="411" spans="2:12">
      <c r="B411" s="215"/>
      <c r="C411" s="508"/>
      <c r="D411" s="509"/>
      <c r="E411" s="207"/>
      <c r="F411" s="194"/>
      <c r="G411" s="194"/>
      <c r="H411" s="207"/>
      <c r="I411" s="215"/>
    </row>
    <row r="412" spans="2:12" ht="31.5">
      <c r="B412" s="218"/>
      <c r="C412" s="218"/>
      <c r="D412" s="218"/>
      <c r="E412" s="218"/>
      <c r="F412" s="224" t="s">
        <v>661</v>
      </c>
      <c r="G412" s="224" t="s">
        <v>662</v>
      </c>
      <c r="H412" s="518">
        <f>((1+D413)^(D414)-1)</f>
        <v>1.2112510819256475</v>
      </c>
      <c r="I412" s="224">
        <f>H412/H413</f>
        <v>41.142748137327573</v>
      </c>
      <c r="J412" s="519">
        <f>D415/I412</f>
        <v>772.63679844369324</v>
      </c>
    </row>
    <row r="413" spans="2:12" ht="42">
      <c r="B413" s="226" t="s">
        <v>663</v>
      </c>
      <c r="C413" s="520"/>
      <c r="D413" s="225">
        <f>C406</f>
        <v>1.3313824334185265E-2</v>
      </c>
      <c r="E413" s="218"/>
      <c r="F413" s="521">
        <f>C406</f>
        <v>1.3313824334185265E-2</v>
      </c>
      <c r="G413" s="217"/>
      <c r="H413" s="217">
        <f xml:space="preserve"> D413*((1+D413)^(D414))</f>
        <v>2.9440208463535178E-2</v>
      </c>
      <c r="I413" s="224"/>
      <c r="J413" s="220" t="s">
        <v>664</v>
      </c>
    </row>
    <row r="414" spans="2:12">
      <c r="B414" s="218" t="s">
        <v>665</v>
      </c>
      <c r="C414" s="218"/>
      <c r="D414" s="224">
        <f>C408</f>
        <v>60</v>
      </c>
      <c r="E414" s="224" t="s">
        <v>666</v>
      </c>
      <c r="F414" s="218"/>
      <c r="G414" s="218"/>
      <c r="H414" s="218"/>
      <c r="I414" s="218"/>
      <c r="J414" s="218"/>
      <c r="K414" s="207"/>
      <c r="L414" s="207"/>
    </row>
    <row r="415" spans="2:12">
      <c r="B415" s="218" t="s">
        <v>667</v>
      </c>
      <c r="C415" s="218"/>
      <c r="D415" s="250">
        <f>C403</f>
        <v>31788.4012</v>
      </c>
      <c r="E415" s="218"/>
      <c r="F415" s="218"/>
      <c r="G415" s="218"/>
      <c r="H415" s="218"/>
      <c r="I415" s="218"/>
      <c r="J415" s="218"/>
      <c r="K415" s="207"/>
      <c r="L415" s="207"/>
    </row>
    <row r="416" spans="2:12" ht="42">
      <c r="B416" s="218"/>
      <c r="C416" s="218"/>
      <c r="D416" s="218"/>
      <c r="E416" s="218"/>
      <c r="F416" s="218"/>
      <c r="G416" s="217" t="s">
        <v>668</v>
      </c>
      <c r="H416" s="217" t="s">
        <v>669</v>
      </c>
      <c r="I416" s="217" t="s">
        <v>276</v>
      </c>
      <c r="J416" s="224" t="s">
        <v>670</v>
      </c>
      <c r="K416" s="207"/>
      <c r="L416" s="207"/>
    </row>
    <row r="417" spans="2:12">
      <c r="B417" s="218"/>
      <c r="C417" s="218"/>
      <c r="D417" s="218"/>
      <c r="E417" s="218"/>
      <c r="F417" s="218"/>
      <c r="G417" s="218"/>
      <c r="H417" s="224" t="s">
        <v>671</v>
      </c>
      <c r="I417" s="224" t="s">
        <v>672</v>
      </c>
      <c r="J417" s="218"/>
      <c r="K417" s="207"/>
      <c r="L417" s="207"/>
    </row>
    <row r="418" spans="2:12">
      <c r="B418" s="218"/>
      <c r="C418" s="218"/>
      <c r="D418" s="218"/>
      <c r="E418" s="218"/>
      <c r="F418" s="218"/>
      <c r="G418" s="218"/>
      <c r="H418" s="224" t="s">
        <v>673</v>
      </c>
      <c r="I418" s="218"/>
      <c r="J418" s="218"/>
      <c r="K418" s="207"/>
      <c r="L418" s="207"/>
    </row>
    <row r="419" spans="2:12">
      <c r="B419" s="218"/>
      <c r="C419" s="218"/>
      <c r="D419" s="218"/>
      <c r="E419" s="218"/>
      <c r="F419" s="218"/>
      <c r="G419" s="218"/>
      <c r="H419" s="218"/>
      <c r="I419" s="218"/>
      <c r="J419" s="218"/>
      <c r="K419" s="207"/>
      <c r="L419" s="207"/>
    </row>
    <row r="420" spans="2:12" ht="84">
      <c r="B420" s="218"/>
      <c r="C420" s="216" t="s">
        <v>674</v>
      </c>
      <c r="D420" s="216" t="s">
        <v>675</v>
      </c>
      <c r="E420" s="216" t="s">
        <v>676</v>
      </c>
      <c r="F420" s="522" t="s">
        <v>283</v>
      </c>
      <c r="G420" s="216" t="s">
        <v>677</v>
      </c>
      <c r="H420" s="218"/>
      <c r="I420" s="218"/>
      <c r="J420" s="218"/>
      <c r="K420" s="207"/>
      <c r="L420" s="207"/>
    </row>
    <row r="421" spans="2:12">
      <c r="B421" s="218"/>
      <c r="C421" s="218"/>
      <c r="D421" s="218"/>
      <c r="E421" s="218"/>
      <c r="F421" s="218"/>
      <c r="G421" s="218"/>
      <c r="H421" s="224"/>
      <c r="I421" s="218"/>
      <c r="J421" s="218"/>
      <c r="K421" s="207"/>
      <c r="L421" s="207"/>
    </row>
    <row r="422" spans="2:12" ht="42">
      <c r="B422" s="218"/>
      <c r="C422" s="216" t="s">
        <v>678</v>
      </c>
      <c r="D422" s="216" t="s">
        <v>262</v>
      </c>
      <c r="E422" s="216" t="s">
        <v>679</v>
      </c>
      <c r="F422" s="216" t="s">
        <v>680</v>
      </c>
      <c r="G422" s="216" t="s">
        <v>681</v>
      </c>
      <c r="H422" s="523"/>
      <c r="I422" s="224"/>
      <c r="J422" s="218"/>
      <c r="K422" s="207"/>
      <c r="L422" s="207"/>
    </row>
    <row r="423" spans="2:12">
      <c r="B423" s="218"/>
      <c r="C423" s="524"/>
      <c r="D423" s="524"/>
      <c r="E423" s="524"/>
      <c r="F423" s="524"/>
      <c r="G423" s="524"/>
      <c r="H423" s="218"/>
      <c r="I423" s="218"/>
      <c r="J423" s="218"/>
      <c r="K423" s="207"/>
      <c r="L423" s="207"/>
    </row>
    <row r="424" spans="2:12">
      <c r="B424" s="218"/>
      <c r="C424" s="525">
        <v>1</v>
      </c>
      <c r="D424" s="525">
        <f>D415</f>
        <v>31788.4012</v>
      </c>
      <c r="E424" s="525">
        <f>G424-F424</f>
        <v>349.41160900228914</v>
      </c>
      <c r="F424" s="525">
        <f>D424*$D$413</f>
        <v>423.2251894414041</v>
      </c>
      <c r="G424" s="525">
        <f>J412</f>
        <v>772.63679844369324</v>
      </c>
      <c r="H424" s="210"/>
      <c r="I424" s="210"/>
      <c r="J424" s="218"/>
      <c r="K424" s="207"/>
      <c r="L424" s="207"/>
    </row>
    <row r="425" spans="2:12">
      <c r="B425" s="218"/>
      <c r="C425" s="525">
        <f>+C424+1</f>
        <v>2</v>
      </c>
      <c r="D425" s="525">
        <f>D424-E424</f>
        <v>31438.989590997709</v>
      </c>
      <c r="E425" s="525">
        <f>G425-F425</f>
        <v>354.06361378487071</v>
      </c>
      <c r="F425" s="525">
        <f>D425*$D$413</f>
        <v>418.57318465882253</v>
      </c>
      <c r="G425" s="525">
        <f>G424</f>
        <v>772.63679844369324</v>
      </c>
      <c r="H425" s="210"/>
      <c r="I425" s="210"/>
      <c r="J425" s="218"/>
      <c r="K425" s="207"/>
      <c r="L425" s="207"/>
    </row>
    <row r="426" spans="2:12">
      <c r="B426" s="218"/>
      <c r="C426" s="525">
        <f>+C425+1</f>
        <v>3</v>
      </c>
      <c r="D426" s="525">
        <f>D425-E425</f>
        <v>31084.925977212839</v>
      </c>
      <c r="E426" s="525">
        <f>G426-F426</f>
        <v>358.77755454192925</v>
      </c>
      <c r="F426" s="525">
        <f>D426*$D$413</f>
        <v>413.85924390176399</v>
      </c>
      <c r="G426" s="525">
        <f>G425</f>
        <v>772.63679844369324</v>
      </c>
      <c r="H426" s="210"/>
      <c r="I426" s="210"/>
      <c r="J426" s="218"/>
      <c r="K426" s="207"/>
      <c r="L426" s="207"/>
    </row>
    <row r="427" spans="2:12">
      <c r="B427" s="218"/>
      <c r="C427" s="525">
        <f>+C426+1</f>
        <v>4</v>
      </c>
      <c r="D427" s="525">
        <f>D426-E426</f>
        <v>30726.148422670911</v>
      </c>
      <c r="E427" s="525">
        <f>G427-F427</f>
        <v>363.55425587814909</v>
      </c>
      <c r="F427" s="525">
        <f>D427*$D$413</f>
        <v>409.08254256554414</v>
      </c>
      <c r="G427" s="525">
        <f>G426</f>
        <v>772.63679844369324</v>
      </c>
      <c r="H427" s="210"/>
      <c r="I427" s="210"/>
      <c r="J427" s="218"/>
      <c r="K427" s="207"/>
      <c r="L427" s="207"/>
    </row>
    <row r="428" spans="2:12">
      <c r="B428" s="218"/>
      <c r="C428" s="525">
        <f>+C427+1</f>
        <v>5</v>
      </c>
      <c r="D428" s="525">
        <f>D427-E427</f>
        <v>30362.594166792762</v>
      </c>
      <c r="E428" s="525">
        <f>G428-F428</f>
        <v>368.39455337685621</v>
      </c>
      <c r="F428" s="525">
        <f>D428*$D$413</f>
        <v>404.24224506683703</v>
      </c>
      <c r="G428" s="525">
        <f>G427</f>
        <v>772.63679844369324</v>
      </c>
      <c r="H428" s="210">
        <f>SUM(G424:G428)</f>
        <v>3863.1839922184663</v>
      </c>
      <c r="I428" s="210"/>
      <c r="J428" s="218"/>
      <c r="K428" s="207"/>
      <c r="L428" s="207"/>
    </row>
    <row r="429" spans="2:12">
      <c r="B429" s="233"/>
      <c r="C429" s="525">
        <f t="shared" ref="C429:C483" si="51">+C428+1</f>
        <v>6</v>
      </c>
      <c r="D429" s="525">
        <f t="shared" ref="D429:D483" si="52">D428-E428</f>
        <v>29994.199613415905</v>
      </c>
      <c r="E429" s="525">
        <f t="shared" ref="E429:E483" si="53">G429-F429</f>
        <v>373.29929374618632</v>
      </c>
      <c r="F429" s="525">
        <f t="shared" ref="F429:F483" si="54">D429*$D$413</f>
        <v>399.33750469750692</v>
      </c>
      <c r="G429" s="525">
        <f>G428</f>
        <v>772.63679844369324</v>
      </c>
      <c r="H429" s="526"/>
      <c r="I429" s="526"/>
      <c r="J429" s="233"/>
      <c r="K429" s="207"/>
      <c r="L429" s="207"/>
    </row>
    <row r="430" spans="2:12">
      <c r="B430" s="233"/>
      <c r="C430" s="525">
        <f t="shared" si="51"/>
        <v>7</v>
      </c>
      <c r="D430" s="525">
        <f t="shared" si="52"/>
        <v>29620.900319669719</v>
      </c>
      <c r="E430" s="525">
        <f t="shared" si="53"/>
        <v>378.26933496719846</v>
      </c>
      <c r="F430" s="525">
        <f t="shared" si="54"/>
        <v>394.36746347649478</v>
      </c>
      <c r="G430" s="525">
        <f t="shared" ref="G430:G483" si="55">G429</f>
        <v>772.63679844369324</v>
      </c>
      <c r="H430" s="526"/>
      <c r="I430" s="526"/>
      <c r="J430" s="233"/>
      <c r="K430" s="207"/>
      <c r="L430" s="207"/>
    </row>
    <row r="431" spans="2:12">
      <c r="B431" s="233"/>
      <c r="C431" s="525">
        <f t="shared" si="51"/>
        <v>8</v>
      </c>
      <c r="D431" s="525">
        <f t="shared" si="52"/>
        <v>29242.630984702522</v>
      </c>
      <c r="E431" s="525">
        <f t="shared" si="53"/>
        <v>383.30554644396079</v>
      </c>
      <c r="F431" s="525">
        <f t="shared" si="54"/>
        <v>389.33125199973244</v>
      </c>
      <c r="G431" s="525">
        <f t="shared" si="55"/>
        <v>772.63679844369324</v>
      </c>
      <c r="H431" s="526"/>
      <c r="I431" s="526"/>
      <c r="J431" s="233"/>
      <c r="K431" s="207"/>
      <c r="L431" s="207"/>
    </row>
    <row r="432" spans="2:12">
      <c r="B432" s="233"/>
      <c r="C432" s="525">
        <f t="shared" si="51"/>
        <v>9</v>
      </c>
      <c r="D432" s="525">
        <f t="shared" si="52"/>
        <v>28859.325438258562</v>
      </c>
      <c r="E432" s="525">
        <f t="shared" si="53"/>
        <v>388.40880915563457</v>
      </c>
      <c r="F432" s="525">
        <f t="shared" si="54"/>
        <v>384.22798928805867</v>
      </c>
      <c r="G432" s="525">
        <f t="shared" si="55"/>
        <v>772.63679844369324</v>
      </c>
      <c r="H432" s="526"/>
      <c r="I432" s="526"/>
      <c r="J432" s="233"/>
      <c r="K432" s="207"/>
      <c r="L432" s="207"/>
    </row>
    <row r="433" spans="2:12">
      <c r="B433" s="233"/>
      <c r="C433" s="525">
        <f t="shared" si="51"/>
        <v>10</v>
      </c>
      <c r="D433" s="525">
        <f t="shared" si="52"/>
        <v>28470.916629102929</v>
      </c>
      <c r="E433" s="525">
        <f t="shared" si="53"/>
        <v>393.58001581058278</v>
      </c>
      <c r="F433" s="525">
        <f t="shared" si="54"/>
        <v>379.05678263311046</v>
      </c>
      <c r="G433" s="525">
        <f t="shared" si="55"/>
        <v>772.63679844369324</v>
      </c>
      <c r="H433" s="526"/>
      <c r="I433" s="526"/>
      <c r="J433" s="233"/>
      <c r="K433" s="207"/>
      <c r="L433" s="207"/>
    </row>
    <row r="434" spans="2:12">
      <c r="B434" s="233"/>
      <c r="C434" s="525">
        <f t="shared" si="51"/>
        <v>11</v>
      </c>
      <c r="D434" s="525">
        <f t="shared" si="52"/>
        <v>28077.336613292347</v>
      </c>
      <c r="E434" s="525">
        <f t="shared" si="53"/>
        <v>398.82007100253071</v>
      </c>
      <c r="F434" s="525">
        <f t="shared" si="54"/>
        <v>373.81672744116253</v>
      </c>
      <c r="G434" s="525">
        <f t="shared" si="55"/>
        <v>772.63679844369324</v>
      </c>
      <c r="H434" s="526"/>
      <c r="I434" s="526"/>
      <c r="J434" s="233"/>
      <c r="K434" s="207"/>
      <c r="L434" s="207"/>
    </row>
    <row r="435" spans="2:12">
      <c r="B435" s="233"/>
      <c r="C435" s="525">
        <f t="shared" si="51"/>
        <v>12</v>
      </c>
      <c r="D435" s="525">
        <f t="shared" si="52"/>
        <v>27678.516542289817</v>
      </c>
      <c r="E435" s="525">
        <f t="shared" si="53"/>
        <v>404.12989136880566</v>
      </c>
      <c r="F435" s="525">
        <f t="shared" si="54"/>
        <v>368.50690707488758</v>
      </c>
      <c r="G435" s="525">
        <f t="shared" si="55"/>
        <v>772.63679844369324</v>
      </c>
      <c r="H435" s="526"/>
      <c r="I435" s="526"/>
      <c r="J435" s="233"/>
      <c r="K435" s="207"/>
      <c r="L435" s="207"/>
    </row>
    <row r="436" spans="2:12">
      <c r="B436" s="233"/>
      <c r="C436" s="525">
        <f t="shared" si="51"/>
        <v>13</v>
      </c>
      <c r="D436" s="525">
        <f t="shared" si="52"/>
        <v>27274.386650921013</v>
      </c>
      <c r="E436" s="525">
        <f t="shared" si="53"/>
        <v>409.51040575068333</v>
      </c>
      <c r="F436" s="525">
        <f t="shared" si="54"/>
        <v>363.1263926930099</v>
      </c>
      <c r="G436" s="525">
        <f t="shared" si="55"/>
        <v>772.63679844369324</v>
      </c>
      <c r="H436" s="526"/>
      <c r="I436" s="526"/>
      <c r="J436" s="233"/>
      <c r="K436" s="207"/>
      <c r="L436" s="207"/>
    </row>
    <row r="437" spans="2:12">
      <c r="B437" s="233"/>
      <c r="C437" s="525">
        <f t="shared" si="51"/>
        <v>14</v>
      </c>
      <c r="D437" s="525">
        <f t="shared" si="52"/>
        <v>26864.87624517033</v>
      </c>
      <c r="E437" s="525">
        <f t="shared" si="53"/>
        <v>414.96255535586886</v>
      </c>
      <c r="F437" s="525">
        <f t="shared" si="54"/>
        <v>357.67424308782438</v>
      </c>
      <c r="G437" s="525">
        <f t="shared" si="55"/>
        <v>772.63679844369324</v>
      </c>
      <c r="H437" s="526"/>
      <c r="I437" s="526"/>
      <c r="J437" s="233"/>
      <c r="K437" s="207"/>
      <c r="L437" s="207"/>
    </row>
    <row r="438" spans="2:12">
      <c r="B438" s="233"/>
      <c r="C438" s="525">
        <f t="shared" si="51"/>
        <v>15</v>
      </c>
      <c r="D438" s="525">
        <f t="shared" si="52"/>
        <v>26449.913689814461</v>
      </c>
      <c r="E438" s="525">
        <f t="shared" si="53"/>
        <v>420.48729392314152</v>
      </c>
      <c r="F438" s="525">
        <f t="shared" si="54"/>
        <v>352.14950452055172</v>
      </c>
      <c r="G438" s="525">
        <f t="shared" si="55"/>
        <v>772.63679844369324</v>
      </c>
      <c r="H438" s="526"/>
      <c r="I438" s="526"/>
      <c r="J438" s="233"/>
      <c r="K438" s="207"/>
      <c r="L438" s="207"/>
    </row>
    <row r="439" spans="2:12">
      <c r="B439" s="233"/>
      <c r="C439" s="525">
        <f t="shared" si="51"/>
        <v>16</v>
      </c>
      <c r="D439" s="525">
        <f t="shared" si="52"/>
        <v>26029.426395891318</v>
      </c>
      <c r="E439" s="525">
        <f t="shared" si="53"/>
        <v>426.08558788919117</v>
      </c>
      <c r="F439" s="525">
        <f t="shared" si="54"/>
        <v>346.55121055450206</v>
      </c>
      <c r="G439" s="525">
        <f t="shared" si="55"/>
        <v>772.63679844369324</v>
      </c>
      <c r="H439" s="526"/>
      <c r="I439" s="526"/>
      <c r="J439" s="233"/>
      <c r="K439" s="207"/>
      <c r="L439" s="207"/>
    </row>
    <row r="440" spans="2:12">
      <c r="B440" s="233"/>
      <c r="C440" s="525">
        <f t="shared" si="51"/>
        <v>17</v>
      </c>
      <c r="D440" s="525">
        <f t="shared" si="52"/>
        <v>25603.340808002125</v>
      </c>
      <c r="E440" s="525">
        <f t="shared" si="53"/>
        <v>431.7584165576759</v>
      </c>
      <c r="F440" s="525">
        <f t="shared" si="54"/>
        <v>340.87838188601734</v>
      </c>
      <c r="G440" s="525">
        <f t="shared" si="55"/>
        <v>772.63679844369324</v>
      </c>
      <c r="H440" s="526"/>
      <c r="I440" s="526"/>
      <c r="J440" s="233"/>
      <c r="K440" s="207"/>
      <c r="L440" s="207"/>
    </row>
    <row r="441" spans="2:12">
      <c r="B441" s="233"/>
      <c r="C441" s="525">
        <f t="shared" si="51"/>
        <v>18</v>
      </c>
      <c r="D441" s="525">
        <f t="shared" si="52"/>
        <v>25171.582391444448</v>
      </c>
      <c r="E441" s="525">
        <f t="shared" si="53"/>
        <v>437.5067722705308</v>
      </c>
      <c r="F441" s="525">
        <f t="shared" si="54"/>
        <v>335.13002617316243</v>
      </c>
      <c r="G441" s="525">
        <f t="shared" si="55"/>
        <v>772.63679844369324</v>
      </c>
      <c r="H441" s="526"/>
      <c r="I441" s="526"/>
      <c r="J441" s="233"/>
      <c r="K441" s="207"/>
      <c r="L441" s="207"/>
    </row>
    <row r="442" spans="2:12">
      <c r="B442" s="233"/>
      <c r="C442" s="525">
        <f t="shared" si="51"/>
        <v>19</v>
      </c>
      <c r="D442" s="525">
        <f t="shared" si="52"/>
        <v>24734.075619173916</v>
      </c>
      <c r="E442" s="525">
        <f t="shared" si="53"/>
        <v>443.33166058155706</v>
      </c>
      <c r="F442" s="525">
        <f t="shared" si="54"/>
        <v>329.30513786213618</v>
      </c>
      <c r="G442" s="525">
        <f t="shared" si="55"/>
        <v>772.63679844369324</v>
      </c>
      <c r="H442" s="526"/>
      <c r="I442" s="526"/>
      <c r="J442" s="233"/>
      <c r="K442" s="207"/>
      <c r="L442" s="207"/>
    </row>
    <row r="443" spans="2:12">
      <c r="B443" s="233"/>
      <c r="C443" s="525">
        <f t="shared" si="51"/>
        <v>20</v>
      </c>
      <c r="D443" s="525">
        <f t="shared" si="52"/>
        <v>24290.74395859236</v>
      </c>
      <c r="E443" s="525">
        <f t="shared" si="53"/>
        <v>449.23410043232258</v>
      </c>
      <c r="F443" s="525">
        <f t="shared" si="54"/>
        <v>323.40269801137066</v>
      </c>
      <c r="G443" s="525">
        <f t="shared" si="55"/>
        <v>772.63679844369324</v>
      </c>
      <c r="H443" s="526"/>
      <c r="I443" s="526"/>
      <c r="J443" s="233"/>
      <c r="K443" s="207"/>
      <c r="L443" s="207"/>
    </row>
    <row r="444" spans="2:12">
      <c r="B444" s="233"/>
      <c r="C444" s="525">
        <f t="shared" si="51"/>
        <v>21</v>
      </c>
      <c r="D444" s="525">
        <f t="shared" si="52"/>
        <v>23841.509858160036</v>
      </c>
      <c r="E444" s="525">
        <f t="shared" si="53"/>
        <v>455.21512433040425</v>
      </c>
      <c r="F444" s="525">
        <f t="shared" si="54"/>
        <v>317.42167411328899</v>
      </c>
      <c r="G444" s="525">
        <f t="shared" si="55"/>
        <v>772.63679844369324</v>
      </c>
      <c r="H444" s="526"/>
      <c r="I444" s="526"/>
      <c r="J444" s="233"/>
      <c r="K444" s="207"/>
      <c r="L444" s="207"/>
    </row>
    <row r="445" spans="2:12">
      <c r="B445" s="233"/>
      <c r="C445" s="525">
        <f t="shared" si="51"/>
        <v>22</v>
      </c>
      <c r="D445" s="525">
        <f t="shared" si="52"/>
        <v>23386.294733829633</v>
      </c>
      <c r="E445" s="525">
        <f t="shared" si="53"/>
        <v>461.27577853000355</v>
      </c>
      <c r="F445" s="525">
        <f t="shared" si="54"/>
        <v>311.36101991368969</v>
      </c>
      <c r="G445" s="525">
        <f t="shared" si="55"/>
        <v>772.63679844369324</v>
      </c>
      <c r="H445" s="526"/>
      <c r="I445" s="526"/>
      <c r="J445" s="233"/>
      <c r="K445" s="207"/>
      <c r="L445" s="207"/>
    </row>
    <row r="446" spans="2:12">
      <c r="B446" s="233"/>
      <c r="C446" s="525">
        <f t="shared" si="51"/>
        <v>23</v>
      </c>
      <c r="D446" s="525">
        <f t="shared" si="52"/>
        <v>22925.018955299631</v>
      </c>
      <c r="E446" s="525">
        <f t="shared" si="53"/>
        <v>467.41712321496658</v>
      </c>
      <c r="F446" s="525">
        <f t="shared" si="54"/>
        <v>305.21967522872666</v>
      </c>
      <c r="G446" s="525">
        <f t="shared" si="55"/>
        <v>772.63679844369324</v>
      </c>
      <c r="H446" s="526"/>
      <c r="I446" s="526"/>
      <c r="J446" s="233"/>
      <c r="K446" s="207"/>
      <c r="L446" s="207"/>
    </row>
    <row r="447" spans="2:12">
      <c r="B447" s="233"/>
      <c r="C447" s="525">
        <f t="shared" si="51"/>
        <v>24</v>
      </c>
      <c r="D447" s="525">
        <f t="shared" si="52"/>
        <v>22457.601832084663</v>
      </c>
      <c r="E447" s="525">
        <f t="shared" si="53"/>
        <v>473.64023268424086</v>
      </c>
      <c r="F447" s="525">
        <f t="shared" si="54"/>
        <v>298.99656575945238</v>
      </c>
      <c r="G447" s="525">
        <f t="shared" si="55"/>
        <v>772.63679844369324</v>
      </c>
      <c r="H447" s="526"/>
      <c r="I447" s="526"/>
      <c r="J447" s="233"/>
      <c r="K447" s="207"/>
      <c r="L447" s="207"/>
    </row>
    <row r="448" spans="2:12">
      <c r="B448" s="233"/>
      <c r="C448" s="525">
        <f t="shared" si="51"/>
        <v>25</v>
      </c>
      <c r="D448" s="525">
        <f t="shared" si="52"/>
        <v>21983.961599400423</v>
      </c>
      <c r="E448" s="525">
        <f t="shared" si="53"/>
        <v>479.94619553980147</v>
      </c>
      <c r="F448" s="525">
        <f t="shared" si="54"/>
        <v>292.69060290389177</v>
      </c>
      <c r="G448" s="525">
        <f t="shared" si="55"/>
        <v>772.63679844369324</v>
      </c>
      <c r="H448" s="526"/>
      <c r="I448" s="526"/>
      <c r="J448" s="233"/>
      <c r="K448" s="207"/>
      <c r="L448" s="207"/>
    </row>
    <row r="449" spans="2:12">
      <c r="B449" s="233"/>
      <c r="C449" s="525">
        <f t="shared" si="51"/>
        <v>26</v>
      </c>
      <c r="D449" s="525">
        <f t="shared" si="52"/>
        <v>21504.015403860623</v>
      </c>
      <c r="E449" s="525">
        <f t="shared" si="53"/>
        <v>486.3361148770789</v>
      </c>
      <c r="F449" s="525">
        <f t="shared" si="54"/>
        <v>286.30068356661434</v>
      </c>
      <c r="G449" s="525">
        <f t="shared" si="55"/>
        <v>772.63679844369324</v>
      </c>
      <c r="H449" s="526"/>
      <c r="I449" s="526"/>
      <c r="J449" s="233"/>
      <c r="K449" s="207"/>
      <c r="L449" s="207"/>
    </row>
    <row r="450" spans="2:12">
      <c r="B450" s="233"/>
      <c r="C450" s="525">
        <f t="shared" si="51"/>
        <v>27</v>
      </c>
      <c r="D450" s="525">
        <f t="shared" si="52"/>
        <v>21017.679288983545</v>
      </c>
      <c r="E450" s="525">
        <f t="shared" si="53"/>
        <v>492.81110847792246</v>
      </c>
      <c r="F450" s="525">
        <f t="shared" si="54"/>
        <v>279.82568996577078</v>
      </c>
      <c r="G450" s="525">
        <f t="shared" si="55"/>
        <v>772.63679844369324</v>
      </c>
      <c r="H450" s="526"/>
      <c r="I450" s="526"/>
      <c r="J450" s="233"/>
      <c r="K450" s="207"/>
      <c r="L450" s="207"/>
    </row>
    <row r="451" spans="2:12">
      <c r="B451" s="233"/>
      <c r="C451" s="525">
        <f t="shared" si="51"/>
        <v>28</v>
      </c>
      <c r="D451" s="525">
        <f t="shared" si="52"/>
        <v>20524.868180505622</v>
      </c>
      <c r="E451" s="525">
        <f t="shared" si="53"/>
        <v>499.37230900613264</v>
      </c>
      <c r="F451" s="525">
        <f t="shared" si="54"/>
        <v>273.2644894375606</v>
      </c>
      <c r="G451" s="525">
        <f t="shared" si="55"/>
        <v>772.63679844369324</v>
      </c>
      <c r="H451" s="526"/>
      <c r="I451" s="526"/>
      <c r="J451" s="233"/>
      <c r="K451" s="207"/>
      <c r="L451" s="207"/>
    </row>
    <row r="452" spans="2:12">
      <c r="B452" s="233"/>
      <c r="C452" s="525">
        <f t="shared" si="51"/>
        <v>29</v>
      </c>
      <c r="D452" s="525">
        <f t="shared" si="52"/>
        <v>20025.49587149949</v>
      </c>
      <c r="E452" s="525">
        <f t="shared" si="53"/>
        <v>506.02086420559675</v>
      </c>
      <c r="F452" s="525">
        <f t="shared" si="54"/>
        <v>266.61593423809649</v>
      </c>
      <c r="G452" s="525">
        <f t="shared" si="55"/>
        <v>772.63679844369324</v>
      </c>
      <c r="H452" s="526"/>
      <c r="I452" s="526"/>
      <c r="J452" s="233"/>
      <c r="K452" s="207"/>
      <c r="L452" s="207"/>
    </row>
    <row r="453" spans="2:12">
      <c r="B453" s="233"/>
      <c r="C453" s="525">
        <f t="shared" si="51"/>
        <v>30</v>
      </c>
      <c r="D453" s="525">
        <f t="shared" si="52"/>
        <v>19519.475007293895</v>
      </c>
      <c r="E453" s="525">
        <f t="shared" si="53"/>
        <v>512.75793710106268</v>
      </c>
      <c r="F453" s="525">
        <f t="shared" si="54"/>
        <v>259.87886134263056</v>
      </c>
      <c r="G453" s="525">
        <f t="shared" si="55"/>
        <v>772.63679844369324</v>
      </c>
      <c r="H453" s="526"/>
      <c r="I453" s="526"/>
      <c r="J453" s="233"/>
      <c r="K453" s="207"/>
      <c r="L453" s="207"/>
    </row>
    <row r="454" spans="2:12">
      <c r="B454" s="233"/>
      <c r="C454" s="525">
        <f t="shared" si="51"/>
        <v>31</v>
      </c>
      <c r="D454" s="525">
        <f t="shared" si="52"/>
        <v>19006.717070192833</v>
      </c>
      <c r="E454" s="525">
        <f t="shared" si="53"/>
        <v>519.58470620158539</v>
      </c>
      <c r="F454" s="525">
        <f t="shared" si="54"/>
        <v>253.05209224210782</v>
      </c>
      <c r="G454" s="525">
        <f t="shared" si="55"/>
        <v>772.63679844369324</v>
      </c>
      <c r="H454" s="526"/>
      <c r="I454" s="526"/>
      <c r="J454" s="233"/>
      <c r="K454" s="207"/>
      <c r="L454" s="207"/>
    </row>
    <row r="455" spans="2:12">
      <c r="B455" s="233"/>
      <c r="C455" s="525">
        <f t="shared" si="51"/>
        <v>32</v>
      </c>
      <c r="D455" s="525">
        <f t="shared" si="52"/>
        <v>18487.132363991248</v>
      </c>
      <c r="E455" s="525">
        <f t="shared" si="53"/>
        <v>526.50236570668267</v>
      </c>
      <c r="F455" s="525">
        <f t="shared" si="54"/>
        <v>246.13443273701063</v>
      </c>
      <c r="G455" s="525">
        <f t="shared" si="55"/>
        <v>772.63679844369324</v>
      </c>
      <c r="H455" s="526"/>
      <c r="I455" s="526"/>
      <c r="J455" s="233"/>
      <c r="K455" s="207"/>
      <c r="L455" s="207"/>
    </row>
    <row r="456" spans="2:12">
      <c r="B456" s="233"/>
      <c r="C456" s="525">
        <f t="shared" si="51"/>
        <v>33</v>
      </c>
      <c r="D456" s="525">
        <f t="shared" si="52"/>
        <v>17960.629998284567</v>
      </c>
      <c r="E456" s="525">
        <f t="shared" si="53"/>
        <v>533.51212571523433</v>
      </c>
      <c r="F456" s="525">
        <f t="shared" si="54"/>
        <v>239.1246727284589</v>
      </c>
      <c r="G456" s="525">
        <f t="shared" si="55"/>
        <v>772.63679844369324</v>
      </c>
      <c r="H456" s="526"/>
      <c r="I456" s="526"/>
      <c r="J456" s="233"/>
      <c r="K456" s="207"/>
      <c r="L456" s="207"/>
    </row>
    <row r="457" spans="2:12">
      <c r="B457" s="233"/>
      <c r="C457" s="525">
        <f t="shared" si="51"/>
        <v>34</v>
      </c>
      <c r="D457" s="525">
        <f t="shared" si="52"/>
        <v>17427.117872569332</v>
      </c>
      <c r="E457" s="525">
        <f t="shared" si="53"/>
        <v>540.6152124371647</v>
      </c>
      <c r="F457" s="525">
        <f t="shared" si="54"/>
        <v>232.02158600652851</v>
      </c>
      <c r="G457" s="525">
        <f t="shared" si="55"/>
        <v>772.63679844369324</v>
      </c>
      <c r="H457" s="526"/>
      <c r="I457" s="526"/>
      <c r="J457" s="233"/>
      <c r="K457" s="207"/>
      <c r="L457" s="207"/>
    </row>
    <row r="458" spans="2:12">
      <c r="B458" s="233"/>
      <c r="C458" s="525">
        <f t="shared" si="51"/>
        <v>35</v>
      </c>
      <c r="D458" s="525">
        <f t="shared" si="52"/>
        <v>16886.502660132166</v>
      </c>
      <c r="E458" s="525">
        <f t="shared" si="53"/>
        <v>547.81286840794144</v>
      </c>
      <c r="F458" s="525">
        <f t="shared" si="54"/>
        <v>224.82393003575183</v>
      </c>
      <c r="G458" s="525">
        <f t="shared" si="55"/>
        <v>772.63679844369324</v>
      </c>
      <c r="H458" s="526"/>
      <c r="I458" s="526"/>
      <c r="J458" s="233"/>
      <c r="K458" s="207"/>
      <c r="L458" s="207"/>
    </row>
    <row r="459" spans="2:12">
      <c r="B459" s="233"/>
      <c r="C459" s="525">
        <f t="shared" si="51"/>
        <v>36</v>
      </c>
      <c r="D459" s="525">
        <f t="shared" si="52"/>
        <v>16338.689791724224</v>
      </c>
      <c r="E459" s="525">
        <f t="shared" si="53"/>
        <v>555.10635270593093</v>
      </c>
      <c r="F459" s="525">
        <f t="shared" si="54"/>
        <v>217.53044573776234</v>
      </c>
      <c r="G459" s="525">
        <f t="shared" si="55"/>
        <v>772.63679844369324</v>
      </c>
      <c r="H459" s="526"/>
      <c r="I459" s="526"/>
      <c r="J459" s="233"/>
      <c r="K459" s="207"/>
      <c r="L459" s="207"/>
    </row>
    <row r="460" spans="2:12">
      <c r="B460" s="233"/>
      <c r="C460" s="525">
        <f t="shared" si="51"/>
        <v>37</v>
      </c>
      <c r="D460" s="525">
        <f t="shared" si="52"/>
        <v>15783.583439018294</v>
      </c>
      <c r="E460" s="525">
        <f t="shared" si="53"/>
        <v>562.49694117264789</v>
      </c>
      <c r="F460" s="525">
        <f t="shared" si="54"/>
        <v>210.13985727104532</v>
      </c>
      <c r="G460" s="525">
        <f t="shared" si="55"/>
        <v>772.63679844369324</v>
      </c>
      <c r="H460" s="526"/>
      <c r="I460" s="526"/>
      <c r="J460" s="233"/>
      <c r="K460" s="207"/>
      <c r="L460" s="207"/>
    </row>
    <row r="461" spans="2:12">
      <c r="B461" s="233"/>
      <c r="C461" s="525">
        <f t="shared" si="51"/>
        <v>38</v>
      </c>
      <c r="D461" s="525">
        <f t="shared" si="52"/>
        <v>15221.086497845645</v>
      </c>
      <c r="E461" s="525">
        <f t="shared" si="53"/>
        <v>569.98592663593718</v>
      </c>
      <c r="F461" s="525">
        <f t="shared" si="54"/>
        <v>202.65087180775612</v>
      </c>
      <c r="G461" s="525">
        <f t="shared" si="55"/>
        <v>772.63679844369324</v>
      </c>
      <c r="H461" s="526"/>
      <c r="I461" s="526"/>
      <c r="J461" s="233"/>
      <c r="K461" s="207"/>
      <c r="L461" s="207"/>
    </row>
    <row r="462" spans="2:12">
      <c r="B462" s="233"/>
      <c r="C462" s="525">
        <f t="shared" si="51"/>
        <v>39</v>
      </c>
      <c r="D462" s="525">
        <f t="shared" si="52"/>
        <v>14651.100571209707</v>
      </c>
      <c r="E462" s="525">
        <f t="shared" si="53"/>
        <v>577.57461913612588</v>
      </c>
      <c r="F462" s="525">
        <f t="shared" si="54"/>
        <v>195.06217930756742</v>
      </c>
      <c r="G462" s="525">
        <f t="shared" si="55"/>
        <v>772.63679844369324</v>
      </c>
      <c r="H462" s="526"/>
      <c r="I462" s="526"/>
      <c r="J462" s="233"/>
      <c r="K462" s="207"/>
      <c r="L462" s="207"/>
    </row>
    <row r="463" spans="2:12">
      <c r="B463" s="233"/>
      <c r="C463" s="525">
        <f t="shared" si="51"/>
        <v>40</v>
      </c>
      <c r="D463" s="525">
        <f t="shared" si="52"/>
        <v>14073.525952073582</v>
      </c>
      <c r="E463" s="525">
        <f t="shared" si="53"/>
        <v>585.26434615518815</v>
      </c>
      <c r="F463" s="525">
        <f t="shared" si="54"/>
        <v>187.37245228850509</v>
      </c>
      <c r="G463" s="525">
        <f t="shared" si="55"/>
        <v>772.63679844369324</v>
      </c>
      <c r="H463" s="526"/>
      <c r="I463" s="526"/>
      <c r="J463" s="233"/>
      <c r="K463" s="207"/>
      <c r="L463" s="207"/>
    </row>
    <row r="464" spans="2:12">
      <c r="B464" s="233"/>
      <c r="C464" s="525">
        <f t="shared" si="51"/>
        <v>41</v>
      </c>
      <c r="D464" s="525">
        <f t="shared" si="52"/>
        <v>13488.261605918393</v>
      </c>
      <c r="E464" s="525">
        <f t="shared" si="53"/>
        <v>593.05645284896013</v>
      </c>
      <c r="F464" s="525">
        <f t="shared" si="54"/>
        <v>179.5803455947331</v>
      </c>
      <c r="G464" s="525">
        <f t="shared" si="55"/>
        <v>772.63679844369324</v>
      </c>
      <c r="H464" s="526"/>
      <c r="I464" s="526"/>
      <c r="J464" s="233"/>
      <c r="K464" s="207"/>
      <c r="L464" s="207"/>
    </row>
    <row r="465" spans="2:12">
      <c r="B465" s="233"/>
      <c r="C465" s="525">
        <f t="shared" si="51"/>
        <v>42</v>
      </c>
      <c r="D465" s="525">
        <f t="shared" si="52"/>
        <v>12895.205153069433</v>
      </c>
      <c r="E465" s="525">
        <f t="shared" si="53"/>
        <v>600.95230228244623</v>
      </c>
      <c r="F465" s="525">
        <f t="shared" si="54"/>
        <v>171.68449616124704</v>
      </c>
      <c r="G465" s="525">
        <f t="shared" si="55"/>
        <v>772.63679844369324</v>
      </c>
      <c r="H465" s="526"/>
      <c r="I465" s="526"/>
      <c r="J465" s="233"/>
      <c r="K465" s="207"/>
      <c r="L465" s="207"/>
    </row>
    <row r="466" spans="2:12">
      <c r="B466" s="233"/>
      <c r="C466" s="525">
        <f t="shared" si="51"/>
        <v>43</v>
      </c>
      <c r="D466" s="525">
        <f t="shared" si="52"/>
        <v>12294.252850786987</v>
      </c>
      <c r="E466" s="525">
        <f t="shared" si="53"/>
        <v>608.95327566825893</v>
      </c>
      <c r="F466" s="525">
        <f t="shared" si="54"/>
        <v>163.68352277543434</v>
      </c>
      <c r="G466" s="525">
        <f t="shared" si="55"/>
        <v>772.63679844369324</v>
      </c>
      <c r="H466" s="526"/>
      <c r="I466" s="526"/>
      <c r="J466" s="233"/>
      <c r="K466" s="207"/>
      <c r="L466" s="207"/>
    </row>
    <row r="467" spans="2:12">
      <c r="B467" s="233"/>
      <c r="C467" s="525">
        <f t="shared" si="51"/>
        <v>44</v>
      </c>
      <c r="D467" s="525">
        <f t="shared" si="52"/>
        <v>11685.299575118728</v>
      </c>
      <c r="E467" s="525">
        <f t="shared" si="53"/>
        <v>617.06077260823281</v>
      </c>
      <c r="F467" s="525">
        <f t="shared" si="54"/>
        <v>155.57602583546046</v>
      </c>
      <c r="G467" s="525">
        <f t="shared" si="55"/>
        <v>772.63679844369324</v>
      </c>
      <c r="H467" s="526"/>
      <c r="I467" s="526"/>
      <c r="J467" s="233"/>
      <c r="K467" s="207"/>
      <c r="L467" s="207"/>
    </row>
    <row r="468" spans="2:12">
      <c r="B468" s="233"/>
      <c r="C468" s="525">
        <f t="shared" si="51"/>
        <v>45</v>
      </c>
      <c r="D468" s="525">
        <f t="shared" si="52"/>
        <v>11068.238802510496</v>
      </c>
      <c r="E468" s="525">
        <f t="shared" si="53"/>
        <v>625.27621133825539</v>
      </c>
      <c r="F468" s="525">
        <f t="shared" si="54"/>
        <v>147.36058710543782</v>
      </c>
      <c r="G468" s="525">
        <f t="shared" si="55"/>
        <v>772.63679844369324</v>
      </c>
      <c r="H468" s="526"/>
      <c r="I468" s="526"/>
      <c r="J468" s="233"/>
      <c r="K468" s="207"/>
      <c r="L468" s="207"/>
    </row>
    <row r="469" spans="2:12">
      <c r="B469" s="233"/>
      <c r="C469" s="525">
        <f t="shared" si="51"/>
        <v>46</v>
      </c>
      <c r="D469" s="525">
        <f t="shared" si="52"/>
        <v>10442.96259117224</v>
      </c>
      <c r="E469" s="525">
        <f t="shared" si="53"/>
        <v>633.60102897635784</v>
      </c>
      <c r="F469" s="525">
        <f t="shared" si="54"/>
        <v>139.03576946733537</v>
      </c>
      <c r="G469" s="525">
        <f t="shared" si="55"/>
        <v>772.63679844369324</v>
      </c>
      <c r="H469" s="526"/>
      <c r="I469" s="526"/>
      <c r="J469" s="233"/>
      <c r="K469" s="207"/>
      <c r="L469" s="207"/>
    </row>
    <row r="470" spans="2:12">
      <c r="B470" s="233"/>
      <c r="C470" s="525">
        <f t="shared" si="51"/>
        <v>47</v>
      </c>
      <c r="D470" s="525">
        <f t="shared" si="52"/>
        <v>9809.3615621958816</v>
      </c>
      <c r="E470" s="525">
        <f t="shared" si="53"/>
        <v>642.03668177410816</v>
      </c>
      <c r="F470" s="525">
        <f t="shared" si="54"/>
        <v>130.60011666958511</v>
      </c>
      <c r="G470" s="525">
        <f t="shared" si="55"/>
        <v>772.63679844369324</v>
      </c>
      <c r="H470" s="526"/>
      <c r="I470" s="526"/>
      <c r="J470" s="233"/>
      <c r="K470" s="207"/>
      <c r="L470" s="207"/>
    </row>
    <row r="471" spans="2:12">
      <c r="B471" s="233"/>
      <c r="C471" s="525">
        <f t="shared" si="51"/>
        <v>48</v>
      </c>
      <c r="D471" s="525">
        <f t="shared" si="52"/>
        <v>9167.3248804217728</v>
      </c>
      <c r="E471" s="525">
        <f t="shared" si="53"/>
        <v>650.58464537135183</v>
      </c>
      <c r="F471" s="525">
        <f t="shared" si="54"/>
        <v>122.05215307234143</v>
      </c>
      <c r="G471" s="525">
        <f t="shared" si="55"/>
        <v>772.63679844369324</v>
      </c>
      <c r="H471" s="526"/>
      <c r="I471" s="526"/>
      <c r="J471" s="233"/>
      <c r="K471" s="207"/>
      <c r="L471" s="207"/>
    </row>
    <row r="472" spans="2:12">
      <c r="B472" s="233"/>
      <c r="C472" s="525">
        <f t="shared" si="51"/>
        <v>49</v>
      </c>
      <c r="D472" s="525">
        <f t="shared" si="52"/>
        <v>8516.7402350504217</v>
      </c>
      <c r="E472" s="525">
        <f t="shared" si="53"/>
        <v>659.2464150543442</v>
      </c>
      <c r="F472" s="525">
        <f t="shared" si="54"/>
        <v>113.39038338934904</v>
      </c>
      <c r="G472" s="525">
        <f t="shared" si="55"/>
        <v>772.63679844369324</v>
      </c>
      <c r="H472" s="526"/>
      <c r="I472" s="526"/>
      <c r="J472" s="233"/>
      <c r="K472" s="207"/>
      <c r="L472" s="207"/>
    </row>
    <row r="473" spans="2:12">
      <c r="B473" s="233"/>
      <c r="C473" s="525">
        <f t="shared" si="51"/>
        <v>50</v>
      </c>
      <c r="D473" s="525">
        <f t="shared" si="52"/>
        <v>7857.4938199960779</v>
      </c>
      <c r="E473" s="525">
        <f t="shared" si="53"/>
        <v>668.02350601731916</v>
      </c>
      <c r="F473" s="525">
        <f t="shared" si="54"/>
        <v>104.61329242637412</v>
      </c>
      <c r="G473" s="525">
        <f t="shared" si="55"/>
        <v>772.63679844369324</v>
      </c>
      <c r="H473" s="526"/>
      <c r="I473" s="526"/>
      <c r="J473" s="233"/>
      <c r="K473" s="207"/>
      <c r="L473" s="207"/>
    </row>
    <row r="474" spans="2:12">
      <c r="B474" s="233"/>
      <c r="C474" s="525">
        <f t="shared" si="51"/>
        <v>51</v>
      </c>
      <c r="D474" s="525">
        <f t="shared" si="52"/>
        <v>7189.4703139787589</v>
      </c>
      <c r="E474" s="525">
        <f t="shared" si="53"/>
        <v>676.91745362754023</v>
      </c>
      <c r="F474" s="525">
        <f t="shared" si="54"/>
        <v>95.719344816152969</v>
      </c>
      <c r="G474" s="525">
        <f t="shared" si="55"/>
        <v>772.63679844369324</v>
      </c>
      <c r="H474" s="526"/>
      <c r="I474" s="526"/>
      <c r="J474" s="233"/>
      <c r="K474" s="207"/>
      <c r="L474" s="207"/>
    </row>
    <row r="475" spans="2:12">
      <c r="B475" s="233"/>
      <c r="C475" s="525">
        <f t="shared" si="51"/>
        <v>52</v>
      </c>
      <c r="D475" s="525">
        <f t="shared" si="52"/>
        <v>6512.5528603512184</v>
      </c>
      <c r="E475" s="525">
        <f t="shared" si="53"/>
        <v>685.92981369388133</v>
      </c>
      <c r="F475" s="525">
        <f t="shared" si="54"/>
        <v>86.706984749811909</v>
      </c>
      <c r="G475" s="525">
        <f t="shared" si="55"/>
        <v>772.63679844369324</v>
      </c>
      <c r="H475" s="526"/>
      <c r="I475" s="526"/>
      <c r="J475" s="233"/>
      <c r="K475" s="207"/>
      <c r="L475" s="207"/>
    </row>
    <row r="476" spans="2:12">
      <c r="B476" s="233"/>
      <c r="C476" s="525">
        <f t="shared" si="51"/>
        <v>53</v>
      </c>
      <c r="D476" s="525">
        <f t="shared" si="52"/>
        <v>5826.623046657337</v>
      </c>
      <c r="E476" s="525">
        <f t="shared" si="53"/>
        <v>695.06216273898212</v>
      </c>
      <c r="F476" s="525">
        <f t="shared" si="54"/>
        <v>77.574635704711142</v>
      </c>
      <c r="G476" s="525">
        <f t="shared" si="55"/>
        <v>772.63679844369324</v>
      </c>
      <c r="H476" s="526"/>
      <c r="I476" s="526"/>
      <c r="J476" s="233"/>
      <c r="K476" s="207"/>
      <c r="L476" s="207"/>
    </row>
    <row r="477" spans="2:12">
      <c r="B477" s="233"/>
      <c r="C477" s="525">
        <f t="shared" si="51"/>
        <v>54</v>
      </c>
      <c r="D477" s="525">
        <f t="shared" si="52"/>
        <v>5131.5608839183551</v>
      </c>
      <c r="E477" s="525">
        <f t="shared" si="53"/>
        <v>704.3160982750278</v>
      </c>
      <c r="F477" s="525">
        <f t="shared" si="54"/>
        <v>68.320700168665439</v>
      </c>
      <c r="G477" s="525">
        <f t="shared" si="55"/>
        <v>772.63679844369324</v>
      </c>
      <c r="H477" s="526"/>
      <c r="I477" s="526"/>
      <c r="J477" s="233"/>
      <c r="K477" s="207"/>
      <c r="L477" s="207"/>
    </row>
    <row r="478" spans="2:12">
      <c r="B478" s="233"/>
      <c r="C478" s="525">
        <f t="shared" si="51"/>
        <v>55</v>
      </c>
      <c r="D478" s="525">
        <f t="shared" si="52"/>
        <v>4427.2447856433273</v>
      </c>
      <c r="E478" s="525">
        <f t="shared" si="53"/>
        <v>713.6932390832003</v>
      </c>
      <c r="F478" s="525">
        <f t="shared" si="54"/>
        <v>58.943559360492955</v>
      </c>
      <c r="G478" s="525">
        <f t="shared" si="55"/>
        <v>772.63679844369324</v>
      </c>
      <c r="H478" s="526"/>
      <c r="I478" s="526"/>
      <c r="J478" s="233"/>
      <c r="K478" s="207"/>
      <c r="L478" s="207"/>
    </row>
    <row r="479" spans="2:12">
      <c r="B479" s="233"/>
      <c r="C479" s="525">
        <f t="shared" si="51"/>
        <v>56</v>
      </c>
      <c r="D479" s="525">
        <f t="shared" si="52"/>
        <v>3713.551546560127</v>
      </c>
      <c r="E479" s="525">
        <f t="shared" si="53"/>
        <v>723.19522549684973</v>
      </c>
      <c r="F479" s="525">
        <f t="shared" si="54"/>
        <v>49.441572946843543</v>
      </c>
      <c r="G479" s="525">
        <f t="shared" si="55"/>
        <v>772.63679844369324</v>
      </c>
      <c r="H479" s="526"/>
      <c r="I479" s="526"/>
      <c r="J479" s="233"/>
      <c r="K479" s="207"/>
      <c r="L479" s="207"/>
    </row>
    <row r="480" spans="2:12">
      <c r="B480" s="233"/>
      <c r="C480" s="525">
        <f t="shared" si="51"/>
        <v>57</v>
      </c>
      <c r="D480" s="525">
        <f t="shared" si="52"/>
        <v>2990.3563210632774</v>
      </c>
      <c r="E480" s="525">
        <f t="shared" si="53"/>
        <v>732.8237196884362</v>
      </c>
      <c r="F480" s="525">
        <f t="shared" si="54"/>
        <v>39.813078755256988</v>
      </c>
      <c r="G480" s="525">
        <f t="shared" si="55"/>
        <v>772.63679844369324</v>
      </c>
      <c r="H480" s="526"/>
      <c r="I480" s="526"/>
      <c r="J480" s="233"/>
      <c r="K480" s="207"/>
      <c r="L480" s="207"/>
    </row>
    <row r="481" spans="2:12">
      <c r="B481" s="233"/>
      <c r="C481" s="525">
        <f t="shared" si="51"/>
        <v>58</v>
      </c>
      <c r="D481" s="525">
        <f t="shared" si="52"/>
        <v>2257.5326013748413</v>
      </c>
      <c r="E481" s="525">
        <f t="shared" si="53"/>
        <v>742.5804059602923</v>
      </c>
      <c r="F481" s="525">
        <f t="shared" si="54"/>
        <v>30.056392483400924</v>
      </c>
      <c r="G481" s="525">
        <f t="shared" si="55"/>
        <v>772.63679844369324</v>
      </c>
      <c r="H481" s="526"/>
      <c r="I481" s="526"/>
      <c r="J481" s="233"/>
      <c r="K481" s="207"/>
      <c r="L481" s="207"/>
    </row>
    <row r="482" spans="2:12">
      <c r="B482" s="233"/>
      <c r="C482" s="525">
        <f t="shared" si="51"/>
        <v>59</v>
      </c>
      <c r="D482" s="525">
        <f t="shared" si="52"/>
        <v>1514.9521954145489</v>
      </c>
      <c r="E482" s="525">
        <f t="shared" si="53"/>
        <v>752.46699103925562</v>
      </c>
      <c r="F482" s="525">
        <f t="shared" si="54"/>
        <v>20.169807404437613</v>
      </c>
      <c r="G482" s="525">
        <f t="shared" si="55"/>
        <v>772.63679844369324</v>
      </c>
      <c r="H482" s="526"/>
      <c r="I482" s="526"/>
      <c r="J482" s="233"/>
      <c r="K482" s="207"/>
      <c r="L482" s="207"/>
    </row>
    <row r="483" spans="2:12" ht="26.25">
      <c r="B483" s="233"/>
      <c r="C483" s="525">
        <f t="shared" si="51"/>
        <v>60</v>
      </c>
      <c r="D483" s="353">
        <f t="shared" si="52"/>
        <v>762.48520437529328</v>
      </c>
      <c r="E483" s="353">
        <f t="shared" si="53"/>
        <v>762.48520437522518</v>
      </c>
      <c r="F483" s="525">
        <f t="shared" si="54"/>
        <v>10.151594068468004</v>
      </c>
      <c r="G483" s="525">
        <f t="shared" si="55"/>
        <v>772.63679844369324</v>
      </c>
      <c r="H483" s="526"/>
      <c r="I483" s="526"/>
      <c r="J483" s="233"/>
      <c r="K483" s="207"/>
      <c r="L483" s="207"/>
    </row>
    <row r="485" spans="2:12" ht="33.75">
      <c r="B485" s="527">
        <v>10.7</v>
      </c>
    </row>
    <row r="486" spans="2:12" ht="47.25" customHeight="1">
      <c r="B486" s="1117" t="s">
        <v>823</v>
      </c>
      <c r="C486" s="1117"/>
      <c r="D486" s="1117"/>
      <c r="E486" s="1117"/>
      <c r="F486" s="197"/>
      <c r="G486" s="221" t="s">
        <v>683</v>
      </c>
      <c r="H486" s="197"/>
      <c r="I486" s="197"/>
      <c r="J486" s="197"/>
    </row>
    <row r="487" spans="2:12" ht="23.25">
      <c r="B487" s="197"/>
      <c r="C487" s="197"/>
      <c r="D487" s="197"/>
      <c r="E487" s="197"/>
      <c r="F487" s="197"/>
      <c r="G487" s="528">
        <v>0</v>
      </c>
      <c r="H487" s="197"/>
      <c r="I487" s="197"/>
      <c r="J487" s="197"/>
    </row>
    <row r="488" spans="2:12" ht="46.5">
      <c r="B488" s="1102" t="s">
        <v>684</v>
      </c>
      <c r="C488" s="1103"/>
      <c r="D488" s="201" t="s">
        <v>685</v>
      </c>
      <c r="E488" s="201" t="s">
        <v>686</v>
      </c>
      <c r="F488" s="201" t="s">
        <v>687</v>
      </c>
      <c r="G488" s="201" t="s">
        <v>688</v>
      </c>
      <c r="H488" s="201" t="s">
        <v>689</v>
      </c>
      <c r="I488" s="201" t="s">
        <v>690</v>
      </c>
      <c r="J488" s="197"/>
    </row>
    <row r="489" spans="2:12" ht="23.25">
      <c r="B489" s="276" t="s">
        <v>691</v>
      </c>
      <c r="C489" s="529">
        <f>C186</f>
        <v>0.6</v>
      </c>
      <c r="D489" s="262">
        <f>D186</f>
        <v>47682.601799999997</v>
      </c>
      <c r="E489" s="528">
        <f>E186</f>
        <v>0.26392900000000002</v>
      </c>
      <c r="F489" s="529">
        <f>C489*E489</f>
        <v>0.15835740000000001</v>
      </c>
      <c r="G489" s="201" t="s">
        <v>692</v>
      </c>
      <c r="H489" s="201" t="s">
        <v>693</v>
      </c>
      <c r="I489" s="530">
        <f>F489</f>
        <v>0.15835740000000001</v>
      </c>
      <c r="J489" s="197"/>
    </row>
    <row r="490" spans="2:12" ht="23.25">
      <c r="B490" s="276" t="s">
        <v>694</v>
      </c>
      <c r="C490" s="529">
        <f>C187</f>
        <v>0.4</v>
      </c>
      <c r="D490" s="262">
        <f>D187</f>
        <v>31788.4012</v>
      </c>
      <c r="E490" s="528">
        <f>F187</f>
        <v>0.17199999999999999</v>
      </c>
      <c r="F490" s="529">
        <f>C490*E490</f>
        <v>6.88E-2</v>
      </c>
      <c r="G490" s="531" t="s">
        <v>692</v>
      </c>
      <c r="H490" s="528" t="s">
        <v>693</v>
      </c>
      <c r="I490" s="530">
        <f>F490</f>
        <v>6.88E-2</v>
      </c>
      <c r="J490" s="197"/>
    </row>
    <row r="491" spans="2:12" ht="23.25">
      <c r="B491" s="276"/>
      <c r="C491" s="532"/>
      <c r="D491" s="262"/>
      <c r="E491" s="533"/>
      <c r="F491" s="532">
        <f>C491*E491</f>
        <v>0</v>
      </c>
      <c r="G491" s="534"/>
      <c r="H491" s="222"/>
      <c r="I491" s="530">
        <f>F491*G491</f>
        <v>0</v>
      </c>
      <c r="J491" s="197"/>
    </row>
    <row r="492" spans="2:12" ht="93">
      <c r="B492" s="201" t="s">
        <v>183</v>
      </c>
      <c r="C492" s="535">
        <f>SUM(C489:C491)</f>
        <v>1</v>
      </c>
      <c r="D492" s="326">
        <f>SUM(D489:D491)</f>
        <v>79471.002999999997</v>
      </c>
      <c r="E492" s="201"/>
      <c r="F492" s="535">
        <f>SUM(F489:F491)</f>
        <v>0.22715740000000001</v>
      </c>
      <c r="G492" s="276"/>
      <c r="H492" s="222"/>
      <c r="I492" s="536">
        <f>SUM(I489:I491)</f>
        <v>0.22715740000000001</v>
      </c>
      <c r="J492" s="404" t="s">
        <v>695</v>
      </c>
    </row>
    <row r="493" spans="2:12" ht="23.25">
      <c r="B493" s="197"/>
      <c r="C493" s="197"/>
      <c r="D493" s="197"/>
      <c r="E493" s="197"/>
      <c r="F493" s="197"/>
      <c r="G493" s="197"/>
      <c r="H493" s="197"/>
      <c r="I493" s="506" t="s">
        <v>696</v>
      </c>
      <c r="J493" s="197"/>
    </row>
    <row r="494" spans="2:12">
      <c r="B494" s="207"/>
      <c r="C494" s="207"/>
      <c r="D494" s="207"/>
    </row>
    <row r="495" spans="2:12" ht="34.5" thickBot="1">
      <c r="B495" s="511">
        <v>10.8</v>
      </c>
      <c r="C495" s="207"/>
      <c r="D495" s="207"/>
    </row>
    <row r="496" spans="2:12" ht="27" thickBot="1">
      <c r="B496" s="1121" t="s">
        <v>697</v>
      </c>
      <c r="C496" s="1122"/>
      <c r="D496" s="1122"/>
      <c r="E496" s="1123"/>
    </row>
    <row r="498" spans="1:13" ht="26.25">
      <c r="B498" s="1124" t="s">
        <v>698</v>
      </c>
      <c r="C498" s="1125"/>
      <c r="D498" s="1102" t="s">
        <v>699</v>
      </c>
      <c r="E498" s="1103"/>
    </row>
    <row r="499" spans="1:13" ht="42">
      <c r="B499" s="201" t="s">
        <v>700</v>
      </c>
      <c r="C499" s="437">
        <f>D182</f>
        <v>10365.782999999999</v>
      </c>
      <c r="D499" s="201" t="s">
        <v>701</v>
      </c>
      <c r="E499" s="211">
        <f>(D490+D491)/5</f>
        <v>6357.6802399999997</v>
      </c>
      <c r="F499" s="243" t="s">
        <v>702</v>
      </c>
    </row>
    <row r="500" spans="1:13" ht="63">
      <c r="B500" s="201" t="s">
        <v>703</v>
      </c>
      <c r="C500" s="201"/>
      <c r="D500" s="201" t="s">
        <v>704</v>
      </c>
      <c r="E500" s="211">
        <f>((D490+D491)/5)*4</f>
        <v>25430.720959999999</v>
      </c>
      <c r="F500" s="244" t="s">
        <v>705</v>
      </c>
    </row>
    <row r="501" spans="1:13" ht="46.5">
      <c r="B501" s="201" t="s">
        <v>706</v>
      </c>
      <c r="C501" s="437">
        <f>D180+D181</f>
        <v>69105.22</v>
      </c>
      <c r="D501" s="494" t="s">
        <v>707</v>
      </c>
      <c r="E501" s="537">
        <f>SUM(E499:E500)</f>
        <v>31788.4012</v>
      </c>
      <c r="F501" s="243"/>
    </row>
    <row r="502" spans="1:13" ht="46.5">
      <c r="B502" s="438"/>
      <c r="C502" s="438"/>
      <c r="D502" s="404" t="s">
        <v>708</v>
      </c>
      <c r="E502" s="438"/>
      <c r="F502" s="243"/>
    </row>
    <row r="503" spans="1:13" ht="23.25">
      <c r="B503" s="438"/>
      <c r="C503" s="437"/>
      <c r="D503" s="538" t="s">
        <v>709</v>
      </c>
      <c r="E503" s="442">
        <f>D489</f>
        <v>47682.601799999997</v>
      </c>
      <c r="F503" s="244" t="s">
        <v>710</v>
      </c>
    </row>
    <row r="504" spans="1:13" ht="46.5">
      <c r="B504" s="539" t="s">
        <v>711</v>
      </c>
      <c r="C504" s="537">
        <f>SUM(C499:C503)</f>
        <v>79471.002999999997</v>
      </c>
      <c r="D504" s="494" t="s">
        <v>712</v>
      </c>
      <c r="E504" s="537">
        <f>E501+E503</f>
        <v>79471.002999999997</v>
      </c>
      <c r="F504" s="244" t="s">
        <v>713</v>
      </c>
    </row>
    <row r="505" spans="1:13" ht="23.25">
      <c r="B505" s="540"/>
      <c r="C505" s="540"/>
      <c r="D505" s="540"/>
      <c r="E505" s="540"/>
    </row>
    <row r="508" spans="1:13" ht="26.25">
      <c r="B508" s="1115" t="s">
        <v>714</v>
      </c>
      <c r="C508" s="1115"/>
      <c r="D508" s="1115"/>
      <c r="E508" s="1115"/>
      <c r="F508" s="1115"/>
      <c r="G508" s="1115"/>
      <c r="H508" s="1115"/>
      <c r="I508" s="193"/>
      <c r="J508" s="193"/>
    </row>
    <row r="509" spans="1:13" ht="26.25">
      <c r="A509" s="193"/>
      <c r="B509" s="541"/>
      <c r="C509" s="541"/>
      <c r="D509" s="541"/>
      <c r="E509" s="541"/>
      <c r="F509" s="542"/>
      <c r="G509" s="542"/>
      <c r="H509" s="542"/>
      <c r="I509" s="193"/>
      <c r="J509" s="193"/>
      <c r="K509" s="193"/>
    </row>
    <row r="510" spans="1:13" ht="57.75" customHeight="1">
      <c r="B510" s="1116" t="s">
        <v>715</v>
      </c>
      <c r="C510" s="1115"/>
      <c r="D510" s="1115"/>
      <c r="E510" s="1115"/>
      <c r="F510" s="1115"/>
      <c r="G510" s="1115"/>
      <c r="H510" s="1115"/>
      <c r="I510" s="207"/>
      <c r="J510" s="193"/>
    </row>
    <row r="511" spans="1:13">
      <c r="A511" s="193"/>
      <c r="B511" s="207"/>
      <c r="C511" s="207"/>
      <c r="D511" s="214"/>
      <c r="E511" s="207"/>
      <c r="F511" s="207"/>
      <c r="G511" s="207"/>
      <c r="H511" s="207"/>
      <c r="I511" s="207"/>
      <c r="J511" s="193"/>
      <c r="K511" s="193"/>
    </row>
    <row r="512" spans="1:13">
      <c r="A512" s="193"/>
      <c r="B512" s="207"/>
      <c r="C512" s="207"/>
      <c r="D512" s="214"/>
      <c r="E512" s="207"/>
      <c r="F512" s="207"/>
      <c r="G512" s="207"/>
      <c r="H512" s="207"/>
      <c r="I512" s="207"/>
      <c r="J512" s="193"/>
      <c r="K512" s="193"/>
      <c r="L512" s="193"/>
      <c r="M512" s="193"/>
    </row>
    <row r="513" spans="1:13" ht="23.25">
      <c r="A513" s="193"/>
      <c r="B513" s="221">
        <v>10.9</v>
      </c>
      <c r="C513" s="197"/>
      <c r="D513" s="197"/>
      <c r="E513" s="1117" t="s">
        <v>716</v>
      </c>
      <c r="F513" s="1117"/>
      <c r="G513" s="1117"/>
      <c r="H513" s="1117"/>
      <c r="I513" s="1117"/>
      <c r="J513" s="198"/>
      <c r="K513" s="198"/>
      <c r="L513" s="193"/>
      <c r="M513" s="193"/>
    </row>
    <row r="514" spans="1:13" ht="51.75" customHeight="1">
      <c r="A514" s="193"/>
      <c r="B514" s="1117" t="s">
        <v>717</v>
      </c>
      <c r="C514" s="1117"/>
      <c r="D514" s="201">
        <f t="shared" ref="D514:I514" si="56">D362</f>
        <v>2022</v>
      </c>
      <c r="E514" s="201">
        <f t="shared" si="56"/>
        <v>2023</v>
      </c>
      <c r="F514" s="201">
        <f t="shared" si="56"/>
        <v>2024</v>
      </c>
      <c r="G514" s="201">
        <f t="shared" si="56"/>
        <v>2025</v>
      </c>
      <c r="H514" s="201">
        <f t="shared" si="56"/>
        <v>2026</v>
      </c>
      <c r="I514" s="201">
        <f t="shared" si="56"/>
        <v>2027</v>
      </c>
      <c r="J514" s="198"/>
      <c r="K514" s="198"/>
      <c r="L514" s="193"/>
      <c r="M514" s="193"/>
    </row>
    <row r="515" spans="1:13" ht="23.25">
      <c r="A515" s="193"/>
      <c r="B515" s="543" t="s">
        <v>613</v>
      </c>
      <c r="C515" s="543"/>
      <c r="D515" s="466">
        <v>0</v>
      </c>
      <c r="E515" s="466">
        <v>1</v>
      </c>
      <c r="F515" s="466">
        <v>2</v>
      </c>
      <c r="G515" s="466">
        <v>3</v>
      </c>
      <c r="H515" s="466">
        <v>4</v>
      </c>
      <c r="I515" s="466">
        <v>5</v>
      </c>
      <c r="J515" s="198"/>
      <c r="K515" s="198"/>
      <c r="L515" s="193"/>
      <c r="M515" s="193"/>
    </row>
    <row r="516" spans="1:13" ht="23.25">
      <c r="A516" s="193"/>
      <c r="B516" s="480" t="s">
        <v>718</v>
      </c>
      <c r="C516" s="480"/>
      <c r="D516" s="470"/>
      <c r="E516" s="470">
        <f t="shared" ref="E516:I520" si="57">E364</f>
        <v>1234359.7364000003</v>
      </c>
      <c r="F516" s="470">
        <f t="shared" si="57"/>
        <v>1311657.373615134</v>
      </c>
      <c r="G516" s="470">
        <f t="shared" si="57"/>
        <v>1401952.339411454</v>
      </c>
      <c r="H516" s="470">
        <f t="shared" si="57"/>
        <v>1499949.8138371182</v>
      </c>
      <c r="I516" s="470">
        <f t="shared" si="57"/>
        <v>1602507.7011477528</v>
      </c>
      <c r="J516" s="198"/>
      <c r="K516" s="198"/>
      <c r="L516" s="193"/>
      <c r="M516" s="193"/>
    </row>
    <row r="517" spans="1:13" ht="23.25">
      <c r="A517" s="193"/>
      <c r="B517" s="1118" t="s">
        <v>617</v>
      </c>
      <c r="C517" s="1118"/>
      <c r="D517" s="470"/>
      <c r="E517" s="470">
        <f t="shared" si="57"/>
        <v>684119.41512000002</v>
      </c>
      <c r="F517" s="470">
        <f t="shared" si="57"/>
        <v>728371.67127760407</v>
      </c>
      <c r="G517" s="470">
        <f t="shared" si="57"/>
        <v>776632.57306355168</v>
      </c>
      <c r="H517" s="470">
        <f t="shared" si="57"/>
        <v>828511.28411933442</v>
      </c>
      <c r="I517" s="470">
        <f t="shared" si="57"/>
        <v>883874.14385532844</v>
      </c>
      <c r="J517" s="198"/>
      <c r="K517" s="198"/>
      <c r="L517" s="193"/>
      <c r="M517" s="193"/>
    </row>
    <row r="518" spans="1:13" ht="23.25">
      <c r="A518" s="193"/>
      <c r="B518" s="1119" t="s">
        <v>618</v>
      </c>
      <c r="C518" s="1119"/>
      <c r="D518" s="470"/>
      <c r="E518" s="470">
        <f t="shared" si="57"/>
        <v>351863.83999999997</v>
      </c>
      <c r="F518" s="470">
        <f t="shared" si="57"/>
        <v>357074.56438</v>
      </c>
      <c r="G518" s="470">
        <f t="shared" si="57"/>
        <v>370834.38692610996</v>
      </c>
      <c r="H518" s="470">
        <f t="shared" si="57"/>
        <v>377752.45489125774</v>
      </c>
      <c r="I518" s="470">
        <f t="shared" si="57"/>
        <v>392355.40814804088</v>
      </c>
      <c r="J518" s="198"/>
      <c r="K518" s="198"/>
      <c r="L518" s="193"/>
      <c r="M518" s="193"/>
    </row>
    <row r="519" spans="1:13" ht="23.25">
      <c r="A519" s="193"/>
      <c r="B519" s="469" t="s">
        <v>526</v>
      </c>
      <c r="C519" s="544"/>
      <c r="D519" s="544"/>
      <c r="E519" s="470">
        <f t="shared" si="57"/>
        <v>8849.1219999999994</v>
      </c>
      <c r="F519" s="470">
        <f t="shared" si="57"/>
        <v>8849.1219999999994</v>
      </c>
      <c r="G519" s="470">
        <f t="shared" si="57"/>
        <v>8849.1219999999994</v>
      </c>
      <c r="H519" s="470">
        <f t="shared" si="57"/>
        <v>8849.1219999999994</v>
      </c>
      <c r="I519" s="470">
        <f t="shared" si="57"/>
        <v>8849.1219999999994</v>
      </c>
      <c r="J519" s="198"/>
      <c r="K519" s="198"/>
      <c r="L519" s="193"/>
      <c r="M519" s="193"/>
    </row>
    <row r="520" spans="1:13" ht="23.25">
      <c r="A520" s="193"/>
      <c r="B520" s="480" t="s">
        <v>527</v>
      </c>
      <c r="C520" s="480"/>
      <c r="D520" s="470"/>
      <c r="E520" s="470">
        <f t="shared" si="57"/>
        <v>542.15</v>
      </c>
      <c r="F520" s="470">
        <f t="shared" si="57"/>
        <v>542.15</v>
      </c>
      <c r="G520" s="470">
        <f t="shared" si="57"/>
        <v>542.15</v>
      </c>
      <c r="H520" s="470">
        <f t="shared" si="57"/>
        <v>542.15</v>
      </c>
      <c r="I520" s="470">
        <f t="shared" si="57"/>
        <v>542.15</v>
      </c>
      <c r="J520" s="198"/>
      <c r="K520" s="198"/>
      <c r="L520" s="193"/>
      <c r="M520" s="193"/>
    </row>
    <row r="521" spans="1:13" ht="23.25">
      <c r="A521" s="193"/>
      <c r="B521" s="1112" t="s">
        <v>719</v>
      </c>
      <c r="C521" s="1103"/>
      <c r="D521" s="478"/>
      <c r="E521" s="482">
        <f>E516-E517-E518-E519-E520</f>
        <v>188985.2092800003</v>
      </c>
      <c r="F521" s="482">
        <f>F516-F517-F518-F519-F520</f>
        <v>216819.86595752998</v>
      </c>
      <c r="G521" s="482">
        <f>G516-G517-G518-G519-G520</f>
        <v>245094.1074217924</v>
      </c>
      <c r="H521" s="482">
        <f>H516-H517-H518-H519-H520</f>
        <v>284294.80282652605</v>
      </c>
      <c r="I521" s="482">
        <f>I516-I517-I518-I519-I520</f>
        <v>316886.8771443835</v>
      </c>
      <c r="J521" s="198"/>
      <c r="K521" s="198"/>
      <c r="L521" s="193"/>
      <c r="M521" s="193"/>
    </row>
    <row r="522" spans="1:13" ht="37.5" customHeight="1">
      <c r="A522" s="193"/>
      <c r="B522" s="1104" t="s">
        <v>623</v>
      </c>
      <c r="C522" s="1105"/>
      <c r="D522" s="470"/>
      <c r="E522" s="475">
        <f>SUM(F424:F435)</f>
        <v>4757.6270322453256</v>
      </c>
      <c r="F522" s="475">
        <f>SUM(F436:F447)</f>
        <v>3981.2165298037335</v>
      </c>
      <c r="G522" s="475">
        <f>SUM(F448:F459)</f>
        <v>3071.2634209421849</v>
      </c>
      <c r="H522" s="475">
        <f>SUM(F460:F471)</f>
        <v>2004.7983773564488</v>
      </c>
      <c r="I522" s="545">
        <f>SUM(F472:F483)</f>
        <v>754.90134627396469</v>
      </c>
      <c r="J522" s="198"/>
      <c r="K522" s="198"/>
      <c r="L522" s="193"/>
      <c r="M522" s="193"/>
    </row>
    <row r="523" spans="1:13" ht="23.25">
      <c r="A523" s="193"/>
      <c r="B523" s="1113" t="s">
        <v>624</v>
      </c>
      <c r="C523" s="1113"/>
      <c r="D523" s="470"/>
      <c r="E523" s="470">
        <v>0</v>
      </c>
      <c r="F523" s="470">
        <v>0</v>
      </c>
      <c r="G523" s="470">
        <v>0</v>
      </c>
      <c r="H523" s="470">
        <v>0</v>
      </c>
      <c r="I523" s="470">
        <v>0</v>
      </c>
      <c r="J523" s="198"/>
      <c r="K523" s="198"/>
      <c r="L523" s="193"/>
      <c r="M523" s="193"/>
    </row>
    <row r="524" spans="1:13" ht="23.25">
      <c r="A524" s="193"/>
      <c r="B524" s="1102" t="s">
        <v>625</v>
      </c>
      <c r="C524" s="1103"/>
      <c r="D524" s="478"/>
      <c r="E524" s="478">
        <f>E521-E522-E523</f>
        <v>184227.58224775497</v>
      </c>
      <c r="F524" s="478">
        <f>F521-F522-F523</f>
        <v>212838.64942772625</v>
      </c>
      <c r="G524" s="478">
        <f>G521-G522-G523</f>
        <v>242022.84400085022</v>
      </c>
      <c r="H524" s="478">
        <f>H521-H522-H523</f>
        <v>282290.00444916962</v>
      </c>
      <c r="I524" s="478">
        <f>I521-I522-I523</f>
        <v>316131.97579810955</v>
      </c>
      <c r="J524" s="198"/>
      <c r="K524" s="198"/>
      <c r="L524" s="193"/>
      <c r="M524" s="193"/>
    </row>
    <row r="525" spans="1:13" ht="23.25">
      <c r="A525" s="193"/>
      <c r="B525" s="1114" t="s">
        <v>626</v>
      </c>
      <c r="C525" s="1105"/>
      <c r="D525" s="546">
        <v>0.01</v>
      </c>
      <c r="E525" s="470">
        <f>E516*$D$525</f>
        <v>12343.597364000003</v>
      </c>
      <c r="F525" s="470">
        <f>F516*$D$525</f>
        <v>13116.57373615134</v>
      </c>
      <c r="G525" s="470">
        <f>G516*$D$525</f>
        <v>14019.523394114542</v>
      </c>
      <c r="H525" s="470">
        <f>H516*$D$525</f>
        <v>14999.498138371182</v>
      </c>
      <c r="I525" s="470">
        <f>I516*$D$525</f>
        <v>16025.077011477528</v>
      </c>
      <c r="J525" s="198"/>
      <c r="K525" s="198"/>
      <c r="L525" s="193"/>
      <c r="M525" s="193"/>
    </row>
    <row r="526" spans="1:13" ht="116.25">
      <c r="A526" s="193"/>
      <c r="B526" s="1102" t="s">
        <v>627</v>
      </c>
      <c r="C526" s="1103"/>
      <c r="D526" s="287" t="s">
        <v>720</v>
      </c>
      <c r="E526" s="482">
        <f>E524-E525</f>
        <v>171883.98488375495</v>
      </c>
      <c r="F526" s="482">
        <f>F524-F525</f>
        <v>199722.07569157492</v>
      </c>
      <c r="G526" s="482">
        <f>G524-G525</f>
        <v>228003.32060673568</v>
      </c>
      <c r="H526" s="482">
        <f>H524-H525</f>
        <v>267290.50631079846</v>
      </c>
      <c r="I526" s="482">
        <f>I524-I525</f>
        <v>300106.89878663199</v>
      </c>
      <c r="J526" s="198"/>
      <c r="K526" s="198"/>
      <c r="L526" s="193"/>
      <c r="M526" s="193"/>
    </row>
    <row r="527" spans="1:13" ht="23.25">
      <c r="A527" s="547" t="s">
        <v>721</v>
      </c>
      <c r="B527" s="484" t="s">
        <v>526</v>
      </c>
      <c r="C527" s="480"/>
      <c r="D527" s="470"/>
      <c r="E527" s="470">
        <f t="shared" ref="E527:I528" si="58">E519</f>
        <v>8849.1219999999994</v>
      </c>
      <c r="F527" s="470">
        <f t="shared" si="58"/>
        <v>8849.1219999999994</v>
      </c>
      <c r="G527" s="470">
        <f t="shared" si="58"/>
        <v>8849.1219999999994</v>
      </c>
      <c r="H527" s="470">
        <f t="shared" si="58"/>
        <v>8849.1219999999994</v>
      </c>
      <c r="I527" s="470">
        <f t="shared" si="58"/>
        <v>8849.1219999999994</v>
      </c>
      <c r="J527" s="198"/>
      <c r="K527" s="198"/>
      <c r="L527" s="193"/>
      <c r="M527" s="193"/>
    </row>
    <row r="528" spans="1:13" ht="23.25">
      <c r="A528" s="547" t="s">
        <v>721</v>
      </c>
      <c r="B528" s="484" t="s">
        <v>527</v>
      </c>
      <c r="C528" s="480"/>
      <c r="D528" s="480"/>
      <c r="E528" s="470">
        <f t="shared" si="58"/>
        <v>542.15</v>
      </c>
      <c r="F528" s="470">
        <f t="shared" si="58"/>
        <v>542.15</v>
      </c>
      <c r="G528" s="470">
        <f t="shared" si="58"/>
        <v>542.15</v>
      </c>
      <c r="H528" s="470">
        <f t="shared" si="58"/>
        <v>542.15</v>
      </c>
      <c r="I528" s="470">
        <f t="shared" si="58"/>
        <v>542.15</v>
      </c>
      <c r="J528" s="198"/>
      <c r="K528" s="198"/>
      <c r="L528" s="193"/>
      <c r="M528" s="193"/>
    </row>
    <row r="529" spans="1:13" ht="23.25">
      <c r="A529" s="548" t="s">
        <v>721</v>
      </c>
      <c r="B529" s="468" t="s">
        <v>623</v>
      </c>
      <c r="C529" s="469"/>
      <c r="D529" s="469"/>
      <c r="E529" s="476">
        <f t="shared" ref="E529:I530" si="59">E522</f>
        <v>4757.6270322453256</v>
      </c>
      <c r="F529" s="476">
        <f t="shared" si="59"/>
        <v>3981.2165298037335</v>
      </c>
      <c r="G529" s="476">
        <f t="shared" si="59"/>
        <v>3071.2634209421849</v>
      </c>
      <c r="H529" s="476">
        <f t="shared" si="59"/>
        <v>2004.7983773564488</v>
      </c>
      <c r="I529" s="476">
        <f t="shared" si="59"/>
        <v>754.90134627396469</v>
      </c>
      <c r="J529" s="198"/>
      <c r="K529" s="198"/>
      <c r="L529" s="193"/>
      <c r="M529" s="193"/>
    </row>
    <row r="530" spans="1:13" ht="23.25">
      <c r="A530" s="548" t="s">
        <v>721</v>
      </c>
      <c r="B530" s="468" t="s">
        <v>624</v>
      </c>
      <c r="C530" s="469"/>
      <c r="D530" s="469"/>
      <c r="E530" s="476">
        <f t="shared" si="59"/>
        <v>0</v>
      </c>
      <c r="F530" s="476">
        <f t="shared" si="59"/>
        <v>0</v>
      </c>
      <c r="G530" s="476">
        <f t="shared" si="59"/>
        <v>0</v>
      </c>
      <c r="H530" s="476">
        <f t="shared" si="59"/>
        <v>0</v>
      </c>
      <c r="I530" s="476">
        <f t="shared" si="59"/>
        <v>0</v>
      </c>
      <c r="J530" s="198"/>
      <c r="K530" s="198"/>
      <c r="L530" s="193"/>
      <c r="M530" s="193"/>
    </row>
    <row r="531" spans="1:13" ht="45.75" customHeight="1">
      <c r="A531" s="193"/>
      <c r="B531" s="1102" t="s">
        <v>630</v>
      </c>
      <c r="C531" s="1103"/>
      <c r="D531" s="201" t="s">
        <v>722</v>
      </c>
      <c r="E531" s="485">
        <f>E526+E527+E528+E529+E530</f>
        <v>186032.88391600028</v>
      </c>
      <c r="F531" s="485">
        <f>F526+F527+F528+F529+F530</f>
        <v>213094.56422137865</v>
      </c>
      <c r="G531" s="485">
        <f>G526+G527+G528+G529+G530</f>
        <v>240465.85602767786</v>
      </c>
      <c r="H531" s="485">
        <f>H526+H527+H528+H529+H530</f>
        <v>278686.57668815489</v>
      </c>
      <c r="I531" s="485">
        <f>I526+I527+I528+I529+I530</f>
        <v>310253.07213290595</v>
      </c>
      <c r="J531" s="198"/>
      <c r="K531" s="198"/>
      <c r="L531" s="193"/>
      <c r="M531" s="193"/>
    </row>
    <row r="532" spans="1:13" ht="23.25">
      <c r="A532" s="193"/>
      <c r="B532" s="480" t="s">
        <v>631</v>
      </c>
      <c r="C532" s="484"/>
      <c r="D532" s="549">
        <f>D380</f>
        <v>-79471.002999999997</v>
      </c>
      <c r="E532" s="507"/>
      <c r="F532" s="507"/>
      <c r="G532" s="507"/>
      <c r="H532" s="507"/>
      <c r="I532" s="507"/>
      <c r="J532" s="198"/>
      <c r="K532" s="198"/>
      <c r="L532" s="193"/>
      <c r="M532" s="193"/>
    </row>
    <row r="533" spans="1:13" ht="69.75" customHeight="1">
      <c r="A533" s="193"/>
      <c r="B533" s="1104" t="s">
        <v>723</v>
      </c>
      <c r="C533" s="1105"/>
      <c r="D533" s="502">
        <f>D490</f>
        <v>31788.4012</v>
      </c>
      <c r="E533" s="507"/>
      <c r="F533" s="507"/>
      <c r="G533" s="507"/>
      <c r="H533" s="507"/>
      <c r="I533" s="507"/>
      <c r="J533" s="198"/>
      <c r="K533" s="198"/>
      <c r="L533" s="193"/>
      <c r="M533" s="193"/>
    </row>
    <row r="534" spans="1:13" ht="46.5" customHeight="1">
      <c r="A534" s="193"/>
      <c r="B534" s="1104" t="s">
        <v>724</v>
      </c>
      <c r="C534" s="1105"/>
      <c r="D534" s="549"/>
      <c r="E534" s="550">
        <f>SUM(E424:E435)</f>
        <v>4514.0145490789937</v>
      </c>
      <c r="F534" s="550">
        <f>SUM(E436:E447)</f>
        <v>5290.4250515205867</v>
      </c>
      <c r="G534" s="550">
        <f>SUM(E448:E459)</f>
        <v>6200.3781603821335</v>
      </c>
      <c r="H534" s="550">
        <f>SUM(E460:E471)</f>
        <v>7266.8432039678701</v>
      </c>
      <c r="I534" s="550">
        <f>SUM(E472:E483)</f>
        <v>8516.7402350503544</v>
      </c>
      <c r="J534" s="551" t="s">
        <v>725</v>
      </c>
      <c r="K534" s="198"/>
      <c r="L534" s="193"/>
      <c r="M534" s="193"/>
    </row>
    <row r="535" spans="1:13" ht="46.5" customHeight="1">
      <c r="A535" s="193"/>
      <c r="B535" s="1104" t="s">
        <v>726</v>
      </c>
      <c r="C535" s="1105"/>
      <c r="D535" s="549"/>
      <c r="E535" s="550">
        <f>E529</f>
        <v>4757.6270322453256</v>
      </c>
      <c r="F535" s="550">
        <f>F529</f>
        <v>3981.2165298037335</v>
      </c>
      <c r="G535" s="550">
        <f>G529</f>
        <v>3071.2634209421849</v>
      </c>
      <c r="H535" s="550">
        <f>H529</f>
        <v>2004.7983773564488</v>
      </c>
      <c r="I535" s="550">
        <f>I529</f>
        <v>754.90134627396469</v>
      </c>
      <c r="J535" s="551" t="s">
        <v>725</v>
      </c>
      <c r="K535" s="198"/>
      <c r="L535" s="193"/>
      <c r="M535" s="193"/>
    </row>
    <row r="536" spans="1:13" ht="52.5" customHeight="1">
      <c r="A536" s="193"/>
      <c r="B536" s="1106" t="s">
        <v>727</v>
      </c>
      <c r="C536" s="1107"/>
      <c r="D536" s="482">
        <f>D532+D533</f>
        <v>-47682.601799999997</v>
      </c>
      <c r="E536" s="482">
        <f>E531-E534-E535</f>
        <v>176761.24233467595</v>
      </c>
      <c r="F536" s="482">
        <f>F531-F534-F535</f>
        <v>203822.92264005434</v>
      </c>
      <c r="G536" s="482">
        <f>G531-G534-G535</f>
        <v>231194.21444635355</v>
      </c>
      <c r="H536" s="482">
        <f>H531-H534-H535</f>
        <v>269414.93510683061</v>
      </c>
      <c r="I536" s="482">
        <f>I531-I534-I535</f>
        <v>300981.43055158167</v>
      </c>
      <c r="J536" s="198"/>
      <c r="K536" s="198"/>
      <c r="L536" s="193"/>
      <c r="M536" s="193"/>
    </row>
    <row r="537" spans="1:13" ht="23.25">
      <c r="A537" s="193"/>
      <c r="B537" s="276" t="s">
        <v>728</v>
      </c>
      <c r="C537" s="552">
        <f>I492</f>
        <v>0.22715740000000001</v>
      </c>
      <c r="D537" s="492"/>
      <c r="E537" s="493"/>
      <c r="F537" s="493"/>
      <c r="G537" s="493"/>
      <c r="H537" s="493"/>
      <c r="I537" s="493"/>
      <c r="J537" s="198"/>
      <c r="K537" s="198"/>
      <c r="L537" s="193"/>
      <c r="M537" s="193"/>
    </row>
    <row r="538" spans="1:13" ht="23.25">
      <c r="A538" s="193"/>
      <c r="B538" s="553"/>
      <c r="C538" s="554"/>
      <c r="D538" s="492"/>
      <c r="E538" s="493"/>
      <c r="F538" s="493"/>
      <c r="G538" s="493"/>
      <c r="H538" s="493"/>
      <c r="I538" s="493"/>
      <c r="J538" s="198"/>
      <c r="K538" s="198"/>
      <c r="L538" s="193"/>
      <c r="M538" s="193"/>
    </row>
    <row r="539" spans="1:13" ht="23.25">
      <c r="A539" s="193"/>
      <c r="B539" s="1108">
        <v>10.11</v>
      </c>
      <c r="C539" s="555" t="s">
        <v>729</v>
      </c>
      <c r="D539" s="470">
        <f>NPV(C537,E536:I536)+D536</f>
        <v>583766.31804509205</v>
      </c>
      <c r="E539" s="495"/>
      <c r="F539" s="495"/>
      <c r="G539" s="495"/>
      <c r="H539" s="495"/>
      <c r="I539" s="495"/>
      <c r="J539" s="198"/>
      <c r="K539" s="198"/>
      <c r="L539" s="193"/>
      <c r="M539" s="193"/>
    </row>
    <row r="540" spans="1:13" ht="23.25">
      <c r="A540" s="193"/>
      <c r="B540" s="1108"/>
      <c r="C540" s="555" t="s">
        <v>730</v>
      </c>
      <c r="D540" s="556">
        <f>IRR(D536:I536)</f>
        <v>3.8541757419427469</v>
      </c>
      <c r="E540" s="499"/>
      <c r="F540" s="499"/>
      <c r="G540" s="499"/>
      <c r="H540" s="499"/>
      <c r="I540" s="499"/>
      <c r="J540" s="198"/>
      <c r="K540" s="198"/>
      <c r="L540" s="193"/>
      <c r="M540" s="193"/>
    </row>
    <row r="541" spans="1:13" ht="36.75" customHeight="1">
      <c r="A541" s="193"/>
      <c r="B541" s="1108"/>
      <c r="C541" s="494" t="s">
        <v>731</v>
      </c>
      <c r="D541" s="317">
        <f>NPV(C537,E536:I536)/-D536</f>
        <v>13.242753037966398</v>
      </c>
      <c r="E541" s="1098" t="s">
        <v>732</v>
      </c>
      <c r="F541" s="1099"/>
      <c r="G541" s="1099"/>
      <c r="H541" s="1099"/>
      <c r="I541" s="557">
        <f>D541-1</f>
        <v>12.242753037966398</v>
      </c>
      <c r="J541" s="199" t="s">
        <v>284</v>
      </c>
      <c r="K541" s="198"/>
      <c r="L541" s="193"/>
      <c r="M541" s="193"/>
    </row>
    <row r="542" spans="1:13" ht="23.25">
      <c r="A542" s="193"/>
      <c r="B542" s="1108"/>
      <c r="C542" s="555" t="s">
        <v>733</v>
      </c>
      <c r="D542" s="312"/>
      <c r="E542" s="499"/>
      <c r="F542" s="499"/>
      <c r="G542" s="499"/>
      <c r="H542" s="499"/>
      <c r="I542" s="499"/>
      <c r="J542" s="198"/>
      <c r="K542" s="198"/>
      <c r="L542" s="193"/>
      <c r="M542" s="193"/>
    </row>
    <row r="543" spans="1:13" ht="52.5" customHeight="1">
      <c r="A543" s="193"/>
      <c r="B543" s="201" t="s">
        <v>264</v>
      </c>
      <c r="C543" s="201" t="s">
        <v>644</v>
      </c>
      <c r="D543" s="213" t="s">
        <v>645</v>
      </c>
      <c r="E543" s="1109" t="s">
        <v>647</v>
      </c>
      <c r="F543" s="1110"/>
      <c r="G543" s="1110"/>
      <c r="H543" s="1110"/>
      <c r="I543" s="1111"/>
      <c r="J543" s="438"/>
      <c r="K543" s="198"/>
      <c r="L543" s="193"/>
      <c r="M543" s="193"/>
    </row>
    <row r="544" spans="1:13" ht="23.25">
      <c r="A544" s="193"/>
      <c r="B544" s="204">
        <v>0</v>
      </c>
      <c r="C544" s="480"/>
      <c r="D544" s="470">
        <f>-D536</f>
        <v>47682.601799999997</v>
      </c>
      <c r="E544" s="558">
        <f>E536/(1+$C$537)^(1)</f>
        <v>144041.21454564502</v>
      </c>
      <c r="F544" s="558">
        <f>F536/(1+$C$537)^(2)</f>
        <v>135348.19969948006</v>
      </c>
      <c r="G544" s="558">
        <f>G536/(1+$C$537)^(3)</f>
        <v>125105.42713221302</v>
      </c>
      <c r="H544" s="558">
        <f>H536/(1+$C$537)^(4)</f>
        <v>118801.13365172487</v>
      </c>
      <c r="I544" s="559">
        <f>I536/(1+$C$537)^(5)</f>
        <v>108152.94481602895</v>
      </c>
      <c r="J544" s="219">
        <f>SUM(E544:I545)</f>
        <v>631448.91984509188</v>
      </c>
      <c r="K544" s="198"/>
      <c r="L544" s="193"/>
      <c r="M544" s="193"/>
    </row>
    <row r="545" spans="1:13" ht="23.25">
      <c r="A545" s="193"/>
      <c r="B545" s="204">
        <v>1</v>
      </c>
      <c r="C545" s="319">
        <f>E544</f>
        <v>144041.21454564502</v>
      </c>
      <c r="D545" s="470">
        <f>D544-C545</f>
        <v>-96358.612745645019</v>
      </c>
      <c r="E545" s="499"/>
      <c r="F545" s="499"/>
      <c r="G545" s="499"/>
      <c r="H545" s="499"/>
      <c r="I545" s="499"/>
      <c r="J545" s="219">
        <f>D536</f>
        <v>-47682.601799999997</v>
      </c>
      <c r="K545" s="198"/>
      <c r="L545" s="193"/>
      <c r="M545" s="193"/>
    </row>
    <row r="546" spans="1:13" ht="23.25">
      <c r="A546" s="193"/>
      <c r="B546" s="204">
        <v>2</v>
      </c>
      <c r="C546" s="319">
        <f>F544</f>
        <v>135348.19969948006</v>
      </c>
      <c r="D546" s="470">
        <f>D545-C546</f>
        <v>-231706.81244512508</v>
      </c>
      <c r="E546" s="499"/>
      <c r="F546" s="499"/>
      <c r="G546" s="499"/>
      <c r="H546" s="499"/>
      <c r="I546" s="499"/>
      <c r="J546" s="219">
        <f>SUM(J544:J545)</f>
        <v>583766.31804509193</v>
      </c>
      <c r="K546" s="198"/>
      <c r="L546" s="193"/>
      <c r="M546" s="193"/>
    </row>
    <row r="547" spans="1:13" ht="23.25">
      <c r="A547" s="193"/>
      <c r="B547" s="204">
        <v>3</v>
      </c>
      <c r="C547" s="319">
        <f>G544</f>
        <v>125105.42713221302</v>
      </c>
      <c r="D547" s="470">
        <f>D546-C547</f>
        <v>-356812.2395773381</v>
      </c>
      <c r="E547" s="560" t="s">
        <v>567</v>
      </c>
      <c r="F547" s="560" t="s">
        <v>649</v>
      </c>
      <c r="G547" s="560" t="s">
        <v>650</v>
      </c>
      <c r="H547" s="499"/>
      <c r="I547" s="499"/>
      <c r="J547" s="506" t="s">
        <v>734</v>
      </c>
      <c r="K547" s="198"/>
      <c r="L547" s="193"/>
      <c r="M547" s="193"/>
    </row>
    <row r="548" spans="1:13" ht="23.25">
      <c r="A548" s="193"/>
      <c r="B548" s="204">
        <v>4</v>
      </c>
      <c r="C548" s="319">
        <f>H544</f>
        <v>118801.13365172487</v>
      </c>
      <c r="D548" s="470">
        <f>D547-C548</f>
        <v>-475613.373229063</v>
      </c>
      <c r="E548" s="560">
        <v>0</v>
      </c>
      <c r="F548" s="560">
        <v>3</v>
      </c>
      <c r="G548" s="560">
        <v>29</v>
      </c>
      <c r="H548" s="499"/>
      <c r="I548" s="499"/>
      <c r="J548" s="198"/>
      <c r="K548" s="198"/>
      <c r="L548" s="193"/>
      <c r="M548" s="193"/>
    </row>
    <row r="549" spans="1:13" ht="23.25">
      <c r="A549" s="193"/>
      <c r="B549" s="204">
        <v>5</v>
      </c>
      <c r="C549" s="319">
        <f>I544</f>
        <v>108152.94481602895</v>
      </c>
      <c r="D549" s="470">
        <f>D548-C549</f>
        <v>-583766.31804509193</v>
      </c>
      <c r="E549" s="480"/>
      <c r="F549" s="487">
        <f>(D544/C545)*12</f>
        <v>3.9724131971872474</v>
      </c>
      <c r="G549" s="487">
        <f>(F549-F548)*30</f>
        <v>29.172395915617422</v>
      </c>
      <c r="H549" s="499"/>
      <c r="I549" s="499"/>
      <c r="J549" s="198"/>
      <c r="K549" s="198"/>
      <c r="L549" s="193"/>
      <c r="M549" s="193"/>
    </row>
    <row r="550" spans="1:13" ht="23.25">
      <c r="A550" s="193"/>
      <c r="B550" s="200"/>
      <c r="C550" s="200"/>
      <c r="D550" s="561"/>
      <c r="E550" s="200"/>
      <c r="F550" s="200"/>
      <c r="G550" s="200"/>
      <c r="H550" s="200"/>
      <c r="I550" s="200"/>
      <c r="J550" s="198"/>
      <c r="K550" s="198"/>
      <c r="L550" s="193"/>
      <c r="M550" s="193"/>
    </row>
    <row r="551" spans="1:13" ht="23.25" customHeight="1">
      <c r="A551" s="193"/>
      <c r="B551" s="200"/>
      <c r="C551" s="1100" t="s">
        <v>735</v>
      </c>
      <c r="D551" s="1101"/>
      <c r="E551" s="1101"/>
      <c r="F551" s="1101"/>
      <c r="G551" s="1101"/>
      <c r="H551" s="200"/>
      <c r="I551" s="200"/>
      <c r="J551" s="198"/>
      <c r="K551" s="198"/>
      <c r="L551" s="193"/>
      <c r="M551" s="193"/>
    </row>
    <row r="552" spans="1:13" ht="23.25">
      <c r="A552" s="193"/>
      <c r="B552" s="200"/>
      <c r="C552" s="200"/>
      <c r="D552" s="561"/>
      <c r="E552" s="200"/>
      <c r="F552" s="200"/>
      <c r="G552" s="562"/>
      <c r="H552" s="200"/>
      <c r="I552" s="200"/>
      <c r="J552" s="198"/>
      <c r="K552" s="198"/>
      <c r="L552" s="193"/>
      <c r="M552" s="193"/>
    </row>
    <row r="553" spans="1:13" ht="23.25">
      <c r="A553" s="193"/>
      <c r="B553" s="221">
        <v>10.119999999999999</v>
      </c>
      <c r="C553" s="200"/>
      <c r="D553" s="561"/>
      <c r="E553" s="200"/>
      <c r="F553" s="200"/>
      <c r="G553" s="200"/>
      <c r="H553" s="200"/>
      <c r="I553" s="200"/>
      <c r="J553" s="198"/>
      <c r="K553" s="198"/>
      <c r="L553" s="193"/>
      <c r="M553" s="193"/>
    </row>
    <row r="554" spans="1:13" ht="23.25">
      <c r="A554" s="193"/>
      <c r="B554" s="562" t="s">
        <v>736</v>
      </c>
      <c r="C554" s="197"/>
      <c r="D554" s="561"/>
      <c r="E554" s="200"/>
      <c r="F554" s="200"/>
      <c r="G554" s="200"/>
      <c r="H554" s="200"/>
      <c r="I554" s="200"/>
      <c r="J554" s="198"/>
      <c r="K554" s="198"/>
      <c r="L554" s="193"/>
      <c r="M554" s="193"/>
    </row>
    <row r="555" spans="1:13" ht="23.25">
      <c r="A555" s="193"/>
      <c r="B555" s="200"/>
      <c r="C555" s="200"/>
      <c r="D555" s="561"/>
      <c r="E555" s="200"/>
      <c r="F555" s="200"/>
      <c r="G555" s="200"/>
      <c r="H555" s="200"/>
      <c r="I555" s="200"/>
      <c r="J555" s="198"/>
      <c r="K555" s="198"/>
      <c r="L555" s="193"/>
      <c r="M555" s="193"/>
    </row>
    <row r="556" spans="1:13">
      <c r="A556" s="193"/>
      <c r="B556" s="207"/>
      <c r="C556" s="207"/>
      <c r="D556" s="214"/>
      <c r="E556" s="207"/>
      <c r="F556" s="207"/>
      <c r="G556" s="207"/>
      <c r="H556" s="207"/>
      <c r="I556" s="207"/>
      <c r="J556" s="193"/>
      <c r="K556" s="193"/>
      <c r="L556" s="193"/>
      <c r="M556" s="193"/>
    </row>
    <row r="557" spans="1:13">
      <c r="A557" s="193"/>
      <c r="B557" s="207"/>
      <c r="C557" s="207"/>
      <c r="D557" s="214"/>
      <c r="E557" s="207"/>
      <c r="F557" s="207"/>
      <c r="G557" s="207"/>
      <c r="H557" s="207"/>
      <c r="I557" s="207"/>
      <c r="J557" s="193"/>
      <c r="K557" s="193"/>
      <c r="L557" s="193"/>
      <c r="M557" s="193"/>
    </row>
    <row r="558" spans="1:13">
      <c r="A558" s="193"/>
      <c r="B558" s="207"/>
      <c r="C558" s="207"/>
      <c r="D558" s="214"/>
      <c r="E558" s="207"/>
      <c r="F558" s="207"/>
      <c r="G558" s="207"/>
      <c r="H558" s="207"/>
      <c r="I558" s="207"/>
      <c r="J558" s="193"/>
      <c r="K558" s="193"/>
      <c r="L558" s="193"/>
      <c r="M558" s="193"/>
    </row>
  </sheetData>
  <mergeCells count="193">
    <mergeCell ref="B6:G6"/>
    <mergeCell ref="B7:G7"/>
    <mergeCell ref="B8:F8"/>
    <mergeCell ref="B9:F9"/>
    <mergeCell ref="F23:G23"/>
    <mergeCell ref="H24:I24"/>
    <mergeCell ref="B30:F30"/>
    <mergeCell ref="B33:C33"/>
    <mergeCell ref="B38:C38"/>
    <mergeCell ref="B39:C39"/>
    <mergeCell ref="B10:F10"/>
    <mergeCell ref="B11:F11"/>
    <mergeCell ref="B14:G14"/>
    <mergeCell ref="B16:E16"/>
    <mergeCell ref="B17:E17"/>
    <mergeCell ref="B18:E18"/>
    <mergeCell ref="C52:D52"/>
    <mergeCell ref="B61:F61"/>
    <mergeCell ref="A64:F64"/>
    <mergeCell ref="A65:F65"/>
    <mergeCell ref="B40:C40"/>
    <mergeCell ref="B42:C42"/>
    <mergeCell ref="B43:C43"/>
    <mergeCell ref="B44:C44"/>
    <mergeCell ref="B45:C45"/>
    <mergeCell ref="C47:D47"/>
    <mergeCell ref="B95:C95"/>
    <mergeCell ref="C100:D100"/>
    <mergeCell ref="C105:D105"/>
    <mergeCell ref="B114:F114"/>
    <mergeCell ref="B131:D131"/>
    <mergeCell ref="D67:E67"/>
    <mergeCell ref="A81:E82"/>
    <mergeCell ref="B86:C86"/>
    <mergeCell ref="B91:C91"/>
    <mergeCell ref="B92:C92"/>
    <mergeCell ref="B93:C93"/>
    <mergeCell ref="B165:F165"/>
    <mergeCell ref="B167:C167"/>
    <mergeCell ref="A168:H168"/>
    <mergeCell ref="I168:J168"/>
    <mergeCell ref="A170:C170"/>
    <mergeCell ref="A171:C171"/>
    <mergeCell ref="B136:D136"/>
    <mergeCell ref="A152:A156"/>
    <mergeCell ref="D152:D156"/>
    <mergeCell ref="B158:D158"/>
    <mergeCell ref="A161:A162"/>
    <mergeCell ref="B161:B162"/>
    <mergeCell ref="C161:H161"/>
    <mergeCell ref="C162:H162"/>
    <mergeCell ref="B140:I140"/>
    <mergeCell ref="A181:C181"/>
    <mergeCell ref="A182:C182"/>
    <mergeCell ref="A183:C183"/>
    <mergeCell ref="A185:B185"/>
    <mergeCell ref="A186:B186"/>
    <mergeCell ref="A187:B187"/>
    <mergeCell ref="A173:C173"/>
    <mergeCell ref="A174:C174"/>
    <mergeCell ref="A176:C176"/>
    <mergeCell ref="A177:C177"/>
    <mergeCell ref="A179:C179"/>
    <mergeCell ref="A180:C180"/>
    <mergeCell ref="A201:F201"/>
    <mergeCell ref="A204:B204"/>
    <mergeCell ref="A206:B206"/>
    <mergeCell ref="A208:B208"/>
    <mergeCell ref="A210:H210"/>
    <mergeCell ref="A214:B214"/>
    <mergeCell ref="A189:C189"/>
    <mergeCell ref="A190:C190"/>
    <mergeCell ref="A191:C191"/>
    <mergeCell ref="A195:C195"/>
    <mergeCell ref="A196:C196"/>
    <mergeCell ref="A197:C197"/>
    <mergeCell ref="I222:J222"/>
    <mergeCell ref="D227:H227"/>
    <mergeCell ref="A228:C228"/>
    <mergeCell ref="A229:C229"/>
    <mergeCell ref="A230:C230"/>
    <mergeCell ref="A231:C231"/>
    <mergeCell ref="I214:J214"/>
    <mergeCell ref="I215:J215"/>
    <mergeCell ref="A216:B216"/>
    <mergeCell ref="I216:J216"/>
    <mergeCell ref="A218:B218"/>
    <mergeCell ref="I219:J219"/>
    <mergeCell ref="B245:H245"/>
    <mergeCell ref="B249:D249"/>
    <mergeCell ref="B251:E251"/>
    <mergeCell ref="B252:E252"/>
    <mergeCell ref="B253:E253"/>
    <mergeCell ref="B254:E254"/>
    <mergeCell ref="A233:C233"/>
    <mergeCell ref="A234:C234"/>
    <mergeCell ref="A236:C236"/>
    <mergeCell ref="A237:C237"/>
    <mergeCell ref="A239:C239"/>
    <mergeCell ref="A240:C240"/>
    <mergeCell ref="B263:D263"/>
    <mergeCell ref="B265:E265"/>
    <mergeCell ref="B266:E266"/>
    <mergeCell ref="B267:E267"/>
    <mergeCell ref="B269:D269"/>
    <mergeCell ref="B270:D270"/>
    <mergeCell ref="B255:E255"/>
    <mergeCell ref="B256:E256"/>
    <mergeCell ref="B258:D258"/>
    <mergeCell ref="B259:D259"/>
    <mergeCell ref="B260:D260"/>
    <mergeCell ref="B261:D261"/>
    <mergeCell ref="B279:E279"/>
    <mergeCell ref="B284:J284"/>
    <mergeCell ref="B289:E289"/>
    <mergeCell ref="B290:E290"/>
    <mergeCell ref="B291:E291"/>
    <mergeCell ref="B293:E293"/>
    <mergeCell ref="B271:D271"/>
    <mergeCell ref="B273:J273"/>
    <mergeCell ref="B275:E275"/>
    <mergeCell ref="B276:E276"/>
    <mergeCell ref="B277:E277"/>
    <mergeCell ref="B278:E278"/>
    <mergeCell ref="B303:E303"/>
    <mergeCell ref="B304:E304"/>
    <mergeCell ref="B305:E305"/>
    <mergeCell ref="B306:E306"/>
    <mergeCell ref="B307:E307"/>
    <mergeCell ref="B313:I313"/>
    <mergeCell ref="B295:E295"/>
    <mergeCell ref="B296:E296"/>
    <mergeCell ref="B297:E297"/>
    <mergeCell ref="B299:E299"/>
    <mergeCell ref="B300:E300"/>
    <mergeCell ref="B301:E301"/>
    <mergeCell ref="D350:D354"/>
    <mergeCell ref="B355:D355"/>
    <mergeCell ref="B359:C359"/>
    <mergeCell ref="E359:I359"/>
    <mergeCell ref="E361:I361"/>
    <mergeCell ref="B362:C362"/>
    <mergeCell ref="B319:D319"/>
    <mergeCell ref="B333:D333"/>
    <mergeCell ref="B338:D338"/>
    <mergeCell ref="B341:I341"/>
    <mergeCell ref="B343:D343"/>
    <mergeCell ref="B349:D349"/>
    <mergeCell ref="B372:C372"/>
    <mergeCell ref="B374:C374"/>
    <mergeCell ref="B379:C379"/>
    <mergeCell ref="B380:C380"/>
    <mergeCell ref="B382:C382"/>
    <mergeCell ref="A384:A387"/>
    <mergeCell ref="B365:C365"/>
    <mergeCell ref="B366:C366"/>
    <mergeCell ref="C367:D367"/>
    <mergeCell ref="C368:D368"/>
    <mergeCell ref="B369:C369"/>
    <mergeCell ref="B371:C371"/>
    <mergeCell ref="B410:C410"/>
    <mergeCell ref="B486:E486"/>
    <mergeCell ref="B488:C488"/>
    <mergeCell ref="B496:E496"/>
    <mergeCell ref="B498:C498"/>
    <mergeCell ref="D498:E498"/>
    <mergeCell ref="E386:H386"/>
    <mergeCell ref="C396:G396"/>
    <mergeCell ref="B398:G398"/>
    <mergeCell ref="B399:G399"/>
    <mergeCell ref="B400:G400"/>
    <mergeCell ref="E388:I388"/>
    <mergeCell ref="B521:C521"/>
    <mergeCell ref="B522:C522"/>
    <mergeCell ref="B523:C523"/>
    <mergeCell ref="B524:C524"/>
    <mergeCell ref="B525:C525"/>
    <mergeCell ref="B526:C526"/>
    <mergeCell ref="B508:H508"/>
    <mergeCell ref="B510:H510"/>
    <mergeCell ref="E513:I513"/>
    <mergeCell ref="B514:C514"/>
    <mergeCell ref="B517:C517"/>
    <mergeCell ref="B518:C518"/>
    <mergeCell ref="E541:H541"/>
    <mergeCell ref="C551:G551"/>
    <mergeCell ref="B531:C531"/>
    <mergeCell ref="B533:C533"/>
    <mergeCell ref="B534:C534"/>
    <mergeCell ref="B535:C535"/>
    <mergeCell ref="B536:C536"/>
    <mergeCell ref="B539:B542"/>
    <mergeCell ref="E543:I54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77F-E832-4D41-A6B6-92557FC3496A}">
  <dimension ref="A2:S722"/>
  <sheetViews>
    <sheetView zoomScale="66" zoomScaleNormal="66" workbookViewId="0">
      <selection activeCell="F8" sqref="F8"/>
    </sheetView>
  </sheetViews>
  <sheetFormatPr baseColWidth="10" defaultRowHeight="21"/>
  <cols>
    <col min="1" max="1" width="24.85546875" style="635" customWidth="1"/>
    <col min="2" max="2" width="31.28515625" style="635" customWidth="1"/>
    <col min="3" max="3" width="29" style="635" customWidth="1"/>
    <col min="4" max="4" width="35.42578125" style="635" customWidth="1"/>
    <col min="5" max="5" width="37.5703125" style="635" customWidth="1"/>
    <col min="6" max="6" width="34.140625" style="635" customWidth="1"/>
    <col min="7" max="7" width="36.140625" style="635" customWidth="1"/>
    <col min="8" max="8" width="39.42578125" style="635" customWidth="1"/>
    <col min="9" max="9" width="31.85546875" style="635" customWidth="1"/>
    <col min="10" max="10" width="36" style="635" customWidth="1"/>
    <col min="11" max="11" width="33.7109375" style="635" customWidth="1"/>
    <col min="12" max="12" width="30.42578125" style="635" customWidth="1"/>
    <col min="13" max="13" width="31.7109375" style="635" customWidth="1"/>
    <col min="14" max="14" width="29.7109375" style="635" customWidth="1"/>
    <col min="15" max="15" width="29.85546875" style="635" customWidth="1"/>
    <col min="16" max="16" width="29.28515625" style="635" customWidth="1"/>
    <col min="17" max="17" width="34" style="635" customWidth="1"/>
    <col min="18" max="18" width="40.140625" style="635" customWidth="1"/>
    <col min="19" max="16384" width="11.42578125" style="635"/>
  </cols>
  <sheetData>
    <row r="2" spans="1:11">
      <c r="H2" s="636"/>
      <c r="I2" s="636"/>
      <c r="J2" s="636"/>
      <c r="K2" s="636"/>
    </row>
    <row r="3" spans="1:11">
      <c r="A3" s="634"/>
      <c r="B3" s="711"/>
      <c r="C3" s="634"/>
    </row>
    <row r="4" spans="1:11" ht="26.25" customHeight="1">
      <c r="A4" s="1239" t="s">
        <v>787</v>
      </c>
      <c r="B4" s="1239"/>
      <c r="C4" s="1239"/>
      <c r="D4" s="1239"/>
      <c r="E4" s="1239"/>
      <c r="F4" s="1239"/>
      <c r="G4" s="1239"/>
      <c r="H4" s="712"/>
      <c r="I4" s="634"/>
      <c r="J4" s="634"/>
    </row>
    <row r="5" spans="1:11" ht="23.25">
      <c r="A5" s="713"/>
      <c r="B5" s="714"/>
      <c r="C5" s="713"/>
      <c r="D5" s="713"/>
      <c r="E5" s="713"/>
      <c r="F5" s="715"/>
      <c r="G5" s="716"/>
      <c r="H5" s="712"/>
      <c r="I5" s="634"/>
      <c r="J5" s="634"/>
    </row>
    <row r="6" spans="1:11" ht="23.25">
      <c r="A6" s="714"/>
      <c r="B6" s="714"/>
      <c r="C6" s="717"/>
      <c r="D6" s="718"/>
      <c r="E6" s="716"/>
      <c r="F6" s="716"/>
      <c r="G6" s="716"/>
      <c r="H6" s="641"/>
      <c r="I6" s="712"/>
      <c r="J6" s="642"/>
    </row>
    <row r="7" spans="1:11" ht="23.25">
      <c r="A7" s="714"/>
      <c r="B7" s="714"/>
      <c r="C7" s="717"/>
      <c r="D7" s="718"/>
      <c r="E7" s="716"/>
      <c r="F7" s="716"/>
      <c r="G7" s="716"/>
      <c r="H7" s="641"/>
      <c r="I7" s="712"/>
      <c r="J7" s="642"/>
    </row>
    <row r="8" spans="1:11" ht="23.25">
      <c r="A8" s="714"/>
      <c r="B8" s="714"/>
      <c r="C8" s="714"/>
      <c r="D8" s="717"/>
      <c r="E8" s="717"/>
      <c r="F8" s="719"/>
      <c r="G8" s="714"/>
    </row>
    <row r="9" spans="1:11" ht="39" customHeight="1">
      <c r="A9" s="1240"/>
      <c r="B9" s="1240"/>
      <c r="C9" s="1240"/>
      <c r="D9" s="1240"/>
      <c r="E9" s="1240"/>
      <c r="F9" s="714"/>
      <c r="G9" s="696"/>
      <c r="H9" s="720"/>
      <c r="I9" s="634"/>
    </row>
    <row r="10" spans="1:11" ht="23.25">
      <c r="A10" s="714"/>
      <c r="B10" s="714"/>
      <c r="C10" s="717"/>
      <c r="D10" s="717"/>
      <c r="E10" s="719"/>
      <c r="F10" s="714"/>
      <c r="G10" s="696"/>
      <c r="H10" s="720"/>
      <c r="I10" s="634"/>
    </row>
    <row r="11" spans="1:11" ht="34.5" customHeight="1">
      <c r="A11" s="1240" t="s">
        <v>788</v>
      </c>
      <c r="B11" s="1240"/>
      <c r="C11" s="1240"/>
      <c r="D11" s="1240"/>
      <c r="E11" s="1240"/>
      <c r="F11" s="717"/>
      <c r="G11" s="714"/>
      <c r="I11" s="634"/>
    </row>
    <row r="12" spans="1:11" ht="23.25">
      <c r="A12" s="721"/>
      <c r="B12" s="721"/>
      <c r="C12" s="722"/>
      <c r="D12" s="722"/>
      <c r="E12" s="723"/>
      <c r="F12" s="718"/>
      <c r="G12" s="714"/>
      <c r="I12" s="634"/>
    </row>
    <row r="13" spans="1:11" ht="69.75">
      <c r="A13" s="724" t="s">
        <v>778</v>
      </c>
      <c r="B13" s="724" t="s">
        <v>791</v>
      </c>
      <c r="C13" s="725" t="s">
        <v>789</v>
      </c>
      <c r="D13" s="725" t="s">
        <v>790</v>
      </c>
      <c r="E13" s="714"/>
      <c r="F13" s="724" t="s">
        <v>792</v>
      </c>
      <c r="G13" s="725" t="s">
        <v>777</v>
      </c>
      <c r="I13" s="634"/>
    </row>
    <row r="14" spans="1:11" ht="23.25">
      <c r="A14" s="714"/>
      <c r="B14" s="726" t="s">
        <v>134</v>
      </c>
      <c r="C14" s="726" t="s">
        <v>248</v>
      </c>
      <c r="D14" s="679" t="s">
        <v>248</v>
      </c>
      <c r="E14" s="714"/>
      <c r="F14" s="95" t="s">
        <v>134</v>
      </c>
      <c r="G14" s="96" t="s">
        <v>248</v>
      </c>
      <c r="I14" s="634"/>
    </row>
    <row r="15" spans="1:11" ht="23.25">
      <c r="A15" s="714"/>
      <c r="B15" s="55" t="s">
        <v>136</v>
      </c>
      <c r="C15" s="57">
        <v>2304</v>
      </c>
      <c r="D15" s="58">
        <v>1344</v>
      </c>
      <c r="E15" s="714"/>
      <c r="F15" s="95" t="s">
        <v>176</v>
      </c>
      <c r="G15" s="97">
        <v>500</v>
      </c>
      <c r="I15" s="634"/>
    </row>
    <row r="16" spans="1:11" ht="23.25">
      <c r="A16" s="714"/>
      <c r="B16" s="55" t="s">
        <v>137</v>
      </c>
      <c r="C16" s="57">
        <v>2000</v>
      </c>
      <c r="D16" s="57">
        <v>1300</v>
      </c>
      <c r="E16" s="714"/>
      <c r="F16" s="95" t="s">
        <v>177</v>
      </c>
      <c r="G16" s="98">
        <v>750</v>
      </c>
      <c r="I16" s="634"/>
    </row>
    <row r="17" spans="1:9" ht="23.25">
      <c r="A17" s="714"/>
      <c r="B17" s="55" t="s">
        <v>138</v>
      </c>
      <c r="C17" s="57">
        <v>2090</v>
      </c>
      <c r="D17" s="57">
        <v>1500</v>
      </c>
      <c r="E17" s="714"/>
      <c r="F17" s="95" t="s">
        <v>178</v>
      </c>
      <c r="G17" s="98">
        <v>1100</v>
      </c>
      <c r="I17" s="634"/>
    </row>
    <row r="18" spans="1:9" ht="23.25">
      <c r="A18" s="714"/>
      <c r="B18" s="59" t="s">
        <v>139</v>
      </c>
      <c r="C18" s="60">
        <v>1800</v>
      </c>
      <c r="D18" s="60">
        <v>1100</v>
      </c>
      <c r="E18" s="714"/>
      <c r="F18" s="914"/>
      <c r="G18" s="915"/>
      <c r="I18" s="634"/>
    </row>
    <row r="19" spans="1:9" ht="64.5" customHeight="1">
      <c r="A19" s="714"/>
      <c r="B19" s="727" t="s">
        <v>793</v>
      </c>
      <c r="C19" s="697">
        <v>2048.5</v>
      </c>
      <c r="D19" s="697">
        <v>1311</v>
      </c>
      <c r="E19" s="714"/>
      <c r="F19" s="727" t="s">
        <v>793</v>
      </c>
      <c r="G19" s="697">
        <v>783.33333333333337</v>
      </c>
      <c r="I19" s="634"/>
    </row>
    <row r="20" spans="1:9">
      <c r="I20" s="634"/>
    </row>
    <row r="21" spans="1:9" ht="0.75" customHeight="1">
      <c r="I21" s="634"/>
    </row>
    <row r="23" spans="1:9">
      <c r="A23" s="728"/>
      <c r="B23" s="729"/>
      <c r="C23" s="730"/>
      <c r="D23" s="729"/>
      <c r="E23" s="642"/>
      <c r="F23" s="649"/>
      <c r="G23" s="649"/>
      <c r="H23" s="720"/>
      <c r="I23" s="634"/>
    </row>
    <row r="24" spans="1:9">
      <c r="A24" s="728"/>
      <c r="B24" s="729"/>
      <c r="C24" s="730"/>
      <c r="D24" s="729"/>
      <c r="E24" s="642"/>
      <c r="F24" s="649"/>
      <c r="G24" s="649"/>
      <c r="H24" s="720"/>
      <c r="I24" s="634"/>
    </row>
    <row r="25" spans="1:9" ht="21.75" thickBot="1">
      <c r="B25" s="712"/>
      <c r="C25" s="728"/>
      <c r="D25" s="648"/>
      <c r="E25" s="648"/>
      <c r="F25" s="648"/>
      <c r="G25" s="643"/>
      <c r="H25" s="720"/>
      <c r="I25" s="634"/>
    </row>
    <row r="26" spans="1:9" ht="129.75" customHeight="1" thickBot="1">
      <c r="B26" s="712"/>
      <c r="C26" s="650" t="s">
        <v>202</v>
      </c>
      <c r="D26" s="1241" t="s">
        <v>779</v>
      </c>
      <c r="E26" s="1242"/>
      <c r="F26" s="648"/>
      <c r="G26" s="643"/>
      <c r="H26" s="720"/>
      <c r="I26" s="634"/>
    </row>
    <row r="27" spans="1:9" ht="21.75">
      <c r="F27" s="1090" t="s">
        <v>203</v>
      </c>
      <c r="G27" s="1082"/>
    </row>
    <row r="28" spans="1:9" ht="26.25">
      <c r="B28" s="1243" t="s">
        <v>794</v>
      </c>
      <c r="C28" s="1244"/>
      <c r="D28" s="1244"/>
      <c r="E28" s="1245"/>
      <c r="F28" s="132" t="s">
        <v>204</v>
      </c>
      <c r="G28" s="133">
        <v>3.84</v>
      </c>
    </row>
    <row r="29" spans="1:9" ht="26.25">
      <c r="F29" s="132" t="s">
        <v>205</v>
      </c>
      <c r="G29" s="133">
        <v>4.38</v>
      </c>
    </row>
    <row r="30" spans="1:9">
      <c r="A30" s="1246" t="s">
        <v>206</v>
      </c>
      <c r="B30" s="1247"/>
      <c r="C30" s="1247"/>
      <c r="D30" s="1247"/>
      <c r="E30" s="1248"/>
      <c r="F30" s="1249" t="s">
        <v>207</v>
      </c>
      <c r="G30" s="1250"/>
      <c r="H30" s="1251"/>
    </row>
    <row r="31" spans="1:9" ht="42">
      <c r="A31" s="644" t="s">
        <v>208</v>
      </c>
      <c r="B31" s="646" t="s">
        <v>135</v>
      </c>
      <c r="C31" s="646" t="s">
        <v>209</v>
      </c>
      <c r="D31" s="646" t="s">
        <v>210</v>
      </c>
      <c r="E31" s="646" t="s">
        <v>211</v>
      </c>
      <c r="F31" s="651" t="s">
        <v>212</v>
      </c>
      <c r="G31" s="651" t="s">
        <v>213</v>
      </c>
      <c r="H31" s="651" t="s">
        <v>214</v>
      </c>
    </row>
    <row r="32" spans="1:9">
      <c r="A32" s="916"/>
      <c r="B32" s="646"/>
      <c r="C32" s="646"/>
      <c r="D32" s="646"/>
      <c r="E32" s="646"/>
      <c r="F32" s="651"/>
      <c r="G32" s="651"/>
      <c r="H32" s="651"/>
    </row>
    <row r="33" spans="1:8" ht="26.25">
      <c r="A33" s="135" t="s">
        <v>362</v>
      </c>
      <c r="B33" s="136">
        <f>2250*3</f>
        <v>6750</v>
      </c>
      <c r="C33" s="647"/>
      <c r="D33" s="647"/>
      <c r="E33" s="136">
        <f>B33</f>
        <v>6750</v>
      </c>
      <c r="F33" s="138">
        <v>0.25</v>
      </c>
      <c r="G33" s="139">
        <f>E33*F33</f>
        <v>1687.5</v>
      </c>
      <c r="H33" s="139">
        <f>G33/12</f>
        <v>140.625</v>
      </c>
    </row>
    <row r="34" spans="1:8" ht="26.25">
      <c r="A34" s="135" t="s">
        <v>223</v>
      </c>
      <c r="B34" s="136">
        <f>3800*2</f>
        <v>7600</v>
      </c>
      <c r="C34" s="639"/>
      <c r="D34" s="639"/>
      <c r="E34" s="136">
        <f t="shared" ref="E34:E51" si="0">B34</f>
        <v>7600</v>
      </c>
      <c r="F34" s="138">
        <v>0.25</v>
      </c>
      <c r="G34" s="139">
        <f t="shared" ref="G34:G51" si="1">E34*F34</f>
        <v>1900</v>
      </c>
      <c r="H34" s="139">
        <f t="shared" ref="H34:H51" si="2">G34/12</f>
        <v>158.33333333333334</v>
      </c>
    </row>
    <row r="35" spans="1:8" ht="39" customHeight="1">
      <c r="A35" s="135" t="s">
        <v>215</v>
      </c>
      <c r="B35" s="136">
        <f>529*4</f>
        <v>2116</v>
      </c>
      <c r="C35" s="639"/>
      <c r="D35" s="639"/>
      <c r="E35" s="136">
        <f t="shared" si="0"/>
        <v>2116</v>
      </c>
      <c r="F35" s="138">
        <v>0.25</v>
      </c>
      <c r="G35" s="139">
        <f t="shared" si="1"/>
        <v>529</v>
      </c>
      <c r="H35" s="139">
        <f t="shared" si="2"/>
        <v>44.083333333333336</v>
      </c>
    </row>
    <row r="36" spans="1:8" ht="67.5" customHeight="1">
      <c r="A36" s="135" t="s">
        <v>363</v>
      </c>
      <c r="B36" s="136">
        <f>37.9*24</f>
        <v>909.59999999999991</v>
      </c>
      <c r="C36" s="639"/>
      <c r="D36" s="639"/>
      <c r="E36" s="136">
        <f t="shared" si="0"/>
        <v>909.59999999999991</v>
      </c>
      <c r="F36" s="138">
        <v>0.1</v>
      </c>
      <c r="G36" s="139">
        <f t="shared" si="1"/>
        <v>90.96</v>
      </c>
      <c r="H36" s="139">
        <f t="shared" si="2"/>
        <v>7.5799999999999992</v>
      </c>
    </row>
    <row r="37" spans="1:8" ht="54.75" customHeight="1">
      <c r="A37" s="135" t="s">
        <v>216</v>
      </c>
      <c r="B37" s="136">
        <f>1591*2</f>
        <v>3182</v>
      </c>
      <c r="C37" s="639"/>
      <c r="D37" s="639"/>
      <c r="E37" s="136">
        <f t="shared" si="0"/>
        <v>3182</v>
      </c>
      <c r="F37" s="138">
        <v>0.1</v>
      </c>
      <c r="G37" s="139">
        <f t="shared" si="1"/>
        <v>318.20000000000005</v>
      </c>
      <c r="H37" s="139">
        <f t="shared" si="2"/>
        <v>26.516666666666669</v>
      </c>
    </row>
    <row r="38" spans="1:8" ht="56.25" customHeight="1">
      <c r="A38" s="135" t="s">
        <v>217</v>
      </c>
      <c r="B38" s="136">
        <v>2499</v>
      </c>
      <c r="C38" s="639"/>
      <c r="D38" s="639"/>
      <c r="E38" s="136">
        <f t="shared" si="0"/>
        <v>2499</v>
      </c>
      <c r="F38" s="138">
        <v>0.25</v>
      </c>
      <c r="G38" s="139">
        <f t="shared" si="1"/>
        <v>624.75</v>
      </c>
      <c r="H38" s="139">
        <f t="shared" si="2"/>
        <v>52.0625</v>
      </c>
    </row>
    <row r="39" spans="1:8" ht="76.5" customHeight="1">
      <c r="A39" s="135" t="s">
        <v>364</v>
      </c>
      <c r="B39" s="136">
        <f>299*2</f>
        <v>598</v>
      </c>
      <c r="C39" s="639"/>
      <c r="D39" s="639"/>
      <c r="E39" s="136">
        <f t="shared" si="0"/>
        <v>598</v>
      </c>
      <c r="F39" s="138">
        <v>0.1</v>
      </c>
      <c r="G39" s="139">
        <f t="shared" si="1"/>
        <v>59.800000000000004</v>
      </c>
      <c r="H39" s="139">
        <f t="shared" si="2"/>
        <v>4.9833333333333334</v>
      </c>
    </row>
    <row r="40" spans="1:8" ht="59.25" customHeight="1">
      <c r="A40" s="135" t="s">
        <v>365</v>
      </c>
      <c r="B40" s="136">
        <v>509</v>
      </c>
      <c r="C40" s="639"/>
      <c r="D40" s="639"/>
      <c r="E40" s="136">
        <f t="shared" si="0"/>
        <v>509</v>
      </c>
      <c r="F40" s="138">
        <v>0.1</v>
      </c>
      <c r="G40" s="139">
        <f t="shared" si="1"/>
        <v>50.900000000000006</v>
      </c>
      <c r="H40" s="139">
        <f t="shared" si="2"/>
        <v>4.2416666666666671</v>
      </c>
    </row>
    <row r="41" spans="1:8" ht="45.75" customHeight="1">
      <c r="A41" s="135" t="s">
        <v>218</v>
      </c>
      <c r="B41" s="136">
        <f>499*3</f>
        <v>1497</v>
      </c>
      <c r="C41" s="639"/>
      <c r="D41" s="639"/>
      <c r="E41" s="136">
        <f t="shared" si="0"/>
        <v>1497</v>
      </c>
      <c r="F41" s="138">
        <v>0.1</v>
      </c>
      <c r="G41" s="139">
        <f t="shared" si="1"/>
        <v>149.70000000000002</v>
      </c>
      <c r="H41" s="139">
        <f t="shared" si="2"/>
        <v>12.475000000000001</v>
      </c>
    </row>
    <row r="42" spans="1:8" ht="54.75" customHeight="1">
      <c r="A42" s="135" t="s">
        <v>366</v>
      </c>
      <c r="B42" s="136">
        <f>299*3</f>
        <v>897</v>
      </c>
      <c r="C42" s="639"/>
      <c r="D42" s="639"/>
      <c r="E42" s="136">
        <f t="shared" si="0"/>
        <v>897</v>
      </c>
      <c r="F42" s="138">
        <v>0.1</v>
      </c>
      <c r="G42" s="139">
        <f t="shared" si="1"/>
        <v>89.7</v>
      </c>
      <c r="H42" s="139">
        <f t="shared" si="2"/>
        <v>7.4750000000000005</v>
      </c>
    </row>
    <row r="43" spans="1:8" ht="64.5" customHeight="1">
      <c r="A43" s="135" t="s">
        <v>367</v>
      </c>
      <c r="B43" s="136">
        <f>199*5</f>
        <v>995</v>
      </c>
      <c r="C43" s="639"/>
      <c r="D43" s="639"/>
      <c r="E43" s="136">
        <f t="shared" si="0"/>
        <v>995</v>
      </c>
      <c r="F43" s="138">
        <v>0.1</v>
      </c>
      <c r="G43" s="139">
        <f t="shared" si="1"/>
        <v>99.5</v>
      </c>
      <c r="H43" s="139">
        <f t="shared" si="2"/>
        <v>8.2916666666666661</v>
      </c>
    </row>
    <row r="44" spans="1:8" ht="42" customHeight="1">
      <c r="A44" s="135" t="s">
        <v>368</v>
      </c>
      <c r="B44" s="136">
        <v>249</v>
      </c>
      <c r="C44" s="639"/>
      <c r="D44" s="639"/>
      <c r="E44" s="136">
        <f t="shared" si="0"/>
        <v>249</v>
      </c>
      <c r="F44" s="138">
        <v>0.1</v>
      </c>
      <c r="G44" s="139">
        <f t="shared" si="1"/>
        <v>24.900000000000002</v>
      </c>
      <c r="H44" s="139">
        <f t="shared" si="2"/>
        <v>2.0750000000000002</v>
      </c>
    </row>
    <row r="45" spans="1:8" ht="72.75" customHeight="1">
      <c r="A45" s="135" t="s">
        <v>219</v>
      </c>
      <c r="B45" s="136">
        <v>2332</v>
      </c>
      <c r="C45" s="639"/>
      <c r="D45" s="639"/>
      <c r="E45" s="136">
        <f t="shared" si="0"/>
        <v>2332</v>
      </c>
      <c r="F45" s="138">
        <v>0.1</v>
      </c>
      <c r="G45" s="139">
        <f t="shared" si="1"/>
        <v>233.20000000000002</v>
      </c>
      <c r="H45" s="139">
        <f t="shared" si="2"/>
        <v>19.433333333333334</v>
      </c>
    </row>
    <row r="46" spans="1:8" ht="67.5" customHeight="1">
      <c r="A46" s="135" t="s">
        <v>220</v>
      </c>
      <c r="B46" s="136">
        <f>1987.5*8</f>
        <v>15900</v>
      </c>
      <c r="C46" s="639"/>
      <c r="D46" s="639"/>
      <c r="E46" s="136">
        <f t="shared" si="0"/>
        <v>15900</v>
      </c>
      <c r="F46" s="138">
        <v>0.1</v>
      </c>
      <c r="G46" s="139">
        <f t="shared" si="1"/>
        <v>1590</v>
      </c>
      <c r="H46" s="139">
        <f t="shared" si="2"/>
        <v>132.5</v>
      </c>
    </row>
    <row r="47" spans="1:8" ht="69" customHeight="1">
      <c r="A47" s="135" t="s">
        <v>369</v>
      </c>
      <c r="B47" s="136">
        <f>3*480</f>
        <v>1440</v>
      </c>
      <c r="C47" s="639"/>
      <c r="D47" s="639"/>
      <c r="E47" s="136">
        <f t="shared" si="0"/>
        <v>1440</v>
      </c>
      <c r="F47" s="138">
        <v>0.25</v>
      </c>
      <c r="G47" s="139">
        <f t="shared" si="1"/>
        <v>360</v>
      </c>
      <c r="H47" s="139">
        <f t="shared" si="2"/>
        <v>30</v>
      </c>
    </row>
    <row r="48" spans="1:8" ht="70.5" customHeight="1">
      <c r="A48" s="135" t="s">
        <v>370</v>
      </c>
      <c r="B48" s="136">
        <v>570</v>
      </c>
      <c r="C48" s="639"/>
      <c r="D48" s="639"/>
      <c r="E48" s="136">
        <f t="shared" si="0"/>
        <v>570</v>
      </c>
      <c r="F48" s="138">
        <v>0.1</v>
      </c>
      <c r="G48" s="139">
        <f t="shared" si="1"/>
        <v>57</v>
      </c>
      <c r="H48" s="139">
        <f t="shared" si="2"/>
        <v>4.75</v>
      </c>
    </row>
    <row r="49" spans="1:8" ht="72.75" customHeight="1">
      <c r="A49" s="135" t="s">
        <v>224</v>
      </c>
      <c r="B49" s="136">
        <v>10000</v>
      </c>
      <c r="C49" s="639"/>
      <c r="D49" s="639"/>
      <c r="E49" s="136">
        <f t="shared" si="0"/>
        <v>10000</v>
      </c>
      <c r="F49" s="138">
        <v>0.05</v>
      </c>
      <c r="G49" s="139">
        <f t="shared" si="1"/>
        <v>500</v>
      </c>
      <c r="H49" s="139">
        <f t="shared" si="2"/>
        <v>41.666666666666664</v>
      </c>
    </row>
    <row r="50" spans="1:8" ht="76.5" customHeight="1">
      <c r="A50" s="135" t="s">
        <v>222</v>
      </c>
      <c r="B50" s="136">
        <f>121.28*2+121.28*2</f>
        <v>485.12</v>
      </c>
      <c r="C50" s="639"/>
      <c r="D50" s="639"/>
      <c r="E50" s="136">
        <f t="shared" si="0"/>
        <v>485.12</v>
      </c>
      <c r="F50" s="138">
        <v>0.1</v>
      </c>
      <c r="G50" s="139">
        <f t="shared" si="1"/>
        <v>48.512</v>
      </c>
      <c r="H50" s="139">
        <f t="shared" si="2"/>
        <v>4.0426666666666664</v>
      </c>
    </row>
    <row r="51" spans="1:8" ht="75.75" customHeight="1">
      <c r="A51" s="135" t="s">
        <v>225</v>
      </c>
      <c r="B51" s="136">
        <f>299*2+174*5+195*2+45*4+5.8*10+158*10+120*4+19.9*10</f>
        <v>4355</v>
      </c>
      <c r="C51" s="639"/>
      <c r="D51" s="639"/>
      <c r="E51" s="136">
        <f t="shared" si="0"/>
        <v>4355</v>
      </c>
      <c r="F51" s="138">
        <v>0.1</v>
      </c>
      <c r="G51" s="139">
        <f t="shared" si="1"/>
        <v>435.5</v>
      </c>
      <c r="H51" s="139">
        <f t="shared" si="2"/>
        <v>36.291666666666664</v>
      </c>
    </row>
    <row r="52" spans="1:8" ht="26.25">
      <c r="A52" s="647"/>
      <c r="B52" s="639"/>
      <c r="C52" s="639"/>
      <c r="D52" s="639"/>
      <c r="E52" s="639"/>
      <c r="F52" s="142"/>
      <c r="G52" s="143"/>
      <c r="H52" s="143"/>
    </row>
    <row r="53" spans="1:8" ht="23.25">
      <c r="A53" s="647"/>
      <c r="B53" s="639"/>
      <c r="C53" s="697" t="s">
        <v>226</v>
      </c>
      <c r="D53" s="697"/>
      <c r="E53" s="697">
        <f>SUM(E33:E52)</f>
        <v>62883.72</v>
      </c>
      <c r="F53" s="654" t="s">
        <v>227</v>
      </c>
      <c r="G53" s="644">
        <f>SUM(G33:G51)</f>
        <v>8849.1219999999994</v>
      </c>
      <c r="H53" s="644">
        <f>SUM(H33:H51)</f>
        <v>737.42683333333343</v>
      </c>
    </row>
    <row r="54" spans="1:8" ht="23.25">
      <c r="A54" s="647"/>
      <c r="B54" s="639"/>
      <c r="C54" s="639"/>
      <c r="D54" s="639"/>
      <c r="E54" s="639"/>
      <c r="F54" s="655"/>
      <c r="G54" s="656"/>
      <c r="H54" s="656"/>
    </row>
    <row r="55" spans="1:8" ht="23.25">
      <c r="A55" s="647"/>
      <c r="B55" s="639"/>
      <c r="C55" s="639"/>
      <c r="D55" s="639"/>
      <c r="E55" s="639"/>
      <c r="F55" s="655"/>
      <c r="G55" s="656"/>
      <c r="H55" s="656"/>
    </row>
    <row r="56" spans="1:8" ht="42">
      <c r="A56" s="657" t="s">
        <v>228</v>
      </c>
      <c r="B56" s="637"/>
      <c r="C56" s="639"/>
      <c r="D56" s="639"/>
      <c r="E56" s="639"/>
      <c r="F56" s="658" t="s">
        <v>229</v>
      </c>
      <c r="G56" s="651" t="s">
        <v>230</v>
      </c>
      <c r="H56" s="651" t="s">
        <v>231</v>
      </c>
    </row>
    <row r="57" spans="1:8" ht="46.5">
      <c r="A57" s="647"/>
      <c r="B57" s="637" t="str">
        <f>B31</f>
        <v>Soles</v>
      </c>
      <c r="C57" s="637" t="str">
        <f>C31</f>
        <v>Dólares</v>
      </c>
      <c r="D57" s="637" t="str">
        <f>D31</f>
        <v>Euros</v>
      </c>
      <c r="E57" s="637" t="str">
        <f>E31</f>
        <v>Toda la inversión convertida a Soles</v>
      </c>
      <c r="F57" s="660"/>
      <c r="G57" s="661"/>
      <c r="H57" s="661"/>
    </row>
    <row r="58" spans="1:8" ht="52.5">
      <c r="A58" s="135" t="s">
        <v>232</v>
      </c>
      <c r="B58" s="136">
        <v>535</v>
      </c>
      <c r="C58" s="639"/>
      <c r="D58" s="639"/>
      <c r="E58" s="136">
        <v>535</v>
      </c>
      <c r="F58" s="138">
        <v>0.1</v>
      </c>
      <c r="G58" s="653">
        <f t="shared" ref="G58:G62" si="3">E58*F58</f>
        <v>53.5</v>
      </c>
      <c r="H58" s="662">
        <f t="shared" ref="H58:H62" si="4">G58/12</f>
        <v>4.458333333333333</v>
      </c>
    </row>
    <row r="59" spans="1:8" ht="52.5">
      <c r="A59" s="135" t="s">
        <v>233</v>
      </c>
      <c r="B59" s="136">
        <f>22+28+5+4.5*7+250</f>
        <v>336.5</v>
      </c>
      <c r="C59" s="639"/>
      <c r="D59" s="639"/>
      <c r="E59" s="136">
        <f>22+28+5+4.5*7+250</f>
        <v>336.5</v>
      </c>
      <c r="F59" s="138">
        <v>0.1</v>
      </c>
      <c r="G59" s="653">
        <f t="shared" si="3"/>
        <v>33.65</v>
      </c>
      <c r="H59" s="662">
        <f t="shared" si="4"/>
        <v>2.8041666666666667</v>
      </c>
    </row>
    <row r="60" spans="1:8" ht="52.5">
      <c r="A60" s="135" t="s">
        <v>234</v>
      </c>
      <c r="B60" s="136">
        <v>800</v>
      </c>
      <c r="C60" s="639"/>
      <c r="D60" s="639"/>
      <c r="E60" s="136">
        <v>800</v>
      </c>
      <c r="F60" s="138">
        <v>0.1</v>
      </c>
      <c r="G60" s="653"/>
      <c r="H60" s="662">
        <f t="shared" si="4"/>
        <v>0</v>
      </c>
    </row>
    <row r="61" spans="1:8" ht="52.5">
      <c r="A61" s="135" t="s">
        <v>235</v>
      </c>
      <c r="B61" s="136">
        <v>1400</v>
      </c>
      <c r="C61" s="639"/>
      <c r="D61" s="639"/>
      <c r="E61" s="136">
        <v>1400</v>
      </c>
      <c r="F61" s="138">
        <v>0.1</v>
      </c>
      <c r="G61" s="653">
        <f t="shared" si="3"/>
        <v>140</v>
      </c>
      <c r="H61" s="662">
        <f t="shared" si="4"/>
        <v>11.666666666666666</v>
      </c>
    </row>
    <row r="62" spans="1:8" ht="52.5">
      <c r="A62" s="135" t="s">
        <v>236</v>
      </c>
      <c r="B62" s="136">
        <v>3150</v>
      </c>
      <c r="C62" s="639"/>
      <c r="D62" s="639"/>
      <c r="E62" s="136">
        <v>3150</v>
      </c>
      <c r="F62" s="138">
        <v>0.1</v>
      </c>
      <c r="G62" s="653">
        <f t="shared" si="3"/>
        <v>315</v>
      </c>
      <c r="H62" s="662">
        <f t="shared" si="4"/>
        <v>26.25</v>
      </c>
    </row>
    <row r="63" spans="1:8" ht="23.25">
      <c r="A63" s="663"/>
      <c r="B63" s="639"/>
      <c r="C63" s="699" t="s">
        <v>237</v>
      </c>
      <c r="D63" s="699"/>
      <c r="E63" s="699">
        <f>SUM(E58:E62)</f>
        <v>6221.5</v>
      </c>
      <c r="F63" s="651" t="s">
        <v>238</v>
      </c>
      <c r="G63" s="664">
        <f>SUM(G58:G62)</f>
        <v>542.15</v>
      </c>
      <c r="H63" s="664">
        <f>SUM(H58:H62)</f>
        <v>45.179166666666667</v>
      </c>
    </row>
    <row r="64" spans="1:8" ht="23.25">
      <c r="A64" s="663"/>
      <c r="B64" s="639"/>
      <c r="C64" s="637"/>
      <c r="D64" s="637"/>
      <c r="E64" s="637"/>
      <c r="F64" s="659"/>
      <c r="G64" s="664"/>
      <c r="H64" s="664"/>
    </row>
    <row r="65" spans="1:8" ht="42">
      <c r="A65" s="644" t="s">
        <v>239</v>
      </c>
      <c r="B65" s="700">
        <v>0.15</v>
      </c>
      <c r="C65" s="699" t="s">
        <v>240</v>
      </c>
      <c r="D65" s="701" t="s">
        <v>241</v>
      </c>
      <c r="E65" s="699">
        <f>(E53+E63)*B65</f>
        <v>10365.782999999999</v>
      </c>
      <c r="F65" s="665"/>
      <c r="G65" s="665"/>
      <c r="H65" s="665"/>
    </row>
    <row r="66" spans="1:8" ht="23.25">
      <c r="A66" s="666"/>
      <c r="B66" s="702"/>
      <c r="C66" s="698"/>
      <c r="D66" s="639"/>
      <c r="E66" s="639"/>
      <c r="F66" s="665"/>
      <c r="G66" s="665"/>
      <c r="H66" s="665"/>
    </row>
    <row r="67" spans="1:8" ht="46.5">
      <c r="A67" s="731"/>
      <c r="B67" s="732"/>
      <c r="C67" s="733" t="s">
        <v>242</v>
      </c>
      <c r="D67" s="734"/>
      <c r="E67" s="735">
        <f>E53+E63+E65</f>
        <v>79471.002999999997</v>
      </c>
      <c r="F67" s="1270" t="s">
        <v>243</v>
      </c>
      <c r="G67" s="1271"/>
      <c r="H67" s="1272"/>
    </row>
    <row r="69" spans="1:8">
      <c r="A69" s="1273" t="s">
        <v>244</v>
      </c>
      <c r="B69" s="1274"/>
      <c r="C69" s="1274"/>
      <c r="D69" s="1274"/>
      <c r="E69" s="1274"/>
      <c r="F69" s="1274"/>
      <c r="G69" s="1274"/>
      <c r="H69" s="1274"/>
    </row>
    <row r="70" spans="1:8">
      <c r="A70" s="1275" t="s">
        <v>245</v>
      </c>
      <c r="B70" s="1276"/>
      <c r="C70" s="1276"/>
      <c r="D70" s="1276"/>
      <c r="E70" s="1276"/>
      <c r="F70" s="1276"/>
      <c r="G70" s="1276"/>
      <c r="H70" s="1276"/>
    </row>
    <row r="71" spans="1:8">
      <c r="A71" s="1275" t="s">
        <v>780</v>
      </c>
      <c r="B71" s="1276"/>
      <c r="C71" s="1276"/>
      <c r="D71" s="1276"/>
      <c r="E71" s="1276"/>
      <c r="F71" s="1276"/>
      <c r="G71" s="1276"/>
      <c r="H71" s="1276"/>
    </row>
    <row r="72" spans="1:8">
      <c r="A72" s="728"/>
      <c r="B72" s="728"/>
      <c r="C72" s="728"/>
      <c r="D72" s="728"/>
      <c r="E72" s="728"/>
      <c r="F72" s="634"/>
    </row>
    <row r="73" spans="1:8" ht="63" customHeight="1">
      <c r="A73" s="728"/>
      <c r="B73" s="736" t="s">
        <v>246</v>
      </c>
      <c r="C73" s="1270" t="s">
        <v>247</v>
      </c>
      <c r="D73" s="1272"/>
      <c r="E73" s="737" t="s">
        <v>248</v>
      </c>
      <c r="F73" s="634"/>
    </row>
    <row r="74" spans="1:8" ht="42" customHeight="1">
      <c r="A74" s="728"/>
      <c r="B74" s="728"/>
      <c r="C74" s="1252" t="s">
        <v>249</v>
      </c>
      <c r="D74" s="1253"/>
      <c r="E74" s="738">
        <f>E53</f>
        <v>62883.72</v>
      </c>
      <c r="F74" s="634"/>
    </row>
    <row r="75" spans="1:8" ht="42" customHeight="1">
      <c r="A75" s="728"/>
      <c r="B75" s="728"/>
      <c r="C75" s="1252" t="s">
        <v>250</v>
      </c>
      <c r="D75" s="1253"/>
      <c r="E75" s="738">
        <f>E63</f>
        <v>6221.5</v>
      </c>
      <c r="F75" s="634"/>
    </row>
    <row r="76" spans="1:8" ht="42" customHeight="1">
      <c r="A76" s="728"/>
      <c r="B76" s="728"/>
      <c r="C76" s="1252" t="s">
        <v>251</v>
      </c>
      <c r="D76" s="1253"/>
      <c r="E76" s="738">
        <f>E65</f>
        <v>10365.782999999999</v>
      </c>
      <c r="F76" s="634"/>
    </row>
    <row r="77" spans="1:8" ht="23.25">
      <c r="A77" s="728"/>
      <c r="B77" s="728"/>
      <c r="C77" s="739" t="s">
        <v>183</v>
      </c>
      <c r="D77" s="739"/>
      <c r="E77" s="740">
        <f>SUM(E74:E76)</f>
        <v>79471.002999999997</v>
      </c>
      <c r="F77" s="634"/>
    </row>
    <row r="78" spans="1:8" ht="21.75" thickBot="1">
      <c r="A78" s="728"/>
      <c r="B78" s="728"/>
      <c r="C78" s="728"/>
      <c r="D78" s="728"/>
      <c r="E78" s="729"/>
      <c r="F78" s="634"/>
    </row>
    <row r="79" spans="1:8" ht="89.25" customHeight="1" thickBot="1">
      <c r="A79" s="728"/>
      <c r="B79" s="741" t="s">
        <v>252</v>
      </c>
      <c r="C79" s="1260" t="s">
        <v>253</v>
      </c>
      <c r="D79" s="1261"/>
      <c r="E79" s="1261"/>
      <c r="F79" s="1262"/>
      <c r="G79" s="1263" t="s">
        <v>781</v>
      </c>
      <c r="H79" s="1264"/>
    </row>
    <row r="80" spans="1:8">
      <c r="A80" s="728"/>
      <c r="B80" s="728"/>
      <c r="C80" s="728"/>
      <c r="D80" s="728"/>
      <c r="E80" s="728"/>
      <c r="F80" s="634"/>
    </row>
    <row r="81" spans="1:9" ht="63">
      <c r="A81" s="728"/>
      <c r="B81" s="736" t="s">
        <v>254</v>
      </c>
      <c r="C81" s="1265" t="s">
        <v>255</v>
      </c>
      <c r="D81" s="1266"/>
      <c r="E81" s="728"/>
      <c r="F81" s="634"/>
      <c r="G81" s="742" t="s">
        <v>256</v>
      </c>
      <c r="H81" s="742" t="s">
        <v>257</v>
      </c>
      <c r="I81" s="742" t="s">
        <v>258</v>
      </c>
    </row>
    <row r="82" spans="1:9" ht="46.5">
      <c r="A82" s="728"/>
      <c r="B82" s="728"/>
      <c r="C82" s="724" t="s">
        <v>259</v>
      </c>
      <c r="D82" s="743">
        <v>0.6</v>
      </c>
      <c r="E82" s="744">
        <f>E67*D82</f>
        <v>47682.601799999997</v>
      </c>
      <c r="F82" s="745" t="s">
        <v>260</v>
      </c>
      <c r="G82" s="168">
        <v>8.2857E-2</v>
      </c>
      <c r="H82" s="678">
        <v>0.18107100000000001</v>
      </c>
      <c r="I82" s="168">
        <v>0.26392900000000002</v>
      </c>
    </row>
    <row r="83" spans="1:9" ht="26.25">
      <c r="A83" s="728"/>
      <c r="B83" s="728"/>
      <c r="C83" s="746" t="s">
        <v>261</v>
      </c>
      <c r="D83" s="747">
        <v>0.4</v>
      </c>
      <c r="E83" s="748">
        <f>E67*D83</f>
        <v>31788.4012</v>
      </c>
      <c r="F83" s="749" t="s">
        <v>262</v>
      </c>
      <c r="G83" s="173">
        <v>0.17199999999999999</v>
      </c>
      <c r="H83" s="174" t="s">
        <v>263</v>
      </c>
    </row>
    <row r="84" spans="1:9" ht="26.25">
      <c r="A84" s="728"/>
      <c r="B84" s="728"/>
      <c r="C84" s="746" t="s">
        <v>183</v>
      </c>
      <c r="D84" s="747">
        <f>SUM(D82:D83)</f>
        <v>1</v>
      </c>
      <c r="E84" s="748">
        <f>SUM(E82:E83)</f>
        <v>79471.002999999997</v>
      </c>
      <c r="F84" s="715"/>
      <c r="G84" s="174">
        <v>5</v>
      </c>
      <c r="H84" s="174" t="s">
        <v>264</v>
      </c>
    </row>
    <row r="85" spans="1:9" ht="26.25">
      <c r="A85" s="728"/>
      <c r="B85" s="728"/>
      <c r="C85" s="728"/>
      <c r="D85" s="728"/>
      <c r="E85" s="728"/>
      <c r="F85" s="634"/>
      <c r="G85" s="174">
        <v>12</v>
      </c>
      <c r="H85" s="174" t="s">
        <v>265</v>
      </c>
    </row>
    <row r="86" spans="1:9" ht="23.25">
      <c r="A86" s="728"/>
      <c r="B86" s="728"/>
      <c r="C86" s="1267" t="s">
        <v>782</v>
      </c>
      <c r="D86" s="1268"/>
      <c r="E86" s="1268"/>
      <c r="F86" s="1269"/>
      <c r="G86" s="158">
        <f>G84*G85</f>
        <v>60</v>
      </c>
      <c r="H86" s="158" t="s">
        <v>266</v>
      </c>
    </row>
    <row r="88" spans="1:9">
      <c r="B88" s="750" t="s">
        <v>267</v>
      </c>
    </row>
    <row r="89" spans="1:9" ht="42">
      <c r="B89" s="737" t="s">
        <v>268</v>
      </c>
      <c r="C89" s="744">
        <f>E83</f>
        <v>31788.4012</v>
      </c>
      <c r="D89" s="739"/>
    </row>
    <row r="90" spans="1:9">
      <c r="B90" s="751" t="s">
        <v>263</v>
      </c>
      <c r="C90" s="752">
        <f>G83</f>
        <v>0.17199999999999999</v>
      </c>
      <c r="D90" s="739"/>
    </row>
    <row r="91" spans="1:9">
      <c r="B91" s="751" t="s">
        <v>269</v>
      </c>
      <c r="C91" s="667">
        <f>(((1+C90)^(30/360))-1)</f>
        <v>1.3313824334185265E-2</v>
      </c>
      <c r="D91" s="739"/>
    </row>
    <row r="92" spans="1:9">
      <c r="B92" s="737" t="s">
        <v>270</v>
      </c>
      <c r="C92" s="737" t="s">
        <v>143</v>
      </c>
      <c r="D92" s="737" t="s">
        <v>271</v>
      </c>
    </row>
    <row r="93" spans="1:9">
      <c r="B93" s="739" t="s">
        <v>272</v>
      </c>
      <c r="C93" s="751">
        <f>G86</f>
        <v>60</v>
      </c>
      <c r="D93" s="751" t="s">
        <v>273</v>
      </c>
    </row>
    <row r="95" spans="1:9" ht="21" customHeight="1">
      <c r="A95" s="731"/>
      <c r="B95" s="753" t="s">
        <v>274</v>
      </c>
      <c r="C95" s="753" t="s">
        <v>275</v>
      </c>
      <c r="D95" s="753" t="s">
        <v>276</v>
      </c>
      <c r="E95" s="1254" t="s">
        <v>795</v>
      </c>
      <c r="F95" s="1255"/>
      <c r="G95" s="731"/>
    </row>
    <row r="96" spans="1:9">
      <c r="A96" s="731"/>
      <c r="B96" s="731"/>
      <c r="C96" s="731"/>
      <c r="D96" s="753" t="s">
        <v>278</v>
      </c>
      <c r="E96" s="1256"/>
      <c r="F96" s="1257"/>
      <c r="G96" s="731"/>
    </row>
    <row r="97" spans="1:7">
      <c r="A97" s="731"/>
      <c r="B97" s="731"/>
      <c r="C97" s="731"/>
      <c r="D97" s="753" t="s">
        <v>279</v>
      </c>
      <c r="E97" s="1258"/>
      <c r="F97" s="1259"/>
      <c r="G97" s="731"/>
    </row>
    <row r="98" spans="1:7">
      <c r="A98" s="731"/>
      <c r="B98" s="731"/>
      <c r="C98" s="731"/>
      <c r="E98" s="731"/>
      <c r="F98" s="731"/>
      <c r="G98" s="731"/>
    </row>
    <row r="99" spans="1:7">
      <c r="A99" s="731"/>
      <c r="B99" s="731"/>
      <c r="C99" s="731"/>
      <c r="D99" s="731"/>
      <c r="E99" s="731"/>
      <c r="F99" s="731"/>
      <c r="G99" s="731"/>
    </row>
    <row r="100" spans="1:7">
      <c r="A100" s="731"/>
      <c r="B100" s="731"/>
      <c r="C100" s="754" t="s">
        <v>280</v>
      </c>
      <c r="D100" s="755">
        <f>C89</f>
        <v>31788.4012</v>
      </c>
      <c r="E100" s="756">
        <f>D100</f>
        <v>31788.4012</v>
      </c>
      <c r="F100" s="757">
        <f>E100/E101</f>
        <v>772.63679844369324</v>
      </c>
      <c r="G100" s="751" t="s">
        <v>274</v>
      </c>
    </row>
    <row r="101" spans="1:7">
      <c r="A101" s="731"/>
      <c r="B101" s="731"/>
      <c r="C101" s="731"/>
      <c r="D101" s="751">
        <f>(((1+C91)^(C93))-1)</f>
        <v>1.2112510819256475</v>
      </c>
      <c r="E101" s="739">
        <f>D101/D102</f>
        <v>41.142748137327573</v>
      </c>
      <c r="F101" s="731"/>
      <c r="G101" s="731"/>
    </row>
    <row r="102" spans="1:7">
      <c r="A102" s="731"/>
      <c r="B102" s="731"/>
      <c r="C102" s="731"/>
      <c r="D102" s="751">
        <f>C91*((1+C91)^(C93))</f>
        <v>2.9440208463535178E-2</v>
      </c>
      <c r="E102" s="731"/>
      <c r="F102" s="731"/>
      <c r="G102" s="731"/>
    </row>
    <row r="103" spans="1:7">
      <c r="A103" s="731"/>
      <c r="B103" s="750" t="s">
        <v>267</v>
      </c>
      <c r="C103" s="731"/>
      <c r="D103" s="758"/>
      <c r="E103" s="731"/>
      <c r="F103" s="731"/>
      <c r="G103" s="731"/>
    </row>
    <row r="104" spans="1:7" ht="42">
      <c r="A104" s="731"/>
      <c r="B104" s="759" t="s">
        <v>272</v>
      </c>
      <c r="C104" s="759" t="s">
        <v>281</v>
      </c>
      <c r="D104" s="759" t="s">
        <v>282</v>
      </c>
      <c r="E104" s="759" t="s">
        <v>283</v>
      </c>
      <c r="F104" s="759" t="s">
        <v>274</v>
      </c>
      <c r="G104" s="731"/>
    </row>
    <row r="105" spans="1:7">
      <c r="A105" s="731"/>
      <c r="B105" s="751">
        <v>1</v>
      </c>
      <c r="C105" s="755">
        <f>C89</f>
        <v>31788.4012</v>
      </c>
      <c r="D105" s="755">
        <f>F105-E105</f>
        <v>349.41160900228914</v>
      </c>
      <c r="E105" s="755">
        <f>C105*C91</f>
        <v>423.2251894414041</v>
      </c>
      <c r="F105" s="755">
        <f>F100</f>
        <v>772.63679844369324</v>
      </c>
      <c r="G105" s="731"/>
    </row>
    <row r="106" spans="1:7">
      <c r="A106" s="731"/>
      <c r="B106" s="751">
        <v>2</v>
      </c>
      <c r="C106" s="755">
        <f>C105-D105</f>
        <v>31438.989590997709</v>
      </c>
      <c r="D106" s="755">
        <f>F106-E106</f>
        <v>354.06361378487071</v>
      </c>
      <c r="E106" s="755">
        <f>C106*$C$91</f>
        <v>418.57318465882253</v>
      </c>
      <c r="F106" s="755">
        <f>F105</f>
        <v>772.63679844369324</v>
      </c>
      <c r="G106" s="731"/>
    </row>
    <row r="107" spans="1:7">
      <c r="A107" s="731"/>
      <c r="B107" s="751">
        <v>3</v>
      </c>
      <c r="C107" s="755">
        <f>C106-D106</f>
        <v>31084.925977212839</v>
      </c>
      <c r="D107" s="755">
        <f>F107-E107</f>
        <v>358.77755454192925</v>
      </c>
      <c r="E107" s="755">
        <f>C107*$C$91</f>
        <v>413.85924390176399</v>
      </c>
      <c r="F107" s="755">
        <f>F106</f>
        <v>772.63679844369324</v>
      </c>
      <c r="G107" s="731"/>
    </row>
    <row r="108" spans="1:7">
      <c r="A108" s="731"/>
      <c r="B108" s="751">
        <v>4</v>
      </c>
      <c r="C108" s="755">
        <f>C107-D107</f>
        <v>30726.148422670911</v>
      </c>
      <c r="D108" s="755">
        <f>F108-E108</f>
        <v>363.55425587814909</v>
      </c>
      <c r="E108" s="755">
        <f>C108*$C$91</f>
        <v>409.08254256554414</v>
      </c>
      <c r="F108" s="755">
        <f>F107</f>
        <v>772.63679844369324</v>
      </c>
      <c r="G108" s="731"/>
    </row>
    <row r="109" spans="1:7">
      <c r="A109" s="731"/>
      <c r="B109" s="751">
        <v>5</v>
      </c>
      <c r="C109" s="760">
        <f>C108-D108</f>
        <v>30362.594166792762</v>
      </c>
      <c r="D109" s="760">
        <f>F109-E109</f>
        <v>368.39455337685621</v>
      </c>
      <c r="E109" s="755">
        <f>C109*$C$91</f>
        <v>404.24224506683703</v>
      </c>
      <c r="F109" s="755">
        <f>F108</f>
        <v>772.63679844369324</v>
      </c>
      <c r="G109" s="731"/>
    </row>
    <row r="110" spans="1:7">
      <c r="A110" s="731"/>
      <c r="B110" s="751">
        <v>6</v>
      </c>
      <c r="C110" s="760">
        <f t="shared" ref="C110:C164" si="5">C109-D109</f>
        <v>29994.199613415905</v>
      </c>
      <c r="D110" s="760">
        <f t="shared" ref="D110:D164" si="6">F110-E110</f>
        <v>373.29929374618632</v>
      </c>
      <c r="E110" s="755">
        <f t="shared" ref="E110:E164" si="7">C110*$C$91</f>
        <v>399.33750469750692</v>
      </c>
      <c r="F110" s="755">
        <f t="shared" ref="F110:F164" si="8">F109</f>
        <v>772.63679844369324</v>
      </c>
      <c r="G110" s="731"/>
    </row>
    <row r="111" spans="1:7">
      <c r="A111" s="731"/>
      <c r="B111" s="751">
        <v>7</v>
      </c>
      <c r="C111" s="760">
        <f t="shared" si="5"/>
        <v>29620.900319669719</v>
      </c>
      <c r="D111" s="760">
        <f t="shared" si="6"/>
        <v>378.26933496719846</v>
      </c>
      <c r="E111" s="755">
        <f t="shared" si="7"/>
        <v>394.36746347649478</v>
      </c>
      <c r="F111" s="755">
        <f t="shared" si="8"/>
        <v>772.63679844369324</v>
      </c>
      <c r="G111" s="731"/>
    </row>
    <row r="112" spans="1:7">
      <c r="A112" s="731"/>
      <c r="B112" s="751">
        <v>8</v>
      </c>
      <c r="C112" s="760">
        <f t="shared" si="5"/>
        <v>29242.630984702522</v>
      </c>
      <c r="D112" s="760">
        <f t="shared" si="6"/>
        <v>383.30554644396079</v>
      </c>
      <c r="E112" s="755">
        <f t="shared" si="7"/>
        <v>389.33125199973244</v>
      </c>
      <c r="F112" s="755">
        <f t="shared" si="8"/>
        <v>772.63679844369324</v>
      </c>
      <c r="G112" s="731"/>
    </row>
    <row r="113" spans="1:7">
      <c r="A113" s="731"/>
      <c r="B113" s="751">
        <v>9</v>
      </c>
      <c r="C113" s="760">
        <f t="shared" si="5"/>
        <v>28859.325438258562</v>
      </c>
      <c r="D113" s="760">
        <f t="shared" si="6"/>
        <v>388.40880915563457</v>
      </c>
      <c r="E113" s="755">
        <f t="shared" si="7"/>
        <v>384.22798928805867</v>
      </c>
      <c r="F113" s="755">
        <f t="shared" si="8"/>
        <v>772.63679844369324</v>
      </c>
      <c r="G113" s="731"/>
    </row>
    <row r="114" spans="1:7">
      <c r="A114" s="731"/>
      <c r="B114" s="751">
        <v>10</v>
      </c>
      <c r="C114" s="760">
        <f t="shared" si="5"/>
        <v>28470.916629102929</v>
      </c>
      <c r="D114" s="760">
        <f t="shared" si="6"/>
        <v>393.58001581058278</v>
      </c>
      <c r="E114" s="755">
        <f t="shared" si="7"/>
        <v>379.05678263311046</v>
      </c>
      <c r="F114" s="755">
        <f t="shared" si="8"/>
        <v>772.63679844369324</v>
      </c>
      <c r="G114" s="731"/>
    </row>
    <row r="115" spans="1:7">
      <c r="A115" s="731"/>
      <c r="B115" s="751">
        <v>11</v>
      </c>
      <c r="C115" s="760">
        <f t="shared" si="5"/>
        <v>28077.336613292347</v>
      </c>
      <c r="D115" s="760">
        <f t="shared" si="6"/>
        <v>398.82007100253071</v>
      </c>
      <c r="E115" s="755">
        <f t="shared" si="7"/>
        <v>373.81672744116253</v>
      </c>
      <c r="F115" s="755">
        <f t="shared" si="8"/>
        <v>772.63679844369324</v>
      </c>
      <c r="G115" s="731"/>
    </row>
    <row r="116" spans="1:7">
      <c r="A116" s="731"/>
      <c r="B116" s="751">
        <v>12</v>
      </c>
      <c r="C116" s="760">
        <f t="shared" si="5"/>
        <v>27678.516542289817</v>
      </c>
      <c r="D116" s="760">
        <f t="shared" si="6"/>
        <v>404.12989136880566</v>
      </c>
      <c r="E116" s="755">
        <f t="shared" si="7"/>
        <v>368.50690707488758</v>
      </c>
      <c r="F116" s="755">
        <f t="shared" si="8"/>
        <v>772.63679844369324</v>
      </c>
      <c r="G116" s="731"/>
    </row>
    <row r="117" spans="1:7">
      <c r="A117" s="731"/>
      <c r="B117" s="751">
        <v>13</v>
      </c>
      <c r="C117" s="760">
        <f t="shared" si="5"/>
        <v>27274.386650921013</v>
      </c>
      <c r="D117" s="760">
        <f t="shared" si="6"/>
        <v>409.51040575068333</v>
      </c>
      <c r="E117" s="755">
        <f t="shared" si="7"/>
        <v>363.1263926930099</v>
      </c>
      <c r="F117" s="755">
        <f t="shared" si="8"/>
        <v>772.63679844369324</v>
      </c>
      <c r="G117" s="731"/>
    </row>
    <row r="118" spans="1:7">
      <c r="A118" s="731"/>
      <c r="B118" s="751">
        <v>14</v>
      </c>
      <c r="C118" s="760">
        <f t="shared" si="5"/>
        <v>26864.87624517033</v>
      </c>
      <c r="D118" s="760">
        <f t="shared" si="6"/>
        <v>414.96255535586886</v>
      </c>
      <c r="E118" s="755">
        <f t="shared" si="7"/>
        <v>357.67424308782438</v>
      </c>
      <c r="F118" s="755">
        <f t="shared" si="8"/>
        <v>772.63679844369324</v>
      </c>
      <c r="G118" s="731"/>
    </row>
    <row r="119" spans="1:7">
      <c r="A119" s="731"/>
      <c r="B119" s="751">
        <v>15</v>
      </c>
      <c r="C119" s="760">
        <f t="shared" si="5"/>
        <v>26449.913689814461</v>
      </c>
      <c r="D119" s="760">
        <f t="shared" si="6"/>
        <v>420.48729392314152</v>
      </c>
      <c r="E119" s="755">
        <f t="shared" si="7"/>
        <v>352.14950452055172</v>
      </c>
      <c r="F119" s="755">
        <f t="shared" si="8"/>
        <v>772.63679844369324</v>
      </c>
      <c r="G119" s="731"/>
    </row>
    <row r="120" spans="1:7">
      <c r="A120" s="731"/>
      <c r="B120" s="751">
        <v>16</v>
      </c>
      <c r="C120" s="760">
        <f t="shared" si="5"/>
        <v>26029.426395891318</v>
      </c>
      <c r="D120" s="760">
        <f t="shared" si="6"/>
        <v>426.08558788919117</v>
      </c>
      <c r="E120" s="755">
        <f t="shared" si="7"/>
        <v>346.55121055450206</v>
      </c>
      <c r="F120" s="755">
        <f t="shared" si="8"/>
        <v>772.63679844369324</v>
      </c>
      <c r="G120" s="731"/>
    </row>
    <row r="121" spans="1:7">
      <c r="A121" s="731"/>
      <c r="B121" s="751">
        <v>17</v>
      </c>
      <c r="C121" s="760">
        <f t="shared" si="5"/>
        <v>25603.340808002125</v>
      </c>
      <c r="D121" s="760">
        <f t="shared" si="6"/>
        <v>431.7584165576759</v>
      </c>
      <c r="E121" s="755">
        <f t="shared" si="7"/>
        <v>340.87838188601734</v>
      </c>
      <c r="F121" s="755">
        <f t="shared" si="8"/>
        <v>772.63679844369324</v>
      </c>
      <c r="G121" s="731"/>
    </row>
    <row r="122" spans="1:7">
      <c r="A122" s="731"/>
      <c r="B122" s="751">
        <v>18</v>
      </c>
      <c r="C122" s="760">
        <f t="shared" si="5"/>
        <v>25171.582391444448</v>
      </c>
      <c r="D122" s="760">
        <f t="shared" si="6"/>
        <v>437.5067722705308</v>
      </c>
      <c r="E122" s="755">
        <f t="shared" si="7"/>
        <v>335.13002617316243</v>
      </c>
      <c r="F122" s="755">
        <f t="shared" si="8"/>
        <v>772.63679844369324</v>
      </c>
      <c r="G122" s="731"/>
    </row>
    <row r="123" spans="1:7">
      <c r="A123" s="731"/>
      <c r="B123" s="751">
        <v>19</v>
      </c>
      <c r="C123" s="760">
        <f t="shared" si="5"/>
        <v>24734.075619173916</v>
      </c>
      <c r="D123" s="760">
        <f t="shared" si="6"/>
        <v>443.33166058155706</v>
      </c>
      <c r="E123" s="755">
        <f t="shared" si="7"/>
        <v>329.30513786213618</v>
      </c>
      <c r="F123" s="755">
        <f t="shared" si="8"/>
        <v>772.63679844369324</v>
      </c>
      <c r="G123" s="731"/>
    </row>
    <row r="124" spans="1:7">
      <c r="A124" s="731"/>
      <c r="B124" s="751">
        <v>20</v>
      </c>
      <c r="C124" s="760">
        <f t="shared" si="5"/>
        <v>24290.74395859236</v>
      </c>
      <c r="D124" s="760">
        <f t="shared" si="6"/>
        <v>449.23410043232258</v>
      </c>
      <c r="E124" s="755">
        <f t="shared" si="7"/>
        <v>323.40269801137066</v>
      </c>
      <c r="F124" s="755">
        <f t="shared" si="8"/>
        <v>772.63679844369324</v>
      </c>
      <c r="G124" s="731"/>
    </row>
    <row r="125" spans="1:7">
      <c r="A125" s="731"/>
      <c r="B125" s="751">
        <v>21</v>
      </c>
      <c r="C125" s="760">
        <f t="shared" si="5"/>
        <v>23841.509858160036</v>
      </c>
      <c r="D125" s="760">
        <f t="shared" si="6"/>
        <v>455.21512433040425</v>
      </c>
      <c r="E125" s="755">
        <f t="shared" si="7"/>
        <v>317.42167411328899</v>
      </c>
      <c r="F125" s="755">
        <f t="shared" si="8"/>
        <v>772.63679844369324</v>
      </c>
      <c r="G125" s="731"/>
    </row>
    <row r="126" spans="1:7">
      <c r="A126" s="731"/>
      <c r="B126" s="751">
        <v>22</v>
      </c>
      <c r="C126" s="760">
        <f t="shared" si="5"/>
        <v>23386.294733829633</v>
      </c>
      <c r="D126" s="760">
        <f t="shared" si="6"/>
        <v>461.27577853000355</v>
      </c>
      <c r="E126" s="755">
        <f t="shared" si="7"/>
        <v>311.36101991368969</v>
      </c>
      <c r="F126" s="755">
        <f t="shared" si="8"/>
        <v>772.63679844369324</v>
      </c>
      <c r="G126" s="731"/>
    </row>
    <row r="127" spans="1:7">
      <c r="A127" s="731"/>
      <c r="B127" s="751">
        <v>23</v>
      </c>
      <c r="C127" s="760">
        <f t="shared" si="5"/>
        <v>22925.018955299631</v>
      </c>
      <c r="D127" s="760">
        <f t="shared" si="6"/>
        <v>467.41712321496658</v>
      </c>
      <c r="E127" s="755">
        <f t="shared" si="7"/>
        <v>305.21967522872666</v>
      </c>
      <c r="F127" s="755">
        <f t="shared" si="8"/>
        <v>772.63679844369324</v>
      </c>
      <c r="G127" s="731"/>
    </row>
    <row r="128" spans="1:7">
      <c r="A128" s="731"/>
      <c r="B128" s="751">
        <v>24</v>
      </c>
      <c r="C128" s="760">
        <f t="shared" si="5"/>
        <v>22457.601832084663</v>
      </c>
      <c r="D128" s="760">
        <f t="shared" si="6"/>
        <v>473.64023268424086</v>
      </c>
      <c r="E128" s="755">
        <f t="shared" si="7"/>
        <v>298.99656575945238</v>
      </c>
      <c r="F128" s="755">
        <f t="shared" si="8"/>
        <v>772.63679844369324</v>
      </c>
      <c r="G128" s="731"/>
    </row>
    <row r="129" spans="1:7">
      <c r="A129" s="731"/>
      <c r="B129" s="751">
        <v>25</v>
      </c>
      <c r="C129" s="760">
        <f t="shared" si="5"/>
        <v>21983.961599400423</v>
      </c>
      <c r="D129" s="760">
        <f t="shared" si="6"/>
        <v>479.94619553980147</v>
      </c>
      <c r="E129" s="755">
        <f t="shared" si="7"/>
        <v>292.69060290389177</v>
      </c>
      <c r="F129" s="755">
        <f t="shared" si="8"/>
        <v>772.63679844369324</v>
      </c>
      <c r="G129" s="731"/>
    </row>
    <row r="130" spans="1:7">
      <c r="A130" s="731"/>
      <c r="B130" s="751">
        <v>26</v>
      </c>
      <c r="C130" s="760">
        <f t="shared" si="5"/>
        <v>21504.015403860623</v>
      </c>
      <c r="D130" s="760">
        <f t="shared" si="6"/>
        <v>486.3361148770789</v>
      </c>
      <c r="E130" s="755">
        <f t="shared" si="7"/>
        <v>286.30068356661434</v>
      </c>
      <c r="F130" s="755">
        <f t="shared" si="8"/>
        <v>772.63679844369324</v>
      </c>
      <c r="G130" s="731"/>
    </row>
    <row r="131" spans="1:7">
      <c r="A131" s="731"/>
      <c r="B131" s="751">
        <v>27</v>
      </c>
      <c r="C131" s="760">
        <f t="shared" si="5"/>
        <v>21017.679288983545</v>
      </c>
      <c r="D131" s="760">
        <f t="shared" si="6"/>
        <v>492.81110847792246</v>
      </c>
      <c r="E131" s="755">
        <f t="shared" si="7"/>
        <v>279.82568996577078</v>
      </c>
      <c r="F131" s="755">
        <f t="shared" si="8"/>
        <v>772.63679844369324</v>
      </c>
      <c r="G131" s="731"/>
    </row>
    <row r="132" spans="1:7">
      <c r="A132" s="731"/>
      <c r="B132" s="751">
        <v>28</v>
      </c>
      <c r="C132" s="760">
        <f t="shared" si="5"/>
        <v>20524.868180505622</v>
      </c>
      <c r="D132" s="760">
        <f t="shared" si="6"/>
        <v>499.37230900613264</v>
      </c>
      <c r="E132" s="755">
        <f t="shared" si="7"/>
        <v>273.2644894375606</v>
      </c>
      <c r="F132" s="755">
        <f t="shared" si="8"/>
        <v>772.63679844369324</v>
      </c>
      <c r="G132" s="731"/>
    </row>
    <row r="133" spans="1:7">
      <c r="A133" s="731"/>
      <c r="B133" s="751">
        <v>29</v>
      </c>
      <c r="C133" s="760">
        <f t="shared" si="5"/>
        <v>20025.49587149949</v>
      </c>
      <c r="D133" s="760">
        <f t="shared" si="6"/>
        <v>506.02086420559675</v>
      </c>
      <c r="E133" s="755">
        <f t="shared" si="7"/>
        <v>266.61593423809649</v>
      </c>
      <c r="F133" s="755">
        <f t="shared" si="8"/>
        <v>772.63679844369324</v>
      </c>
      <c r="G133" s="731"/>
    </row>
    <row r="134" spans="1:7">
      <c r="A134" s="731"/>
      <c r="B134" s="751">
        <v>30</v>
      </c>
      <c r="C134" s="760">
        <f t="shared" si="5"/>
        <v>19519.475007293895</v>
      </c>
      <c r="D134" s="760">
        <f t="shared" si="6"/>
        <v>512.75793710106268</v>
      </c>
      <c r="E134" s="755">
        <f t="shared" si="7"/>
        <v>259.87886134263056</v>
      </c>
      <c r="F134" s="755">
        <f t="shared" si="8"/>
        <v>772.63679844369324</v>
      </c>
      <c r="G134" s="731"/>
    </row>
    <row r="135" spans="1:7">
      <c r="A135" s="731"/>
      <c r="B135" s="751">
        <v>31</v>
      </c>
      <c r="C135" s="760">
        <f t="shared" si="5"/>
        <v>19006.717070192833</v>
      </c>
      <c r="D135" s="760">
        <f t="shared" si="6"/>
        <v>519.58470620158539</v>
      </c>
      <c r="E135" s="755">
        <f t="shared" si="7"/>
        <v>253.05209224210782</v>
      </c>
      <c r="F135" s="755">
        <f t="shared" si="8"/>
        <v>772.63679844369324</v>
      </c>
      <c r="G135" s="731"/>
    </row>
    <row r="136" spans="1:7">
      <c r="A136" s="731"/>
      <c r="B136" s="751">
        <v>32</v>
      </c>
      <c r="C136" s="760">
        <f t="shared" si="5"/>
        <v>18487.132363991248</v>
      </c>
      <c r="D136" s="760">
        <f t="shared" si="6"/>
        <v>526.50236570668267</v>
      </c>
      <c r="E136" s="755">
        <f t="shared" si="7"/>
        <v>246.13443273701063</v>
      </c>
      <c r="F136" s="755">
        <f t="shared" si="8"/>
        <v>772.63679844369324</v>
      </c>
      <c r="G136" s="731"/>
    </row>
    <row r="137" spans="1:7">
      <c r="A137" s="731"/>
      <c r="B137" s="751">
        <v>33</v>
      </c>
      <c r="C137" s="760">
        <f t="shared" si="5"/>
        <v>17960.629998284567</v>
      </c>
      <c r="D137" s="760">
        <f t="shared" si="6"/>
        <v>533.51212571523433</v>
      </c>
      <c r="E137" s="755">
        <f t="shared" si="7"/>
        <v>239.1246727284589</v>
      </c>
      <c r="F137" s="755">
        <f t="shared" si="8"/>
        <v>772.63679844369324</v>
      </c>
      <c r="G137" s="731"/>
    </row>
    <row r="138" spans="1:7">
      <c r="A138" s="731"/>
      <c r="B138" s="751">
        <v>34</v>
      </c>
      <c r="C138" s="760">
        <f t="shared" si="5"/>
        <v>17427.117872569332</v>
      </c>
      <c r="D138" s="760">
        <f t="shared" si="6"/>
        <v>540.6152124371647</v>
      </c>
      <c r="E138" s="755">
        <f t="shared" si="7"/>
        <v>232.02158600652851</v>
      </c>
      <c r="F138" s="755">
        <f t="shared" si="8"/>
        <v>772.63679844369324</v>
      </c>
      <c r="G138" s="731"/>
    </row>
    <row r="139" spans="1:7">
      <c r="A139" s="731"/>
      <c r="B139" s="751">
        <v>35</v>
      </c>
      <c r="C139" s="760">
        <f t="shared" si="5"/>
        <v>16886.502660132166</v>
      </c>
      <c r="D139" s="760">
        <f t="shared" si="6"/>
        <v>547.81286840794144</v>
      </c>
      <c r="E139" s="755">
        <f t="shared" si="7"/>
        <v>224.82393003575183</v>
      </c>
      <c r="F139" s="755">
        <f t="shared" si="8"/>
        <v>772.63679844369324</v>
      </c>
      <c r="G139" s="731"/>
    </row>
    <row r="140" spans="1:7">
      <c r="A140" s="731"/>
      <c r="B140" s="751">
        <v>36</v>
      </c>
      <c r="C140" s="760">
        <f t="shared" si="5"/>
        <v>16338.689791724224</v>
      </c>
      <c r="D140" s="760">
        <f t="shared" si="6"/>
        <v>555.10635270593093</v>
      </c>
      <c r="E140" s="755">
        <f t="shared" si="7"/>
        <v>217.53044573776234</v>
      </c>
      <c r="F140" s="755">
        <f t="shared" si="8"/>
        <v>772.63679844369324</v>
      </c>
      <c r="G140" s="731"/>
    </row>
    <row r="141" spans="1:7">
      <c r="A141" s="731"/>
      <c r="B141" s="751">
        <v>37</v>
      </c>
      <c r="C141" s="760">
        <f t="shared" si="5"/>
        <v>15783.583439018294</v>
      </c>
      <c r="D141" s="760">
        <f t="shared" si="6"/>
        <v>562.49694117264789</v>
      </c>
      <c r="E141" s="755">
        <f t="shared" si="7"/>
        <v>210.13985727104532</v>
      </c>
      <c r="F141" s="755">
        <f t="shared" si="8"/>
        <v>772.63679844369324</v>
      </c>
      <c r="G141" s="731"/>
    </row>
    <row r="142" spans="1:7">
      <c r="A142" s="731"/>
      <c r="B142" s="751">
        <v>38</v>
      </c>
      <c r="C142" s="760">
        <f t="shared" si="5"/>
        <v>15221.086497845645</v>
      </c>
      <c r="D142" s="760">
        <f t="shared" si="6"/>
        <v>569.98592663593718</v>
      </c>
      <c r="E142" s="755">
        <f t="shared" si="7"/>
        <v>202.65087180775612</v>
      </c>
      <c r="F142" s="755">
        <f t="shared" si="8"/>
        <v>772.63679844369324</v>
      </c>
      <c r="G142" s="731"/>
    </row>
    <row r="143" spans="1:7">
      <c r="A143" s="731"/>
      <c r="B143" s="751">
        <v>39</v>
      </c>
      <c r="C143" s="760">
        <f t="shared" si="5"/>
        <v>14651.100571209707</v>
      </c>
      <c r="D143" s="760">
        <f t="shared" si="6"/>
        <v>577.57461913612588</v>
      </c>
      <c r="E143" s="755">
        <f t="shared" si="7"/>
        <v>195.06217930756742</v>
      </c>
      <c r="F143" s="755">
        <f t="shared" si="8"/>
        <v>772.63679844369324</v>
      </c>
      <c r="G143" s="731"/>
    </row>
    <row r="144" spans="1:7">
      <c r="A144" s="731"/>
      <c r="B144" s="751">
        <v>40</v>
      </c>
      <c r="C144" s="760">
        <f t="shared" si="5"/>
        <v>14073.525952073582</v>
      </c>
      <c r="D144" s="760">
        <f t="shared" si="6"/>
        <v>585.26434615518815</v>
      </c>
      <c r="E144" s="755">
        <f t="shared" si="7"/>
        <v>187.37245228850509</v>
      </c>
      <c r="F144" s="755">
        <f t="shared" si="8"/>
        <v>772.63679844369324</v>
      </c>
      <c r="G144" s="731"/>
    </row>
    <row r="145" spans="1:7">
      <c r="A145" s="731"/>
      <c r="B145" s="751">
        <v>41</v>
      </c>
      <c r="C145" s="760">
        <f t="shared" si="5"/>
        <v>13488.261605918393</v>
      </c>
      <c r="D145" s="760">
        <f t="shared" si="6"/>
        <v>593.05645284896013</v>
      </c>
      <c r="E145" s="755">
        <f t="shared" si="7"/>
        <v>179.5803455947331</v>
      </c>
      <c r="F145" s="755">
        <f t="shared" si="8"/>
        <v>772.63679844369324</v>
      </c>
      <c r="G145" s="731"/>
    </row>
    <row r="146" spans="1:7">
      <c r="A146" s="731"/>
      <c r="B146" s="751">
        <v>42</v>
      </c>
      <c r="C146" s="760">
        <f t="shared" si="5"/>
        <v>12895.205153069433</v>
      </c>
      <c r="D146" s="760">
        <f t="shared" si="6"/>
        <v>600.95230228244623</v>
      </c>
      <c r="E146" s="755">
        <f t="shared" si="7"/>
        <v>171.68449616124704</v>
      </c>
      <c r="F146" s="755">
        <f t="shared" si="8"/>
        <v>772.63679844369324</v>
      </c>
      <c r="G146" s="731"/>
    </row>
    <row r="147" spans="1:7">
      <c r="A147" s="731"/>
      <c r="B147" s="751">
        <v>43</v>
      </c>
      <c r="C147" s="760">
        <f t="shared" si="5"/>
        <v>12294.252850786987</v>
      </c>
      <c r="D147" s="760">
        <f t="shared" si="6"/>
        <v>608.95327566825893</v>
      </c>
      <c r="E147" s="755">
        <f t="shared" si="7"/>
        <v>163.68352277543434</v>
      </c>
      <c r="F147" s="755">
        <f t="shared" si="8"/>
        <v>772.63679844369324</v>
      </c>
      <c r="G147" s="731"/>
    </row>
    <row r="148" spans="1:7">
      <c r="A148" s="731"/>
      <c r="B148" s="751">
        <v>44</v>
      </c>
      <c r="C148" s="760">
        <f t="shared" si="5"/>
        <v>11685.299575118728</v>
      </c>
      <c r="D148" s="760">
        <f t="shared" si="6"/>
        <v>617.06077260823281</v>
      </c>
      <c r="E148" s="755">
        <f t="shared" si="7"/>
        <v>155.57602583546046</v>
      </c>
      <c r="F148" s="755">
        <f t="shared" si="8"/>
        <v>772.63679844369324</v>
      </c>
      <c r="G148" s="731"/>
    </row>
    <row r="149" spans="1:7">
      <c r="A149" s="731"/>
      <c r="B149" s="751">
        <v>45</v>
      </c>
      <c r="C149" s="760">
        <f t="shared" si="5"/>
        <v>11068.238802510496</v>
      </c>
      <c r="D149" s="760">
        <f t="shared" si="6"/>
        <v>625.27621133825539</v>
      </c>
      <c r="E149" s="755">
        <f t="shared" si="7"/>
        <v>147.36058710543782</v>
      </c>
      <c r="F149" s="755">
        <f t="shared" si="8"/>
        <v>772.63679844369324</v>
      </c>
      <c r="G149" s="731"/>
    </row>
    <row r="150" spans="1:7">
      <c r="A150" s="731"/>
      <c r="B150" s="751">
        <v>46</v>
      </c>
      <c r="C150" s="760">
        <f t="shared" si="5"/>
        <v>10442.96259117224</v>
      </c>
      <c r="D150" s="760">
        <f t="shared" si="6"/>
        <v>633.60102897635784</v>
      </c>
      <c r="E150" s="755">
        <f t="shared" si="7"/>
        <v>139.03576946733537</v>
      </c>
      <c r="F150" s="755">
        <f t="shared" si="8"/>
        <v>772.63679844369324</v>
      </c>
      <c r="G150" s="731"/>
    </row>
    <row r="151" spans="1:7">
      <c r="A151" s="731"/>
      <c r="B151" s="751">
        <v>47</v>
      </c>
      <c r="C151" s="760">
        <f t="shared" si="5"/>
        <v>9809.3615621958816</v>
      </c>
      <c r="D151" s="760">
        <f t="shared" si="6"/>
        <v>642.03668177410816</v>
      </c>
      <c r="E151" s="755">
        <f t="shared" si="7"/>
        <v>130.60011666958511</v>
      </c>
      <c r="F151" s="755">
        <f t="shared" si="8"/>
        <v>772.63679844369324</v>
      </c>
      <c r="G151" s="731"/>
    </row>
    <row r="152" spans="1:7">
      <c r="A152" s="731"/>
      <c r="B152" s="751">
        <v>48</v>
      </c>
      <c r="C152" s="760">
        <f t="shared" si="5"/>
        <v>9167.3248804217728</v>
      </c>
      <c r="D152" s="760">
        <f t="shared" si="6"/>
        <v>650.58464537135183</v>
      </c>
      <c r="E152" s="755">
        <f t="shared" si="7"/>
        <v>122.05215307234143</v>
      </c>
      <c r="F152" s="755">
        <f t="shared" si="8"/>
        <v>772.63679844369324</v>
      </c>
      <c r="G152" s="731"/>
    </row>
    <row r="153" spans="1:7">
      <c r="A153" s="731"/>
      <c r="B153" s="751">
        <v>49</v>
      </c>
      <c r="C153" s="760">
        <f t="shared" si="5"/>
        <v>8516.7402350504217</v>
      </c>
      <c r="D153" s="760">
        <f t="shared" si="6"/>
        <v>659.2464150543442</v>
      </c>
      <c r="E153" s="755">
        <f t="shared" si="7"/>
        <v>113.39038338934904</v>
      </c>
      <c r="F153" s="755">
        <f t="shared" si="8"/>
        <v>772.63679844369324</v>
      </c>
      <c r="G153" s="731"/>
    </row>
    <row r="154" spans="1:7">
      <c r="A154" s="731"/>
      <c r="B154" s="751">
        <v>50</v>
      </c>
      <c r="C154" s="760">
        <f t="shared" si="5"/>
        <v>7857.4938199960779</v>
      </c>
      <c r="D154" s="760">
        <f t="shared" si="6"/>
        <v>668.02350601731916</v>
      </c>
      <c r="E154" s="755">
        <f t="shared" si="7"/>
        <v>104.61329242637412</v>
      </c>
      <c r="F154" s="755">
        <f t="shared" si="8"/>
        <v>772.63679844369324</v>
      </c>
      <c r="G154" s="731"/>
    </row>
    <row r="155" spans="1:7">
      <c r="A155" s="731"/>
      <c r="B155" s="751">
        <v>51</v>
      </c>
      <c r="C155" s="760">
        <f t="shared" si="5"/>
        <v>7189.4703139787589</v>
      </c>
      <c r="D155" s="760">
        <f t="shared" si="6"/>
        <v>676.91745362754023</v>
      </c>
      <c r="E155" s="755">
        <f t="shared" si="7"/>
        <v>95.719344816152969</v>
      </c>
      <c r="F155" s="755">
        <f t="shared" si="8"/>
        <v>772.63679844369324</v>
      </c>
      <c r="G155" s="731"/>
    </row>
    <row r="156" spans="1:7">
      <c r="A156" s="731"/>
      <c r="B156" s="751">
        <v>52</v>
      </c>
      <c r="C156" s="760">
        <f t="shared" si="5"/>
        <v>6512.5528603512184</v>
      </c>
      <c r="D156" s="760">
        <f t="shared" si="6"/>
        <v>685.92981369388133</v>
      </c>
      <c r="E156" s="755">
        <f t="shared" si="7"/>
        <v>86.706984749811909</v>
      </c>
      <c r="F156" s="755">
        <f t="shared" si="8"/>
        <v>772.63679844369324</v>
      </c>
      <c r="G156" s="731"/>
    </row>
    <row r="157" spans="1:7">
      <c r="A157" s="731"/>
      <c r="B157" s="751">
        <v>53</v>
      </c>
      <c r="C157" s="760">
        <f t="shared" si="5"/>
        <v>5826.623046657337</v>
      </c>
      <c r="D157" s="760">
        <f t="shared" si="6"/>
        <v>695.06216273898212</v>
      </c>
      <c r="E157" s="755">
        <f t="shared" si="7"/>
        <v>77.574635704711142</v>
      </c>
      <c r="F157" s="755">
        <f t="shared" si="8"/>
        <v>772.63679844369324</v>
      </c>
      <c r="G157" s="731"/>
    </row>
    <row r="158" spans="1:7">
      <c r="A158" s="731"/>
      <c r="B158" s="751">
        <v>54</v>
      </c>
      <c r="C158" s="760">
        <f t="shared" si="5"/>
        <v>5131.5608839183551</v>
      </c>
      <c r="D158" s="760">
        <f t="shared" si="6"/>
        <v>704.3160982750278</v>
      </c>
      <c r="E158" s="755">
        <f t="shared" si="7"/>
        <v>68.320700168665439</v>
      </c>
      <c r="F158" s="755">
        <f t="shared" si="8"/>
        <v>772.63679844369324</v>
      </c>
      <c r="G158" s="731"/>
    </row>
    <row r="159" spans="1:7">
      <c r="A159" s="731"/>
      <c r="B159" s="751">
        <v>55</v>
      </c>
      <c r="C159" s="760">
        <f t="shared" si="5"/>
        <v>4427.2447856433273</v>
      </c>
      <c r="D159" s="760">
        <f t="shared" si="6"/>
        <v>713.6932390832003</v>
      </c>
      <c r="E159" s="755">
        <f t="shared" si="7"/>
        <v>58.943559360492955</v>
      </c>
      <c r="F159" s="755">
        <f t="shared" si="8"/>
        <v>772.63679844369324</v>
      </c>
      <c r="G159" s="731"/>
    </row>
    <row r="160" spans="1:7">
      <c r="A160" s="731"/>
      <c r="B160" s="751">
        <v>56</v>
      </c>
      <c r="C160" s="760">
        <f t="shared" si="5"/>
        <v>3713.551546560127</v>
      </c>
      <c r="D160" s="760">
        <f t="shared" si="6"/>
        <v>723.19522549684973</v>
      </c>
      <c r="E160" s="755">
        <f t="shared" si="7"/>
        <v>49.441572946843543</v>
      </c>
      <c r="F160" s="755">
        <f t="shared" si="8"/>
        <v>772.63679844369324</v>
      </c>
      <c r="G160" s="731"/>
    </row>
    <row r="161" spans="1:8">
      <c r="A161" s="731"/>
      <c r="B161" s="751">
        <v>57</v>
      </c>
      <c r="C161" s="760">
        <f t="shared" si="5"/>
        <v>2990.3563210632774</v>
      </c>
      <c r="D161" s="760">
        <f t="shared" si="6"/>
        <v>732.8237196884362</v>
      </c>
      <c r="E161" s="755">
        <f t="shared" si="7"/>
        <v>39.813078755256988</v>
      </c>
      <c r="F161" s="755">
        <f t="shared" si="8"/>
        <v>772.63679844369324</v>
      </c>
      <c r="G161" s="731"/>
    </row>
    <row r="162" spans="1:8">
      <c r="A162" s="731"/>
      <c r="B162" s="751">
        <v>58</v>
      </c>
      <c r="C162" s="760">
        <f t="shared" si="5"/>
        <v>2257.5326013748413</v>
      </c>
      <c r="D162" s="760">
        <f t="shared" si="6"/>
        <v>742.5804059602923</v>
      </c>
      <c r="E162" s="755">
        <f t="shared" si="7"/>
        <v>30.056392483400924</v>
      </c>
      <c r="F162" s="755">
        <f t="shared" si="8"/>
        <v>772.63679844369324</v>
      </c>
      <c r="G162" s="731"/>
    </row>
    <row r="163" spans="1:8">
      <c r="A163" s="731"/>
      <c r="B163" s="751">
        <v>59</v>
      </c>
      <c r="C163" s="760">
        <f t="shared" si="5"/>
        <v>1514.9521954145489</v>
      </c>
      <c r="D163" s="760">
        <f t="shared" si="6"/>
        <v>752.46699103925562</v>
      </c>
      <c r="E163" s="755">
        <f t="shared" si="7"/>
        <v>20.169807404437613</v>
      </c>
      <c r="F163" s="755">
        <f t="shared" si="8"/>
        <v>772.63679844369324</v>
      </c>
      <c r="G163" s="731"/>
    </row>
    <row r="164" spans="1:8" ht="26.25">
      <c r="A164" s="761"/>
      <c r="B164" s="737">
        <v>60</v>
      </c>
      <c r="C164" s="762">
        <f t="shared" si="5"/>
        <v>762.48520437529328</v>
      </c>
      <c r="D164" s="762">
        <f t="shared" si="6"/>
        <v>762.48520437522518</v>
      </c>
      <c r="E164" s="763">
        <f t="shared" si="7"/>
        <v>10.151594068468004</v>
      </c>
      <c r="F164" s="763">
        <f t="shared" si="8"/>
        <v>772.63679844369324</v>
      </c>
      <c r="G164" s="761"/>
    </row>
    <row r="165" spans="1:8">
      <c r="A165" s="761"/>
      <c r="B165" s="720"/>
      <c r="C165" s="764"/>
      <c r="D165" s="764"/>
      <c r="E165" s="764"/>
      <c r="F165" s="764"/>
      <c r="G165" s="761"/>
    </row>
    <row r="166" spans="1:8">
      <c r="A166" s="765"/>
      <c r="B166" s="766"/>
      <c r="C166" s="767"/>
      <c r="D166" s="767"/>
      <c r="E166" s="767"/>
      <c r="F166" s="767"/>
      <c r="G166" s="765"/>
      <c r="H166" s="768"/>
    </row>
    <row r="167" spans="1:8">
      <c r="A167" s="731"/>
      <c r="B167" s="731"/>
      <c r="C167" s="731"/>
      <c r="D167" s="731"/>
      <c r="E167" s="731"/>
      <c r="F167" s="731"/>
      <c r="G167" s="769"/>
    </row>
    <row r="168" spans="1:8" ht="30" customHeight="1">
      <c r="A168" s="731"/>
      <c r="B168" s="1281" t="s">
        <v>796</v>
      </c>
      <c r="C168" s="1282"/>
      <c r="D168" s="1282"/>
      <c r="E168" s="1282"/>
      <c r="F168" s="1282"/>
      <c r="G168" s="769"/>
    </row>
    <row r="170" spans="1:8">
      <c r="A170" s="761"/>
      <c r="B170" s="728"/>
      <c r="C170" s="728"/>
      <c r="D170" s="728"/>
      <c r="E170" s="728"/>
      <c r="F170" s="761"/>
      <c r="G170" s="769"/>
    </row>
    <row r="172" spans="1:8" ht="51" customHeight="1" thickBot="1">
      <c r="A172" s="739"/>
      <c r="B172" s="1283" t="s">
        <v>372</v>
      </c>
      <c r="C172" s="1284"/>
      <c r="D172" s="1284"/>
      <c r="E172" s="1284"/>
      <c r="F172" s="1284"/>
      <c r="G172" s="1285"/>
    </row>
    <row r="173" spans="1:8" ht="58.5" customHeight="1" thickBot="1">
      <c r="A173" s="770"/>
      <c r="B173" s="1260" t="s">
        <v>373</v>
      </c>
      <c r="C173" s="1261"/>
      <c r="D173" s="1261"/>
      <c r="E173" s="1261"/>
      <c r="F173" s="1261"/>
      <c r="G173" s="1262"/>
    </row>
    <row r="174" spans="1:8" ht="58.5" customHeight="1">
      <c r="A174" s="771">
        <v>1</v>
      </c>
      <c r="B174" s="1286" t="s">
        <v>374</v>
      </c>
      <c r="C174" s="1286"/>
      <c r="D174" s="1286"/>
      <c r="E174" s="1286"/>
      <c r="F174" s="1286"/>
      <c r="G174" s="772"/>
    </row>
    <row r="175" spans="1:8" ht="58.5" customHeight="1">
      <c r="A175" s="771">
        <v>2</v>
      </c>
      <c r="B175" s="1277" t="s">
        <v>375</v>
      </c>
      <c r="C175" s="1277"/>
      <c r="D175" s="1277"/>
      <c r="E175" s="1277"/>
      <c r="F175" s="1277"/>
      <c r="G175" s="772"/>
    </row>
    <row r="176" spans="1:8" ht="47.25" customHeight="1">
      <c r="A176" s="771">
        <v>3</v>
      </c>
      <c r="B176" s="1277" t="s">
        <v>376</v>
      </c>
      <c r="C176" s="1277"/>
      <c r="D176" s="1277"/>
      <c r="E176" s="1277"/>
      <c r="F176" s="1277"/>
      <c r="G176" s="772"/>
    </row>
    <row r="177" spans="1:12" ht="48.75" customHeight="1">
      <c r="A177" s="771">
        <v>4</v>
      </c>
      <c r="B177" s="1277" t="s">
        <v>377</v>
      </c>
      <c r="C177" s="1277"/>
      <c r="D177" s="1277"/>
      <c r="E177" s="1277"/>
      <c r="F177" s="1277"/>
      <c r="G177" s="772"/>
      <c r="L177" s="635">
        <f>159000/3</f>
        <v>53000</v>
      </c>
    </row>
    <row r="178" spans="1:12">
      <c r="A178" s="739"/>
      <c r="B178" s="739"/>
      <c r="C178" s="739"/>
      <c r="D178" s="739"/>
      <c r="E178" s="739"/>
      <c r="F178" s="770"/>
      <c r="G178" s="772"/>
      <c r="L178" s="635">
        <f>L177/12</f>
        <v>4416.666666666667</v>
      </c>
    </row>
    <row r="180" spans="1:12" ht="42.75" customHeight="1">
      <c r="A180" s="773">
        <v>1</v>
      </c>
      <c r="B180" s="1278" t="s">
        <v>378</v>
      </c>
      <c r="C180" s="1279"/>
      <c r="D180" s="1279"/>
      <c r="E180" s="1279"/>
      <c r="F180" s="1279"/>
      <c r="G180" s="1279"/>
    </row>
    <row r="182" spans="1:12" ht="74.25" customHeight="1">
      <c r="B182" s="1165" t="s">
        <v>797</v>
      </c>
      <c r="C182" s="1165"/>
      <c r="D182" s="1165"/>
      <c r="E182" s="1165"/>
      <c r="F182" s="774"/>
      <c r="G182" s="234">
        <v>645</v>
      </c>
      <c r="H182" s="598" t="s">
        <v>379</v>
      </c>
    </row>
    <row r="183" spans="1:12" ht="50.25" customHeight="1">
      <c r="B183" s="1165" t="s">
        <v>798</v>
      </c>
      <c r="C183" s="1165"/>
      <c r="D183" s="1165"/>
      <c r="E183" s="1165"/>
      <c r="F183" s="774"/>
      <c r="G183" s="234">
        <v>77</v>
      </c>
      <c r="H183" s="598" t="s">
        <v>380</v>
      </c>
    </row>
    <row r="184" spans="1:12" ht="30" customHeight="1">
      <c r="B184" s="1280"/>
      <c r="C184" s="1280"/>
      <c r="D184" s="1280"/>
      <c r="E184" s="1280"/>
      <c r="F184" s="634"/>
      <c r="G184" s="775"/>
      <c r="H184" s="634"/>
    </row>
    <row r="185" spans="1:12" ht="85.5" customHeight="1">
      <c r="A185" s="193"/>
      <c r="B185" s="213" t="s">
        <v>144</v>
      </c>
      <c r="C185" s="585" t="s">
        <v>145</v>
      </c>
      <c r="D185" s="585" t="s">
        <v>146</v>
      </c>
      <c r="E185" s="585" t="s">
        <v>147</v>
      </c>
      <c r="F185" s="585" t="s">
        <v>148</v>
      </c>
      <c r="G185" s="775"/>
      <c r="H185" s="634"/>
      <c r="I185" s="634"/>
    </row>
    <row r="186" spans="1:12" ht="48.75" customHeight="1">
      <c r="A186" s="596" t="s">
        <v>381</v>
      </c>
      <c r="B186" s="238">
        <v>645</v>
      </c>
      <c r="C186" s="239">
        <v>0.96</v>
      </c>
      <c r="D186" s="240">
        <v>56</v>
      </c>
      <c r="E186" s="241">
        <v>12</v>
      </c>
      <c r="F186" s="240">
        <f>D186*E186</f>
        <v>672</v>
      </c>
      <c r="G186" s="775"/>
      <c r="H186" s="634"/>
      <c r="I186" s="634"/>
    </row>
    <row r="187" spans="1:12" ht="30" customHeight="1">
      <c r="A187" s="596" t="s">
        <v>382</v>
      </c>
      <c r="B187" s="238">
        <v>77</v>
      </c>
      <c r="C187" s="239">
        <v>0.43</v>
      </c>
      <c r="D187" s="240">
        <v>15</v>
      </c>
      <c r="E187" s="241">
        <v>12</v>
      </c>
      <c r="F187" s="240">
        <f>+D187*E187</f>
        <v>180</v>
      </c>
      <c r="G187" s="775"/>
      <c r="H187" s="634"/>
      <c r="I187" s="634"/>
    </row>
    <row r="189" spans="1:12">
      <c r="A189" s="192"/>
      <c r="B189" s="243"/>
      <c r="C189" s="243" t="s">
        <v>383</v>
      </c>
      <c r="D189" s="597" t="s">
        <v>384</v>
      </c>
      <c r="E189" s="597" t="s">
        <v>385</v>
      </c>
      <c r="F189" s="1120" t="s">
        <v>386</v>
      </c>
      <c r="G189" s="1120"/>
      <c r="H189" s="192"/>
      <c r="I189" s="192"/>
    </row>
    <row r="190" spans="1:12" ht="23.25">
      <c r="A190" s="245">
        <v>0.33800000000000002</v>
      </c>
      <c r="B190" s="243" t="s">
        <v>391</v>
      </c>
      <c r="C190" s="246">
        <v>23.998000000000001</v>
      </c>
      <c r="D190" s="597" t="s">
        <v>388</v>
      </c>
      <c r="E190" s="597" t="s">
        <v>389</v>
      </c>
      <c r="F190" s="247">
        <v>2048.5</v>
      </c>
      <c r="G190" s="248">
        <v>2048.5</v>
      </c>
      <c r="H190" s="1238" t="s">
        <v>390</v>
      </c>
      <c r="I190" s="1238"/>
    </row>
    <row r="191" spans="1:12" ht="23.25">
      <c r="A191" s="245">
        <v>0.45069999999999999</v>
      </c>
      <c r="B191" s="243" t="s">
        <v>387</v>
      </c>
      <c r="C191" s="246">
        <v>31.999700000000001</v>
      </c>
      <c r="D191" s="597" t="s">
        <v>388</v>
      </c>
      <c r="E191" s="597" t="s">
        <v>389</v>
      </c>
      <c r="F191" s="249">
        <v>1311</v>
      </c>
      <c r="G191" s="250">
        <v>1311</v>
      </c>
      <c r="H191" s="581">
        <v>5</v>
      </c>
      <c r="I191" s="252">
        <v>3.84</v>
      </c>
    </row>
    <row r="192" spans="1:12" ht="23.25">
      <c r="A192" s="245">
        <v>0.21129999999999999</v>
      </c>
      <c r="B192" s="243" t="s">
        <v>392</v>
      </c>
      <c r="C192" s="246">
        <v>15.0023</v>
      </c>
      <c r="D192" s="597" t="s">
        <v>388</v>
      </c>
      <c r="E192" s="597" t="s">
        <v>389</v>
      </c>
      <c r="F192" s="253">
        <v>783.33333333333337</v>
      </c>
      <c r="G192" s="250">
        <v>783.33333333333337</v>
      </c>
      <c r="H192" s="581"/>
      <c r="I192" s="252"/>
    </row>
    <row r="193" spans="1:16" ht="28.5">
      <c r="A193" s="192"/>
      <c r="B193" s="581" t="s">
        <v>393</v>
      </c>
      <c r="C193" s="254">
        <f>SUM(C190:C192)</f>
        <v>71</v>
      </c>
      <c r="D193" s="255"/>
      <c r="E193" s="192"/>
      <c r="F193" s="256"/>
      <c r="G193" s="257"/>
      <c r="H193" s="581" t="s">
        <v>394</v>
      </c>
      <c r="I193" s="581" t="s">
        <v>395</v>
      </c>
    </row>
    <row r="194" spans="1:16" ht="57">
      <c r="B194" s="778" t="s">
        <v>396</v>
      </c>
    </row>
    <row r="195" spans="1:16" ht="31.5" customHeight="1">
      <c r="B195" s="1287" t="s">
        <v>397</v>
      </c>
      <c r="C195" s="1287"/>
      <c r="D195" s="1287"/>
      <c r="E195" s="1287"/>
      <c r="F195" s="1287"/>
      <c r="G195" s="772"/>
    </row>
    <row r="197" spans="1:16">
      <c r="C197" s="761"/>
    </row>
    <row r="198" spans="1:16" s="192" customFormat="1" ht="42" customHeight="1">
      <c r="A198" s="939" t="s">
        <v>398</v>
      </c>
      <c r="B198" s="1112" t="s">
        <v>399</v>
      </c>
      <c r="C198" s="1103"/>
      <c r="D198" s="943" t="s">
        <v>400</v>
      </c>
      <c r="E198" s="943" t="s">
        <v>401</v>
      </c>
      <c r="F198" s="943" t="s">
        <v>402</v>
      </c>
      <c r="G198" s="943" t="s">
        <v>403</v>
      </c>
      <c r="H198" s="943" t="s">
        <v>404</v>
      </c>
      <c r="I198" s="943" t="s">
        <v>405</v>
      </c>
      <c r="J198" s="943" t="s">
        <v>406</v>
      </c>
      <c r="K198" s="943" t="s">
        <v>407</v>
      </c>
      <c r="L198" s="943" t="s">
        <v>408</v>
      </c>
      <c r="M198" s="943" t="s">
        <v>409</v>
      </c>
      <c r="N198" s="943" t="s">
        <v>410</v>
      </c>
      <c r="O198" s="943" t="s">
        <v>411</v>
      </c>
      <c r="P198" s="943" t="s">
        <v>183</v>
      </c>
    </row>
    <row r="199" spans="1:16" s="192" customFormat="1" ht="23.25">
      <c r="A199" s="258">
        <f>F378</f>
        <v>17</v>
      </c>
      <c r="B199" s="945" t="str">
        <f>B190</f>
        <v>S. ONCOLÓGICO</v>
      </c>
      <c r="C199" s="946" t="s">
        <v>412</v>
      </c>
      <c r="D199" s="205">
        <f>C190</f>
        <v>23.998000000000001</v>
      </c>
      <c r="E199" s="205">
        <f>D199</f>
        <v>23.998000000000001</v>
      </c>
      <c r="F199" s="205">
        <f t="shared" ref="F199:O201" si="9">E199</f>
        <v>23.998000000000001</v>
      </c>
      <c r="G199" s="205">
        <f t="shared" si="9"/>
        <v>23.998000000000001</v>
      </c>
      <c r="H199" s="205">
        <f t="shared" si="9"/>
        <v>23.998000000000001</v>
      </c>
      <c r="I199" s="205">
        <f t="shared" si="9"/>
        <v>23.998000000000001</v>
      </c>
      <c r="J199" s="205">
        <f t="shared" si="9"/>
        <v>23.998000000000001</v>
      </c>
      <c r="K199" s="205">
        <f t="shared" si="9"/>
        <v>23.998000000000001</v>
      </c>
      <c r="L199" s="205">
        <f t="shared" si="9"/>
        <v>23.998000000000001</v>
      </c>
      <c r="M199" s="205">
        <f t="shared" si="9"/>
        <v>23.998000000000001</v>
      </c>
      <c r="N199" s="205">
        <f t="shared" si="9"/>
        <v>23.998000000000001</v>
      </c>
      <c r="O199" s="205">
        <f t="shared" si="9"/>
        <v>23.998000000000001</v>
      </c>
      <c r="P199" s="917">
        <f>SUM(D199:O199)</f>
        <v>287.97599999999994</v>
      </c>
    </row>
    <row r="200" spans="1:16" s="192" customFormat="1" ht="23.25">
      <c r="A200" s="258">
        <f>F380</f>
        <v>22</v>
      </c>
      <c r="B200" s="945" t="str">
        <f>B191</f>
        <v>S. ENDOCRINO</v>
      </c>
      <c r="C200" s="946" t="s">
        <v>412</v>
      </c>
      <c r="D200" s="205">
        <f>C191</f>
        <v>31.999700000000001</v>
      </c>
      <c r="E200" s="205">
        <f>D200</f>
        <v>31.999700000000001</v>
      </c>
      <c r="F200" s="205">
        <f t="shared" si="9"/>
        <v>31.999700000000001</v>
      </c>
      <c r="G200" s="205">
        <f t="shared" si="9"/>
        <v>31.999700000000001</v>
      </c>
      <c r="H200" s="205">
        <f t="shared" si="9"/>
        <v>31.999700000000001</v>
      </c>
      <c r="I200" s="205">
        <f t="shared" si="9"/>
        <v>31.999700000000001</v>
      </c>
      <c r="J200" s="205">
        <f t="shared" si="9"/>
        <v>31.999700000000001</v>
      </c>
      <c r="K200" s="205">
        <f t="shared" si="9"/>
        <v>31.999700000000001</v>
      </c>
      <c r="L200" s="205">
        <f t="shared" si="9"/>
        <v>31.999700000000001</v>
      </c>
      <c r="M200" s="205">
        <f t="shared" si="9"/>
        <v>31.999700000000001</v>
      </c>
      <c r="N200" s="205">
        <f t="shared" si="9"/>
        <v>31.999700000000001</v>
      </c>
      <c r="O200" s="205">
        <f t="shared" si="9"/>
        <v>31.999700000000001</v>
      </c>
      <c r="P200" s="917">
        <f>SUM(D200:O200)</f>
        <v>383.99640000000005</v>
      </c>
    </row>
    <row r="201" spans="1:16" s="192" customFormat="1" ht="23.25">
      <c r="A201" s="960">
        <f>F382</f>
        <v>10</v>
      </c>
      <c r="B201" s="946" t="str">
        <f>B192</f>
        <v>S. IMPORTACIÓN</v>
      </c>
      <c r="C201" s="946" t="s">
        <v>412</v>
      </c>
      <c r="D201" s="205">
        <f>C192</f>
        <v>15.0023</v>
      </c>
      <c r="E201" s="205">
        <f>D201</f>
        <v>15.0023</v>
      </c>
      <c r="F201" s="205">
        <f t="shared" si="9"/>
        <v>15.0023</v>
      </c>
      <c r="G201" s="205">
        <f t="shared" si="9"/>
        <v>15.0023</v>
      </c>
      <c r="H201" s="205">
        <f>G201</f>
        <v>15.0023</v>
      </c>
      <c r="I201" s="205">
        <f t="shared" ref="I201" si="10">H201</f>
        <v>15.0023</v>
      </c>
      <c r="J201" s="205">
        <f>I201</f>
        <v>15.0023</v>
      </c>
      <c r="K201" s="205">
        <f t="shared" ref="K201" si="11">J201</f>
        <v>15.0023</v>
      </c>
      <c r="L201" s="205">
        <f t="shared" ref="L201" si="12">K201</f>
        <v>15.0023</v>
      </c>
      <c r="M201" s="205">
        <f>L201</f>
        <v>15.0023</v>
      </c>
      <c r="N201" s="205">
        <f>M201</f>
        <v>15.0023</v>
      </c>
      <c r="O201" s="205">
        <f t="shared" ref="O201" si="13">N201</f>
        <v>15.0023</v>
      </c>
      <c r="P201" s="917">
        <f>SUM(D201:O201)</f>
        <v>180.02759999999998</v>
      </c>
    </row>
    <row r="202" spans="1:16" s="192" customFormat="1" ht="23.25">
      <c r="B202" s="196"/>
      <c r="C202" s="197"/>
      <c r="D202" s="946"/>
      <c r="E202" s="946"/>
      <c r="F202" s="946"/>
      <c r="G202" s="946"/>
      <c r="H202" s="946"/>
      <c r="I202" s="946"/>
      <c r="J202" s="946"/>
      <c r="K202" s="946"/>
      <c r="L202" s="946"/>
      <c r="M202" s="946"/>
      <c r="N202" s="946"/>
      <c r="O202" s="946"/>
      <c r="P202" s="946"/>
    </row>
    <row r="203" spans="1:16" s="192" customFormat="1" ht="42" customHeight="1">
      <c r="B203" s="1113" t="s">
        <v>414</v>
      </c>
      <c r="C203" s="1113"/>
      <c r="D203" s="261">
        <f>F190</f>
        <v>2048.5</v>
      </c>
      <c r="E203" s="261">
        <f>D203</f>
        <v>2048.5</v>
      </c>
      <c r="F203" s="261">
        <f t="shared" ref="F203:K205" si="14">E203</f>
        <v>2048.5</v>
      </c>
      <c r="G203" s="261">
        <f t="shared" si="14"/>
        <v>2048.5</v>
      </c>
      <c r="H203" s="261">
        <f t="shared" si="14"/>
        <v>2048.5</v>
      </c>
      <c r="I203" s="261">
        <f t="shared" si="14"/>
        <v>2048.5</v>
      </c>
      <c r="J203" s="261">
        <f t="shared" si="14"/>
        <v>2048.5</v>
      </c>
      <c r="K203" s="261">
        <f t="shared" si="14"/>
        <v>2048.5</v>
      </c>
      <c r="L203" s="261">
        <f t="shared" ref="L203:L204" si="15">K203</f>
        <v>2048.5</v>
      </c>
      <c r="M203" s="261">
        <f t="shared" ref="M203:M204" si="16">L203</f>
        <v>2048.5</v>
      </c>
      <c r="N203" s="261">
        <f>M203</f>
        <v>2048.5</v>
      </c>
      <c r="O203" s="261">
        <f>N203</f>
        <v>2048.5</v>
      </c>
      <c r="P203" s="261">
        <f>O203</f>
        <v>2048.5</v>
      </c>
    </row>
    <row r="204" spans="1:16" s="192" customFormat="1" ht="44.25" customHeight="1">
      <c r="B204" s="1225" t="s">
        <v>413</v>
      </c>
      <c r="C204" s="1225"/>
      <c r="D204" s="261">
        <f>F191</f>
        <v>1311</v>
      </c>
      <c r="E204" s="261">
        <f>D204</f>
        <v>1311</v>
      </c>
      <c r="F204" s="261">
        <f t="shared" si="14"/>
        <v>1311</v>
      </c>
      <c r="G204" s="261">
        <f t="shared" si="14"/>
        <v>1311</v>
      </c>
      <c r="H204" s="261">
        <f t="shared" si="14"/>
        <v>1311</v>
      </c>
      <c r="I204" s="261">
        <f t="shared" si="14"/>
        <v>1311</v>
      </c>
      <c r="J204" s="261">
        <f t="shared" si="14"/>
        <v>1311</v>
      </c>
      <c r="K204" s="261">
        <f t="shared" si="14"/>
        <v>1311</v>
      </c>
      <c r="L204" s="261">
        <f t="shared" si="15"/>
        <v>1311</v>
      </c>
      <c r="M204" s="261">
        <f t="shared" si="16"/>
        <v>1311</v>
      </c>
      <c r="N204" s="261">
        <f t="shared" ref="N204:P204" si="17">M204</f>
        <v>1311</v>
      </c>
      <c r="O204" s="261">
        <f t="shared" si="17"/>
        <v>1311</v>
      </c>
      <c r="P204" s="261">
        <f t="shared" si="17"/>
        <v>1311</v>
      </c>
    </row>
    <row r="205" spans="1:16" s="192" customFormat="1" ht="44.25" customHeight="1">
      <c r="B205" s="1225" t="s">
        <v>415</v>
      </c>
      <c r="C205" s="1225"/>
      <c r="D205" s="261">
        <f>F192</f>
        <v>783.33333333333337</v>
      </c>
      <c r="E205" s="261">
        <f>D205</f>
        <v>783.33333333333337</v>
      </c>
      <c r="F205" s="261">
        <f t="shared" si="14"/>
        <v>783.33333333333337</v>
      </c>
      <c r="G205" s="261">
        <f t="shared" si="14"/>
        <v>783.33333333333337</v>
      </c>
      <c r="H205" s="261">
        <f t="shared" si="14"/>
        <v>783.33333333333337</v>
      </c>
      <c r="I205" s="261">
        <f t="shared" ref="I205" si="18">H205</f>
        <v>783.33333333333337</v>
      </c>
      <c r="J205" s="261">
        <f t="shared" ref="J205" si="19">I205</f>
        <v>783.33333333333337</v>
      </c>
      <c r="K205" s="261">
        <f t="shared" si="14"/>
        <v>783.33333333333337</v>
      </c>
      <c r="L205" s="261">
        <f>K205</f>
        <v>783.33333333333337</v>
      </c>
      <c r="M205" s="261">
        <f t="shared" ref="M205" si="20">L205</f>
        <v>783.33333333333337</v>
      </c>
      <c r="N205" s="261">
        <f t="shared" ref="N205:P205" si="21">M205</f>
        <v>783.33333333333337</v>
      </c>
      <c r="O205" s="261">
        <f t="shared" si="21"/>
        <v>783.33333333333337</v>
      </c>
      <c r="P205" s="261">
        <f t="shared" si="21"/>
        <v>783.33333333333337</v>
      </c>
    </row>
    <row r="206" spans="1:16" s="192" customFormat="1" ht="23.25">
      <c r="B206" s="197"/>
      <c r="C206" s="197"/>
      <c r="D206" s="946"/>
      <c r="E206" s="946"/>
      <c r="F206" s="946"/>
      <c r="G206" s="946"/>
      <c r="H206" s="946"/>
      <c r="I206" s="946"/>
      <c r="J206" s="946"/>
      <c r="K206" s="946"/>
      <c r="L206" s="946"/>
      <c r="M206" s="946"/>
      <c r="N206" s="946"/>
      <c r="O206" s="946"/>
      <c r="P206" s="946"/>
    </row>
    <row r="207" spans="1:16" s="192" customFormat="1" ht="42" customHeight="1">
      <c r="B207" s="1102" t="s">
        <v>416</v>
      </c>
      <c r="C207" s="1103"/>
      <c r="D207" s="946" t="s">
        <v>248</v>
      </c>
      <c r="E207" s="946"/>
      <c r="F207" s="946"/>
      <c r="G207" s="946"/>
      <c r="H207" s="946"/>
      <c r="I207" s="946"/>
      <c r="J207" s="946"/>
      <c r="K207" s="946"/>
      <c r="L207" s="946"/>
      <c r="M207" s="946"/>
      <c r="N207" s="946"/>
      <c r="O207" s="946"/>
      <c r="P207" s="946"/>
    </row>
    <row r="208" spans="1:16" s="192" customFormat="1" ht="23.25">
      <c r="B208" s="1226" t="str">
        <f>+B199</f>
        <v>S. ONCOLÓGICO</v>
      </c>
      <c r="C208" s="1227"/>
      <c r="D208" s="246">
        <f>D199*D203</f>
        <v>49159.903000000006</v>
      </c>
      <c r="E208" s="246">
        <f t="shared" ref="D208:O209" si="22">E199*E203</f>
        <v>49159.903000000006</v>
      </c>
      <c r="F208" s="246">
        <f t="shared" si="22"/>
        <v>49159.903000000006</v>
      </c>
      <c r="G208" s="246">
        <f t="shared" si="22"/>
        <v>49159.903000000006</v>
      </c>
      <c r="H208" s="246">
        <f t="shared" si="22"/>
        <v>49159.903000000006</v>
      </c>
      <c r="I208" s="246">
        <f t="shared" si="22"/>
        <v>49159.903000000006</v>
      </c>
      <c r="J208" s="246">
        <f t="shared" si="22"/>
        <v>49159.903000000006</v>
      </c>
      <c r="K208" s="246">
        <f t="shared" si="22"/>
        <v>49159.903000000006</v>
      </c>
      <c r="L208" s="246">
        <f t="shared" si="22"/>
        <v>49159.903000000006</v>
      </c>
      <c r="M208" s="246">
        <f t="shared" si="22"/>
        <v>49159.903000000006</v>
      </c>
      <c r="N208" s="246">
        <f t="shared" si="22"/>
        <v>49159.903000000006</v>
      </c>
      <c r="O208" s="246">
        <f t="shared" si="22"/>
        <v>49159.903000000006</v>
      </c>
      <c r="P208" s="262">
        <f>SUM(D208:O208)</f>
        <v>589918.83600000001</v>
      </c>
    </row>
    <row r="209" spans="2:17" s="192" customFormat="1" ht="23.25">
      <c r="B209" s="1226" t="str">
        <f>+B200</f>
        <v>S. ENDOCRINO</v>
      </c>
      <c r="C209" s="1227"/>
      <c r="D209" s="246">
        <f t="shared" si="22"/>
        <v>41951.606700000004</v>
      </c>
      <c r="E209" s="246">
        <f t="shared" si="22"/>
        <v>41951.606700000004</v>
      </c>
      <c r="F209" s="246">
        <f t="shared" si="22"/>
        <v>41951.606700000004</v>
      </c>
      <c r="G209" s="246">
        <f t="shared" si="22"/>
        <v>41951.606700000004</v>
      </c>
      <c r="H209" s="246">
        <f t="shared" si="22"/>
        <v>41951.606700000004</v>
      </c>
      <c r="I209" s="246">
        <f t="shared" si="22"/>
        <v>41951.606700000004</v>
      </c>
      <c r="J209" s="246">
        <f t="shared" si="22"/>
        <v>41951.606700000004</v>
      </c>
      <c r="K209" s="246">
        <f t="shared" si="22"/>
        <v>41951.606700000004</v>
      </c>
      <c r="L209" s="246">
        <f t="shared" si="22"/>
        <v>41951.606700000004</v>
      </c>
      <c r="M209" s="246">
        <f t="shared" si="22"/>
        <v>41951.606700000004</v>
      </c>
      <c r="N209" s="246">
        <f t="shared" si="22"/>
        <v>41951.606700000004</v>
      </c>
      <c r="O209" s="246">
        <f t="shared" si="22"/>
        <v>41951.606700000004</v>
      </c>
      <c r="P209" s="262">
        <f t="shared" ref="P209:P210" si="23">SUM(D209:O209)</f>
        <v>503419.28040000005</v>
      </c>
    </row>
    <row r="210" spans="2:17" s="192" customFormat="1" ht="23.25">
      <c r="B210" s="1228" t="str">
        <f>+B201</f>
        <v>S. IMPORTACIÓN</v>
      </c>
      <c r="C210" s="1228"/>
      <c r="D210" s="246">
        <f>+D201*D205</f>
        <v>11751.801666666668</v>
      </c>
      <c r="E210" s="246">
        <f t="shared" ref="E210:O210" si="24">+E201*E205</f>
        <v>11751.801666666668</v>
      </c>
      <c r="F210" s="246">
        <f t="shared" si="24"/>
        <v>11751.801666666668</v>
      </c>
      <c r="G210" s="246">
        <f t="shared" si="24"/>
        <v>11751.801666666668</v>
      </c>
      <c r="H210" s="246">
        <f t="shared" si="24"/>
        <v>11751.801666666668</v>
      </c>
      <c r="I210" s="246">
        <f t="shared" si="24"/>
        <v>11751.801666666668</v>
      </c>
      <c r="J210" s="246">
        <f t="shared" si="24"/>
        <v>11751.801666666668</v>
      </c>
      <c r="K210" s="246">
        <f t="shared" si="24"/>
        <v>11751.801666666668</v>
      </c>
      <c r="L210" s="246">
        <f t="shared" si="24"/>
        <v>11751.801666666668</v>
      </c>
      <c r="M210" s="246">
        <f t="shared" si="24"/>
        <v>11751.801666666668</v>
      </c>
      <c r="N210" s="246">
        <f t="shared" si="24"/>
        <v>11751.801666666668</v>
      </c>
      <c r="O210" s="246">
        <f t="shared" si="24"/>
        <v>11751.801666666668</v>
      </c>
      <c r="P210" s="262">
        <f t="shared" si="23"/>
        <v>141021.62000000002</v>
      </c>
    </row>
    <row r="211" spans="2:17" s="192" customFormat="1" ht="23.25">
      <c r="B211" s="215"/>
      <c r="C211" s="215"/>
      <c r="D211" s="264"/>
      <c r="E211" s="264"/>
      <c r="F211" s="264"/>
      <c r="G211" s="264"/>
      <c r="H211" s="264"/>
      <c r="I211" s="264"/>
      <c r="J211" s="264"/>
      <c r="K211" s="264"/>
      <c r="L211" s="264"/>
      <c r="M211" s="264"/>
      <c r="N211" s="264"/>
      <c r="O211" s="264"/>
      <c r="P211" s="265">
        <f>SUM(P208:P210)</f>
        <v>1234359.7364000003</v>
      </c>
      <c r="Q211" s="264"/>
    </row>
    <row r="212" spans="2:17" s="192" customFormat="1" ht="93">
      <c r="C212" s="1102" t="s">
        <v>399</v>
      </c>
      <c r="D212" s="1103"/>
      <c r="E212" s="943" t="s">
        <v>417</v>
      </c>
      <c r="F212" s="943" t="s">
        <v>418</v>
      </c>
      <c r="G212" s="1230" t="s">
        <v>419</v>
      </c>
      <c r="K212" s="264"/>
      <c r="L212" s="264"/>
      <c r="M212" s="264"/>
      <c r="N212" s="264"/>
      <c r="O212" s="264"/>
      <c r="P212" s="264"/>
      <c r="Q212" s="264"/>
    </row>
    <row r="213" spans="2:17" s="192" customFormat="1" ht="23.25">
      <c r="C213" s="203" t="str">
        <f>+B208</f>
        <v>S. ONCOLÓGICO</v>
      </c>
      <c r="D213" s="946" t="s">
        <v>420</v>
      </c>
      <c r="E213" s="262">
        <f>D199</f>
        <v>23.998000000000001</v>
      </c>
      <c r="F213" s="301">
        <f>P199</f>
        <v>287.97599999999994</v>
      </c>
      <c r="G213" s="1230"/>
      <c r="K213" s="264"/>
      <c r="L213" s="264"/>
      <c r="M213" s="264"/>
      <c r="N213" s="264"/>
      <c r="O213" s="264"/>
      <c r="P213" s="264"/>
      <c r="Q213" s="264"/>
    </row>
    <row r="214" spans="2:17" s="192" customFormat="1" ht="23.25">
      <c r="C214" s="203" t="str">
        <f>+B209</f>
        <v>S. ENDOCRINO</v>
      </c>
      <c r="D214" s="946" t="s">
        <v>420</v>
      </c>
      <c r="E214" s="262">
        <f>D200</f>
        <v>31.999700000000001</v>
      </c>
      <c r="F214" s="301">
        <f>P200</f>
        <v>383.99640000000005</v>
      </c>
      <c r="G214" s="1230"/>
      <c r="K214" s="264"/>
      <c r="L214" s="264"/>
      <c r="M214" s="264"/>
      <c r="N214" s="264"/>
      <c r="O214" s="264"/>
      <c r="P214" s="264"/>
      <c r="Q214" s="264"/>
    </row>
    <row r="215" spans="2:17" s="192" customFormat="1" ht="23.25">
      <c r="C215" s="266" t="str">
        <f>+B210</f>
        <v>S. IMPORTACIÓN</v>
      </c>
      <c r="D215" s="946" t="s">
        <v>420</v>
      </c>
      <c r="E215" s="262">
        <f>+D201</f>
        <v>15.0023</v>
      </c>
      <c r="F215" s="301">
        <f>P201</f>
        <v>180.02759999999998</v>
      </c>
      <c r="G215" s="1230"/>
      <c r="K215" s="264"/>
      <c r="L215" s="264"/>
      <c r="M215" s="264"/>
      <c r="N215" s="264"/>
      <c r="O215" s="264"/>
      <c r="P215" s="264"/>
      <c r="Q215" s="264"/>
    </row>
    <row r="216" spans="2:17" s="192" customFormat="1" ht="23.25">
      <c r="C216" s="267"/>
      <c r="D216" s="196"/>
      <c r="E216" s="268"/>
      <c r="F216" s="262"/>
      <c r="G216" s="1230"/>
      <c r="K216" s="264"/>
      <c r="L216" s="264"/>
      <c r="M216" s="264"/>
      <c r="N216" s="264"/>
      <c r="O216" s="264"/>
      <c r="P216" s="264"/>
      <c r="Q216" s="264"/>
    </row>
    <row r="217" spans="2:17" s="192" customFormat="1" ht="23.25">
      <c r="C217" s="1102" t="s">
        <v>416</v>
      </c>
      <c r="D217" s="1103"/>
      <c r="E217" s="262" t="s">
        <v>421</v>
      </c>
      <c r="F217" s="262" t="s">
        <v>422</v>
      </c>
      <c r="G217" s="1230"/>
      <c r="K217" s="264"/>
      <c r="L217" s="264"/>
      <c r="M217" s="264"/>
      <c r="N217" s="264"/>
      <c r="O217" s="264"/>
      <c r="P217" s="264"/>
      <c r="Q217" s="264"/>
    </row>
    <row r="218" spans="2:17" s="192" customFormat="1" ht="23.25">
      <c r="C218" s="946" t="str">
        <f>+C213</f>
        <v>S. ONCOLÓGICO</v>
      </c>
      <c r="D218" s="946" t="s">
        <v>135</v>
      </c>
      <c r="E218" s="269">
        <f>D208</f>
        <v>49159.903000000006</v>
      </c>
      <c r="F218" s="262">
        <f>P208</f>
        <v>589918.83600000001</v>
      </c>
      <c r="G218" s="1230"/>
      <c r="K218" s="264"/>
      <c r="L218" s="264"/>
      <c r="M218" s="264"/>
      <c r="N218" s="264"/>
      <c r="O218" s="264"/>
      <c r="P218" s="264"/>
      <c r="Q218" s="264"/>
    </row>
    <row r="219" spans="2:17" s="192" customFormat="1" ht="23.25">
      <c r="C219" s="946" t="str">
        <f>+C214</f>
        <v>S. ENDOCRINO</v>
      </c>
      <c r="D219" s="946" t="s">
        <v>135</v>
      </c>
      <c r="E219" s="269">
        <f>D209</f>
        <v>41951.606700000004</v>
      </c>
      <c r="F219" s="262">
        <f>P209</f>
        <v>503419.28040000005</v>
      </c>
      <c r="G219" s="1230"/>
    </row>
    <row r="220" spans="2:17" s="192" customFormat="1" ht="23.25">
      <c r="C220" s="946" t="str">
        <f>+C215</f>
        <v>S. IMPORTACIÓN</v>
      </c>
      <c r="D220" s="946" t="s">
        <v>135</v>
      </c>
      <c r="E220" s="269">
        <f>+D210</f>
        <v>11751.801666666668</v>
      </c>
      <c r="F220" s="262">
        <f>+P210</f>
        <v>141021.62000000002</v>
      </c>
      <c r="G220" s="1230"/>
    </row>
    <row r="221" spans="2:17" s="192" customFormat="1" ht="23.25">
      <c r="C221" s="203"/>
      <c r="D221" s="946" t="s">
        <v>183</v>
      </c>
      <c r="E221" s="270">
        <f>SUM(E218:E220)</f>
        <v>102863.31136666668</v>
      </c>
      <c r="F221" s="271">
        <f>SUM(F218:F220)</f>
        <v>1234359.7364000003</v>
      </c>
      <c r="G221" s="1230"/>
    </row>
    <row r="222" spans="2:17">
      <c r="C222" s="779"/>
      <c r="D222" s="781"/>
      <c r="E222" s="781"/>
      <c r="F222" s="669"/>
      <c r="G222" s="670"/>
      <c r="H222" s="634"/>
    </row>
    <row r="223" spans="2:17">
      <c r="C223" s="779"/>
      <c r="D223" s="781"/>
      <c r="E223" s="781"/>
      <c r="F223" s="669"/>
      <c r="G223" s="670"/>
      <c r="H223" s="634"/>
    </row>
    <row r="224" spans="2:17">
      <c r="C224" s="779"/>
      <c r="D224" s="781"/>
      <c r="E224" s="781"/>
      <c r="F224" s="669"/>
      <c r="G224" s="670"/>
      <c r="H224" s="634"/>
    </row>
    <row r="225" spans="1:8" ht="23.25">
      <c r="B225" s="782" t="s">
        <v>423</v>
      </c>
      <c r="C225" s="714"/>
      <c r="D225" s="714"/>
      <c r="E225" s="714"/>
      <c r="F225" s="714"/>
    </row>
    <row r="226" spans="1:8" ht="62.25" customHeight="1">
      <c r="A226" s="783" t="s">
        <v>424</v>
      </c>
      <c r="B226" s="1288" t="s">
        <v>425</v>
      </c>
      <c r="C226" s="1288"/>
      <c r="D226" s="1288"/>
      <c r="E226" s="1288"/>
      <c r="F226" s="1288"/>
      <c r="G226" s="634"/>
    </row>
    <row r="229" spans="1:8" ht="21" customHeight="1">
      <c r="A229" s="1277" t="s">
        <v>799</v>
      </c>
      <c r="B229" s="1277"/>
      <c r="C229" s="1277"/>
      <c r="D229" s="1277"/>
      <c r="E229" s="1277"/>
      <c r="F229" s="1277"/>
    </row>
    <row r="230" spans="1:8" ht="23.25">
      <c r="A230" s="1289" t="s">
        <v>427</v>
      </c>
      <c r="B230" s="1289"/>
      <c r="C230" s="1289"/>
      <c r="D230" s="1289"/>
      <c r="E230" s="1289"/>
      <c r="F230" s="1289"/>
    </row>
    <row r="231" spans="1:8">
      <c r="A231" s="728"/>
      <c r="B231" s="634"/>
      <c r="C231" s="634"/>
      <c r="D231" s="634"/>
      <c r="E231" s="634"/>
      <c r="F231" s="634"/>
      <c r="G231" s="634"/>
    </row>
    <row r="232" spans="1:8" ht="23.25">
      <c r="A232" s="585" t="s">
        <v>428</v>
      </c>
      <c r="B232" s="585" t="s">
        <v>301</v>
      </c>
      <c r="C232" s="585" t="s">
        <v>429</v>
      </c>
      <c r="D232" s="1102" t="s">
        <v>430</v>
      </c>
      <c r="E232" s="1103"/>
      <c r="F232" s="585" t="s">
        <v>431</v>
      </c>
      <c r="G232" s="714"/>
      <c r="H232" s="714"/>
    </row>
    <row r="233" spans="1:8" ht="23.25">
      <c r="A233" s="784"/>
      <c r="B233" s="784"/>
      <c r="C233" s="784"/>
      <c r="D233" s="784" t="s">
        <v>248</v>
      </c>
      <c r="E233" s="784" t="s">
        <v>420</v>
      </c>
      <c r="F233" s="784"/>
      <c r="G233" s="714"/>
      <c r="H233" s="714"/>
    </row>
    <row r="234" spans="1:8" ht="23.25">
      <c r="A234" s="585" t="s">
        <v>432</v>
      </c>
      <c r="B234" s="585">
        <v>1</v>
      </c>
      <c r="C234" s="585" t="s">
        <v>433</v>
      </c>
      <c r="D234" s="585">
        <v>25</v>
      </c>
      <c r="E234" s="276" t="s">
        <v>434</v>
      </c>
      <c r="F234" s="213">
        <f>+(D234/100)*B234</f>
        <v>0.25</v>
      </c>
      <c r="G234" s="714"/>
      <c r="H234" s="714"/>
    </row>
    <row r="235" spans="1:8" ht="23.25">
      <c r="A235" s="585" t="s">
        <v>435</v>
      </c>
      <c r="B235" s="585">
        <v>1</v>
      </c>
      <c r="C235" s="585" t="s">
        <v>433</v>
      </c>
      <c r="D235" s="585">
        <v>100</v>
      </c>
      <c r="E235" s="585" t="s">
        <v>436</v>
      </c>
      <c r="F235" s="213">
        <f>+(D235/100)*B235</f>
        <v>1</v>
      </c>
      <c r="G235" s="714"/>
      <c r="H235" s="714"/>
    </row>
    <row r="236" spans="1:8" ht="23.25">
      <c r="A236" s="585" t="s">
        <v>437</v>
      </c>
      <c r="B236" s="585">
        <v>1</v>
      </c>
      <c r="C236" s="585" t="s">
        <v>433</v>
      </c>
      <c r="D236" s="585">
        <v>25</v>
      </c>
      <c r="E236" s="585" t="s">
        <v>438</v>
      </c>
      <c r="F236" s="213">
        <f>+(D236/500)*B236</f>
        <v>0.05</v>
      </c>
      <c r="G236" s="714"/>
      <c r="H236" s="714"/>
    </row>
    <row r="237" spans="1:8" ht="46.5">
      <c r="A237" s="585" t="s">
        <v>439</v>
      </c>
      <c r="B237" s="585">
        <v>1</v>
      </c>
      <c r="C237" s="585" t="s">
        <v>433</v>
      </c>
      <c r="D237" s="585">
        <v>2.5</v>
      </c>
      <c r="E237" s="585" t="s">
        <v>440</v>
      </c>
      <c r="F237" s="213">
        <f>+(D237/1)*B237</f>
        <v>2.5</v>
      </c>
      <c r="G237" s="714"/>
      <c r="H237" s="714"/>
    </row>
    <row r="238" spans="1:8" ht="46.5">
      <c r="A238" s="585" t="s">
        <v>441</v>
      </c>
      <c r="B238" s="585">
        <v>1</v>
      </c>
      <c r="C238" s="585" t="s">
        <v>388</v>
      </c>
      <c r="D238" s="585">
        <v>100</v>
      </c>
      <c r="E238" s="585" t="s">
        <v>442</v>
      </c>
      <c r="F238" s="213">
        <v>100</v>
      </c>
      <c r="G238" s="714"/>
      <c r="H238" s="714"/>
    </row>
    <row r="239" spans="1:8" ht="23.25">
      <c r="A239" s="585" t="s">
        <v>443</v>
      </c>
      <c r="B239" s="585">
        <v>1</v>
      </c>
      <c r="C239" s="585" t="s">
        <v>444</v>
      </c>
      <c r="D239" s="585">
        <v>917.69999999999993</v>
      </c>
      <c r="E239" s="585" t="s">
        <v>445</v>
      </c>
      <c r="F239" s="213">
        <v>700</v>
      </c>
      <c r="G239" s="714"/>
      <c r="H239" s="714"/>
    </row>
    <row r="240" spans="1:8" ht="107.25" customHeight="1">
      <c r="A240" s="276"/>
      <c r="B240" s="276"/>
      <c r="C240" s="276"/>
      <c r="D240" s="276"/>
      <c r="E240" s="585" t="s">
        <v>446</v>
      </c>
      <c r="F240" s="213">
        <f>SUM(F234:F239)</f>
        <v>803.8</v>
      </c>
      <c r="G240" s="585" t="s">
        <v>447</v>
      </c>
      <c r="H240" s="277">
        <f>+F240</f>
        <v>803.8</v>
      </c>
    </row>
    <row r="241" spans="1:16" ht="42">
      <c r="A241" s="278"/>
      <c r="B241" s="279" t="s">
        <v>448</v>
      </c>
      <c r="C241" s="580"/>
      <c r="D241" s="279" t="s">
        <v>449</v>
      </c>
      <c r="E241" s="209"/>
      <c r="F241" s="280"/>
      <c r="G241" s="281"/>
      <c r="H241" s="281"/>
    </row>
    <row r="242" spans="1:16" ht="31.5">
      <c r="A242" s="278"/>
      <c r="B242" s="283">
        <f>+H240</f>
        <v>803.8</v>
      </c>
      <c r="C242" s="283"/>
      <c r="D242" s="284">
        <f>B242</f>
        <v>803.8</v>
      </c>
      <c r="E242" s="212"/>
      <c r="F242" s="215"/>
      <c r="G242" s="215"/>
      <c r="H242" s="215"/>
      <c r="I242" s="634"/>
    </row>
    <row r="243" spans="1:16" ht="146.25" customHeight="1">
      <c r="A243" s="285" t="s">
        <v>450</v>
      </c>
      <c r="B243" s="600" t="s">
        <v>451</v>
      </c>
      <c r="C243" s="589"/>
      <c r="D243" s="600" t="s">
        <v>451</v>
      </c>
      <c r="E243" s="210"/>
      <c r="F243" s="280"/>
      <c r="G243" s="281"/>
      <c r="H243" s="281"/>
      <c r="I243" s="634"/>
    </row>
    <row r="244" spans="1:16">
      <c r="A244" s="581" t="s">
        <v>428</v>
      </c>
      <c r="B244" s="600" t="s">
        <v>452</v>
      </c>
      <c r="C244" s="589"/>
      <c r="D244" s="600"/>
      <c r="E244" s="209"/>
      <c r="F244" s="208"/>
      <c r="G244" s="208"/>
      <c r="H244" s="590"/>
      <c r="I244" s="634"/>
    </row>
    <row r="245" spans="1:16" ht="31.5">
      <c r="A245" s="258">
        <f>+SUM(F234:F238)</f>
        <v>103.8</v>
      </c>
      <c r="B245" s="324">
        <v>1200</v>
      </c>
      <c r="C245" s="256"/>
      <c r="D245" s="286">
        <f>B245+A245</f>
        <v>1303.8</v>
      </c>
      <c r="E245" s="209"/>
      <c r="F245" s="208"/>
      <c r="G245" s="208"/>
      <c r="H245" s="590"/>
      <c r="I245" s="634"/>
    </row>
    <row r="246" spans="1:16">
      <c r="A246" s="1151" t="s">
        <v>737</v>
      </c>
      <c r="B246" s="1220"/>
      <c r="C246" s="1220"/>
      <c r="D246" s="1220"/>
      <c r="E246" s="1221"/>
      <c r="F246" s="208"/>
      <c r="G246" s="208"/>
      <c r="H246" s="590"/>
    </row>
    <row r="247" spans="1:16" ht="47.25" customHeight="1">
      <c r="A247" s="1222"/>
      <c r="B247" s="1223"/>
      <c r="C247" s="1223"/>
      <c r="D247" s="1223"/>
      <c r="E247" s="1224"/>
      <c r="F247" s="208"/>
      <c r="G247" s="208"/>
      <c r="H247" s="590"/>
    </row>
    <row r="249" spans="1:16">
      <c r="C249" s="761"/>
    </row>
    <row r="250" spans="1:16" ht="66" customHeight="1">
      <c r="B250" s="1270" t="s">
        <v>783</v>
      </c>
      <c r="C250" s="1272"/>
      <c r="D250" s="646" t="s">
        <v>400</v>
      </c>
      <c r="E250" s="646" t="s">
        <v>401</v>
      </c>
      <c r="F250" s="646" t="s">
        <v>402</v>
      </c>
      <c r="G250" s="646" t="s">
        <v>403</v>
      </c>
      <c r="H250" s="646" t="s">
        <v>404</v>
      </c>
      <c r="I250" s="646" t="s">
        <v>405</v>
      </c>
      <c r="J250" s="646" t="s">
        <v>406</v>
      </c>
      <c r="K250" s="646" t="s">
        <v>407</v>
      </c>
      <c r="L250" s="646" t="s">
        <v>408</v>
      </c>
      <c r="M250" s="646" t="s">
        <v>409</v>
      </c>
      <c r="N250" s="646" t="s">
        <v>410</v>
      </c>
      <c r="O250" s="646" t="s">
        <v>411</v>
      </c>
      <c r="P250" s="646" t="s">
        <v>183</v>
      </c>
    </row>
    <row r="251" spans="1:16" ht="23.25">
      <c r="B251" s="243" t="s">
        <v>391</v>
      </c>
      <c r="C251" s="776" t="s">
        <v>420</v>
      </c>
      <c r="D251" s="690">
        <f>C190</f>
        <v>23.998000000000001</v>
      </c>
      <c r="E251" s="645">
        <f t="shared" ref="E251:O253" si="25">D251</f>
        <v>23.998000000000001</v>
      </c>
      <c r="F251" s="645">
        <f t="shared" si="25"/>
        <v>23.998000000000001</v>
      </c>
      <c r="G251" s="645">
        <f t="shared" si="25"/>
        <v>23.998000000000001</v>
      </c>
      <c r="H251" s="645">
        <f t="shared" si="25"/>
        <v>23.998000000000001</v>
      </c>
      <c r="I251" s="645">
        <f t="shared" si="25"/>
        <v>23.998000000000001</v>
      </c>
      <c r="J251" s="645">
        <f t="shared" si="25"/>
        <v>23.998000000000001</v>
      </c>
      <c r="K251" s="645">
        <f t="shared" si="25"/>
        <v>23.998000000000001</v>
      </c>
      <c r="L251" s="645">
        <f t="shared" si="25"/>
        <v>23.998000000000001</v>
      </c>
      <c r="M251" s="645">
        <f t="shared" si="25"/>
        <v>23.998000000000001</v>
      </c>
      <c r="N251" s="645">
        <f t="shared" si="25"/>
        <v>23.998000000000001</v>
      </c>
      <c r="O251" s="645">
        <f t="shared" si="25"/>
        <v>23.998000000000001</v>
      </c>
      <c r="P251" s="983">
        <f>SUM(D251:O251)</f>
        <v>287.97599999999994</v>
      </c>
    </row>
    <row r="252" spans="1:16" ht="23.25">
      <c r="B252" s="243" t="s">
        <v>387</v>
      </c>
      <c r="C252" s="776" t="s">
        <v>420</v>
      </c>
      <c r="D252" s="690">
        <f>C191</f>
        <v>31.999700000000001</v>
      </c>
      <c r="E252" s="645">
        <f t="shared" si="25"/>
        <v>31.999700000000001</v>
      </c>
      <c r="F252" s="645">
        <f t="shared" si="25"/>
        <v>31.999700000000001</v>
      </c>
      <c r="G252" s="645">
        <f t="shared" si="25"/>
        <v>31.999700000000001</v>
      </c>
      <c r="H252" s="645">
        <f t="shared" si="25"/>
        <v>31.999700000000001</v>
      </c>
      <c r="I252" s="645">
        <f t="shared" si="25"/>
        <v>31.999700000000001</v>
      </c>
      <c r="J252" s="645">
        <f t="shared" si="25"/>
        <v>31.999700000000001</v>
      </c>
      <c r="K252" s="645">
        <f t="shared" si="25"/>
        <v>31.999700000000001</v>
      </c>
      <c r="L252" s="645">
        <f t="shared" si="25"/>
        <v>31.999700000000001</v>
      </c>
      <c r="M252" s="645">
        <f t="shared" si="25"/>
        <v>31.999700000000001</v>
      </c>
      <c r="N252" s="645">
        <f t="shared" si="25"/>
        <v>31.999700000000001</v>
      </c>
      <c r="O252" s="645">
        <f t="shared" si="25"/>
        <v>31.999700000000001</v>
      </c>
      <c r="P252" s="983">
        <f>SUM(D252:O252)</f>
        <v>383.99640000000005</v>
      </c>
    </row>
    <row r="253" spans="1:16" s="192" customFormat="1" ht="23.25">
      <c r="B253" s="243" t="s">
        <v>824</v>
      </c>
      <c r="C253" s="243" t="s">
        <v>420</v>
      </c>
      <c r="D253" s="289">
        <v>15</v>
      </c>
      <c r="E253" s="645">
        <f t="shared" si="25"/>
        <v>15</v>
      </c>
      <c r="F253" s="645">
        <f t="shared" ref="F253" si="26">E253</f>
        <v>15</v>
      </c>
      <c r="G253" s="645">
        <f t="shared" ref="G253" si="27">F253</f>
        <v>15</v>
      </c>
      <c r="H253" s="645">
        <f t="shared" ref="H253" si="28">G253</f>
        <v>15</v>
      </c>
      <c r="I253" s="645">
        <f t="shared" ref="I253" si="29">H253</f>
        <v>15</v>
      </c>
      <c r="J253" s="645">
        <f t="shared" ref="J253" si="30">I253</f>
        <v>15</v>
      </c>
      <c r="K253" s="645">
        <f t="shared" ref="K253" si="31">J253</f>
        <v>15</v>
      </c>
      <c r="L253" s="645">
        <f t="shared" ref="L253" si="32">K253</f>
        <v>15</v>
      </c>
      <c r="M253" s="645">
        <f t="shared" ref="M253" si="33">L253</f>
        <v>15</v>
      </c>
      <c r="N253" s="645">
        <f t="shared" ref="N253" si="34">M253</f>
        <v>15</v>
      </c>
      <c r="O253" s="645">
        <f t="shared" ref="O253" si="35">N253</f>
        <v>15</v>
      </c>
      <c r="P253" s="984">
        <f>SUM(D253:O253)</f>
        <v>180</v>
      </c>
    </row>
    <row r="254" spans="1:16">
      <c r="B254" s="779"/>
      <c r="C254" s="786"/>
      <c r="D254" s="645"/>
      <c r="E254" s="645"/>
      <c r="F254" s="645"/>
      <c r="G254" s="645"/>
      <c r="H254" s="645"/>
      <c r="I254" s="645"/>
      <c r="J254" s="645"/>
      <c r="K254" s="645"/>
      <c r="L254" s="645"/>
      <c r="M254" s="645"/>
      <c r="N254" s="645"/>
      <c r="O254" s="645"/>
      <c r="P254" s="645"/>
    </row>
    <row r="255" spans="1:16" ht="63" customHeight="1">
      <c r="B255" s="1120" t="str">
        <f>B251</f>
        <v>S. ONCOLÓGICO</v>
      </c>
      <c r="C255" s="1120"/>
      <c r="D255" s="787">
        <f>D245</f>
        <v>1303.8</v>
      </c>
      <c r="E255" s="788">
        <f>D255</f>
        <v>1303.8</v>
      </c>
      <c r="F255" s="788">
        <f t="shared" ref="F255:O256" si="36">E255</f>
        <v>1303.8</v>
      </c>
      <c r="G255" s="788">
        <f t="shared" si="36"/>
        <v>1303.8</v>
      </c>
      <c r="H255" s="788">
        <f t="shared" si="36"/>
        <v>1303.8</v>
      </c>
      <c r="I255" s="788">
        <f t="shared" si="36"/>
        <v>1303.8</v>
      </c>
      <c r="J255" s="788">
        <f t="shared" si="36"/>
        <v>1303.8</v>
      </c>
      <c r="K255" s="788">
        <f t="shared" si="36"/>
        <v>1303.8</v>
      </c>
      <c r="L255" s="788">
        <f t="shared" si="36"/>
        <v>1303.8</v>
      </c>
      <c r="M255" s="788">
        <f t="shared" si="36"/>
        <v>1303.8</v>
      </c>
      <c r="N255" s="788">
        <f t="shared" si="36"/>
        <v>1303.8</v>
      </c>
      <c r="O255" s="788">
        <f t="shared" si="36"/>
        <v>1303.8</v>
      </c>
      <c r="P255" s="788">
        <f>O255</f>
        <v>1303.8</v>
      </c>
    </row>
    <row r="256" spans="1:16" ht="63" customHeight="1">
      <c r="B256" s="1120" t="str">
        <f>B252</f>
        <v>S. ENDOCRINO</v>
      </c>
      <c r="C256" s="1120"/>
      <c r="D256" s="787">
        <f>D242</f>
        <v>803.8</v>
      </c>
      <c r="E256" s="788">
        <f>D256</f>
        <v>803.8</v>
      </c>
      <c r="F256" s="788">
        <f t="shared" si="36"/>
        <v>803.8</v>
      </c>
      <c r="G256" s="788">
        <f t="shared" si="36"/>
        <v>803.8</v>
      </c>
      <c r="H256" s="788">
        <f t="shared" si="36"/>
        <v>803.8</v>
      </c>
      <c r="I256" s="788">
        <f t="shared" si="36"/>
        <v>803.8</v>
      </c>
      <c r="J256" s="788">
        <f t="shared" si="36"/>
        <v>803.8</v>
      </c>
      <c r="K256" s="788">
        <f t="shared" si="36"/>
        <v>803.8</v>
      </c>
      <c r="L256" s="788">
        <f t="shared" si="36"/>
        <v>803.8</v>
      </c>
      <c r="M256" s="788">
        <f t="shared" si="36"/>
        <v>803.8</v>
      </c>
      <c r="N256" s="788">
        <f t="shared" si="36"/>
        <v>803.8</v>
      </c>
      <c r="O256" s="788">
        <f t="shared" si="36"/>
        <v>803.8</v>
      </c>
      <c r="P256" s="788">
        <f>O256</f>
        <v>803.8</v>
      </c>
    </row>
    <row r="257" spans="2:16" s="192" customFormat="1" ht="63" customHeight="1">
      <c r="B257" s="1120" t="str">
        <f>B253</f>
        <v>S. IMPORTACION</v>
      </c>
      <c r="C257" s="1120"/>
      <c r="D257" s="293">
        <v>0</v>
      </c>
      <c r="E257" s="294">
        <f>+D257</f>
        <v>0</v>
      </c>
      <c r="F257" s="294">
        <f t="shared" ref="F257:O257" si="37">+E257</f>
        <v>0</v>
      </c>
      <c r="G257" s="294">
        <f t="shared" si="37"/>
        <v>0</v>
      </c>
      <c r="H257" s="294">
        <f t="shared" si="37"/>
        <v>0</v>
      </c>
      <c r="I257" s="294">
        <f t="shared" si="37"/>
        <v>0</v>
      </c>
      <c r="J257" s="294">
        <f t="shared" si="37"/>
        <v>0</v>
      </c>
      <c r="K257" s="294">
        <f t="shared" si="37"/>
        <v>0</v>
      </c>
      <c r="L257" s="294">
        <f t="shared" si="37"/>
        <v>0</v>
      </c>
      <c r="M257" s="294">
        <f t="shared" si="37"/>
        <v>0</v>
      </c>
      <c r="N257" s="294">
        <f t="shared" si="37"/>
        <v>0</v>
      </c>
      <c r="O257" s="294">
        <f t="shared" si="37"/>
        <v>0</v>
      </c>
      <c r="P257" s="294">
        <f>SUM(D257:O257)</f>
        <v>0</v>
      </c>
    </row>
    <row r="258" spans="2:16">
      <c r="D258" s="776"/>
      <c r="E258" s="776"/>
      <c r="F258" s="776"/>
      <c r="G258" s="776"/>
      <c r="H258" s="776"/>
      <c r="I258" s="776"/>
      <c r="J258" s="776"/>
      <c r="K258" s="776"/>
      <c r="L258" s="776"/>
      <c r="M258" s="776"/>
      <c r="N258" s="776"/>
      <c r="O258" s="776"/>
      <c r="P258" s="776"/>
    </row>
    <row r="259" spans="2:16" s="192" customFormat="1" ht="66" customHeight="1">
      <c r="B259" s="1188" t="s">
        <v>456</v>
      </c>
      <c r="C259" s="1189"/>
      <c r="D259" s="209" t="s">
        <v>400</v>
      </c>
      <c r="E259" s="209" t="s">
        <v>401</v>
      </c>
      <c r="F259" s="209" t="s">
        <v>402</v>
      </c>
      <c r="G259" s="209" t="s">
        <v>403</v>
      </c>
      <c r="H259" s="209" t="s">
        <v>404</v>
      </c>
      <c r="I259" s="209" t="s">
        <v>405</v>
      </c>
      <c r="J259" s="209" t="s">
        <v>406</v>
      </c>
      <c r="K259" s="209" t="s">
        <v>407</v>
      </c>
      <c r="L259" s="209" t="s">
        <v>408</v>
      </c>
      <c r="M259" s="209" t="s">
        <v>409</v>
      </c>
      <c r="N259" s="209" t="s">
        <v>410</v>
      </c>
      <c r="O259" s="209" t="s">
        <v>411</v>
      </c>
      <c r="P259" s="209" t="s">
        <v>183</v>
      </c>
    </row>
    <row r="260" spans="2:16" s="192" customFormat="1" ht="23.25">
      <c r="B260" s="243" t="s">
        <v>391</v>
      </c>
      <c r="C260" s="243" t="s">
        <v>420</v>
      </c>
      <c r="D260" s="287">
        <f>D251*D255</f>
        <v>31288.592400000001</v>
      </c>
      <c r="E260" s="288">
        <f>D260</f>
        <v>31288.592400000001</v>
      </c>
      <c r="F260" s="288">
        <f t="shared" ref="E260:O261" si="38">E260</f>
        <v>31288.592400000001</v>
      </c>
      <c r="G260" s="288">
        <f t="shared" si="38"/>
        <v>31288.592400000001</v>
      </c>
      <c r="H260" s="288">
        <f t="shared" si="38"/>
        <v>31288.592400000001</v>
      </c>
      <c r="I260" s="288">
        <f t="shared" si="38"/>
        <v>31288.592400000001</v>
      </c>
      <c r="J260" s="288">
        <f t="shared" si="38"/>
        <v>31288.592400000001</v>
      </c>
      <c r="K260" s="288">
        <f t="shared" si="38"/>
        <v>31288.592400000001</v>
      </c>
      <c r="L260" s="288">
        <f t="shared" si="38"/>
        <v>31288.592400000001</v>
      </c>
      <c r="M260" s="288">
        <f t="shared" si="38"/>
        <v>31288.592400000001</v>
      </c>
      <c r="N260" s="288">
        <f t="shared" si="38"/>
        <v>31288.592400000001</v>
      </c>
      <c r="O260" s="288">
        <f t="shared" si="38"/>
        <v>31288.592400000001</v>
      </c>
      <c r="P260" s="288">
        <f>SUM(D260:O260)</f>
        <v>375463.10880000005</v>
      </c>
    </row>
    <row r="261" spans="2:16" s="192" customFormat="1" ht="23.25">
      <c r="B261" s="243" t="s">
        <v>387</v>
      </c>
      <c r="C261" s="243" t="s">
        <v>420</v>
      </c>
      <c r="D261" s="287">
        <f>D252*D256</f>
        <v>25721.35886</v>
      </c>
      <c r="E261" s="288">
        <f t="shared" si="38"/>
        <v>25721.35886</v>
      </c>
      <c r="F261" s="288">
        <f t="shared" si="38"/>
        <v>25721.35886</v>
      </c>
      <c r="G261" s="288">
        <f t="shared" si="38"/>
        <v>25721.35886</v>
      </c>
      <c r="H261" s="288">
        <f t="shared" si="38"/>
        <v>25721.35886</v>
      </c>
      <c r="I261" s="288">
        <f t="shared" si="38"/>
        <v>25721.35886</v>
      </c>
      <c r="J261" s="288">
        <f t="shared" si="38"/>
        <v>25721.35886</v>
      </c>
      <c r="K261" s="288">
        <f t="shared" si="38"/>
        <v>25721.35886</v>
      </c>
      <c r="L261" s="288">
        <f t="shared" si="38"/>
        <v>25721.35886</v>
      </c>
      <c r="M261" s="288">
        <f t="shared" si="38"/>
        <v>25721.35886</v>
      </c>
      <c r="N261" s="288">
        <f t="shared" si="38"/>
        <v>25721.35886</v>
      </c>
      <c r="O261" s="288">
        <f t="shared" si="38"/>
        <v>25721.35886</v>
      </c>
      <c r="P261" s="288">
        <f>SUM(D261:O261)</f>
        <v>308656.30632000003</v>
      </c>
    </row>
    <row r="262" spans="2:16" s="192" customFormat="1" ht="23.25">
      <c r="B262" s="243" t="s">
        <v>392</v>
      </c>
      <c r="C262" s="243" t="s">
        <v>420</v>
      </c>
      <c r="D262" s="289">
        <f>D253*D257</f>
        <v>0</v>
      </c>
      <c r="E262" s="985">
        <f>E253*E257</f>
        <v>0</v>
      </c>
      <c r="F262" s="985">
        <f t="shared" ref="F262:O262" si="39">F253*F257</f>
        <v>0</v>
      </c>
      <c r="G262" s="985">
        <f t="shared" si="39"/>
        <v>0</v>
      </c>
      <c r="H262" s="985">
        <f t="shared" si="39"/>
        <v>0</v>
      </c>
      <c r="I262" s="985">
        <f t="shared" si="39"/>
        <v>0</v>
      </c>
      <c r="J262" s="985">
        <f t="shared" si="39"/>
        <v>0</v>
      </c>
      <c r="K262" s="985">
        <f t="shared" si="39"/>
        <v>0</v>
      </c>
      <c r="L262" s="985">
        <f t="shared" si="39"/>
        <v>0</v>
      </c>
      <c r="M262" s="985">
        <f t="shared" si="39"/>
        <v>0</v>
      </c>
      <c r="N262" s="985">
        <f t="shared" si="39"/>
        <v>0</v>
      </c>
      <c r="O262" s="985">
        <f t="shared" si="39"/>
        <v>0</v>
      </c>
      <c r="P262" s="290">
        <f>SUM(D262:O262)</f>
        <v>0</v>
      </c>
    </row>
    <row r="263" spans="2:16">
      <c r="B263" s="779"/>
      <c r="C263" s="779"/>
      <c r="D263" s="780"/>
      <c r="E263" s="780"/>
      <c r="F263" s="780"/>
      <c r="G263" s="780"/>
      <c r="H263" s="780"/>
      <c r="I263" s="780"/>
      <c r="J263" s="780"/>
      <c r="K263" s="780"/>
      <c r="L263" s="780"/>
      <c r="M263" s="780"/>
      <c r="N263" s="780"/>
      <c r="O263" s="780"/>
      <c r="P263" s="780"/>
    </row>
    <row r="264" spans="2:16" ht="84">
      <c r="C264" s="1210" t="s">
        <v>831</v>
      </c>
      <c r="D264" s="1210"/>
      <c r="E264" s="580" t="s">
        <v>459</v>
      </c>
      <c r="F264" s="580" t="s">
        <v>460</v>
      </c>
      <c r="G264" s="1292" t="s">
        <v>461</v>
      </c>
      <c r="K264" s="780"/>
      <c r="L264" s="780"/>
      <c r="M264" s="780"/>
      <c r="N264" s="780"/>
      <c r="O264" s="780"/>
      <c r="P264" s="780"/>
    </row>
    <row r="265" spans="2:16" ht="23.25">
      <c r="C265" s="587" t="str">
        <f>+B260</f>
        <v>S. ONCOLÓGICO</v>
      </c>
      <c r="D265" s="587" t="s">
        <v>420</v>
      </c>
      <c r="E265" s="219">
        <f>D251</f>
        <v>23.998000000000001</v>
      </c>
      <c r="F265" s="301">
        <f>P251</f>
        <v>287.97599999999994</v>
      </c>
      <c r="G265" s="1292"/>
      <c r="K265" s="780"/>
      <c r="L265" s="780"/>
      <c r="M265" s="780"/>
      <c r="N265" s="780"/>
      <c r="O265" s="780"/>
      <c r="P265" s="780"/>
    </row>
    <row r="266" spans="2:16" ht="23.25">
      <c r="C266" s="587" t="str">
        <f>+B261</f>
        <v>S. ENDOCRINO</v>
      </c>
      <c r="D266" s="587" t="s">
        <v>420</v>
      </c>
      <c r="E266" s="219">
        <f>D252</f>
        <v>31.999700000000001</v>
      </c>
      <c r="F266" s="301">
        <f>P252</f>
        <v>383.99640000000005</v>
      </c>
      <c r="G266" s="1292"/>
      <c r="K266" s="780"/>
      <c r="L266" s="780"/>
      <c r="M266" s="780"/>
      <c r="N266" s="780"/>
      <c r="O266" s="780"/>
      <c r="P266" s="780"/>
    </row>
    <row r="267" spans="2:16" ht="29.25" customHeight="1">
      <c r="C267" s="587" t="str">
        <f>+B262</f>
        <v>S. IMPORTACIÓN</v>
      </c>
      <c r="D267" s="587" t="s">
        <v>420</v>
      </c>
      <c r="E267" s="219">
        <f>+D253</f>
        <v>15</v>
      </c>
      <c r="F267" s="301">
        <f>+P200</f>
        <v>383.99640000000005</v>
      </c>
      <c r="G267" s="1292"/>
      <c r="K267" s="780"/>
      <c r="L267" s="780"/>
      <c r="M267" s="780"/>
      <c r="N267" s="780"/>
      <c r="O267" s="780"/>
      <c r="P267" s="780"/>
    </row>
    <row r="268" spans="2:16" ht="23.25">
      <c r="C268" s="302"/>
      <c r="D268" s="302"/>
      <c r="E268" s="303"/>
      <c r="F268" s="276"/>
      <c r="G268" s="1292"/>
      <c r="K268" s="780"/>
      <c r="L268" s="780"/>
      <c r="M268" s="780"/>
      <c r="N268" s="780"/>
      <c r="O268" s="780"/>
      <c r="P268" s="780"/>
    </row>
    <row r="269" spans="2:16" ht="93">
      <c r="C269" s="1210" t="s">
        <v>832</v>
      </c>
      <c r="D269" s="1210"/>
      <c r="E269" s="585" t="s">
        <v>463</v>
      </c>
      <c r="F269" s="304" t="s">
        <v>464</v>
      </c>
      <c r="G269" s="1292"/>
      <c r="K269" s="780"/>
      <c r="L269" s="780"/>
      <c r="M269" s="780"/>
      <c r="N269" s="780"/>
      <c r="O269" s="780"/>
      <c r="P269" s="780"/>
    </row>
    <row r="270" spans="2:16" ht="23.25">
      <c r="C270" s="587" t="str">
        <f>+C265</f>
        <v>S. ONCOLÓGICO</v>
      </c>
      <c r="D270" s="587" t="s">
        <v>135</v>
      </c>
      <c r="E270" s="305">
        <f>D260</f>
        <v>31288.592400000001</v>
      </c>
      <c r="F270" s="262">
        <f>P260</f>
        <v>375463.10880000005</v>
      </c>
      <c r="G270" s="1292"/>
      <c r="K270" s="780"/>
      <c r="L270" s="780"/>
      <c r="M270" s="780"/>
      <c r="N270" s="780"/>
      <c r="O270" s="780"/>
      <c r="P270" s="780"/>
    </row>
    <row r="271" spans="2:16" ht="23.25">
      <c r="C271" s="587" t="str">
        <f>+C266</f>
        <v>S. ENDOCRINO</v>
      </c>
      <c r="D271" s="587" t="s">
        <v>135</v>
      </c>
      <c r="E271" s="305">
        <f>D261</f>
        <v>25721.35886</v>
      </c>
      <c r="F271" s="262">
        <f>P261</f>
        <v>308656.30632000003</v>
      </c>
      <c r="G271" s="1292"/>
    </row>
    <row r="272" spans="2:16" ht="30.75" customHeight="1">
      <c r="C272" s="587" t="str">
        <f>+C267</f>
        <v>S. IMPORTACIÓN</v>
      </c>
      <c r="D272" s="587" t="s">
        <v>135</v>
      </c>
      <c r="E272" s="306">
        <f>+D262</f>
        <v>0</v>
      </c>
      <c r="F272" s="307">
        <f>+P262</f>
        <v>0</v>
      </c>
      <c r="G272" s="1292"/>
    </row>
    <row r="273" spans="1:18" ht="23.25">
      <c r="C273" s="203"/>
      <c r="D273" s="587" t="s">
        <v>183</v>
      </c>
      <c r="E273" s="305">
        <f>SUM(E270:E272)</f>
        <v>57009.951260000002</v>
      </c>
      <c r="F273" s="262">
        <f>SUM(F270:F272)</f>
        <v>684119.41512000002</v>
      </c>
      <c r="G273" s="1292"/>
    </row>
    <row r="274" spans="1:18">
      <c r="C274" s="779"/>
      <c r="D274" s="781"/>
      <c r="E274" s="781"/>
      <c r="F274" s="669"/>
      <c r="G274" s="670"/>
      <c r="H274" s="634"/>
    </row>
    <row r="277" spans="1:18" s="192" customFormat="1" ht="52.5">
      <c r="B277" s="308" t="s">
        <v>465</v>
      </c>
    </row>
    <row r="278" spans="1:18" s="192" customFormat="1" ht="44.25" customHeight="1">
      <c r="A278" s="309">
        <v>3</v>
      </c>
      <c r="B278" s="1102" t="s">
        <v>466</v>
      </c>
      <c r="C278" s="1112"/>
      <c r="D278" s="1112"/>
      <c r="E278" s="1112"/>
      <c r="F278" s="1103"/>
      <c r="G278" s="303"/>
      <c r="H278" s="303"/>
      <c r="I278" s="303"/>
      <c r="J278" s="310"/>
      <c r="K278" s="310"/>
      <c r="L278" s="310"/>
      <c r="M278" s="310"/>
      <c r="N278" s="310"/>
      <c r="O278" s="310"/>
      <c r="P278" s="310"/>
      <c r="Q278" s="310"/>
      <c r="R278" s="310"/>
    </row>
    <row r="279" spans="1:18" s="192" customFormat="1" ht="23.25">
      <c r="A279" s="207"/>
      <c r="B279" s="206"/>
      <c r="C279" s="206"/>
      <c r="D279" s="206"/>
      <c r="E279" s="206"/>
      <c r="F279" s="302"/>
      <c r="G279" s="302"/>
      <c r="H279" s="302"/>
      <c r="I279" s="302"/>
      <c r="J279" s="310"/>
      <c r="K279" s="310"/>
      <c r="L279" s="310"/>
      <c r="M279" s="310"/>
      <c r="N279" s="310"/>
      <c r="O279" s="310"/>
      <c r="P279" s="310"/>
      <c r="Q279" s="310"/>
      <c r="R279" s="310"/>
    </row>
    <row r="280" spans="1:18" s="192" customFormat="1" ht="23.25">
      <c r="A280" s="215"/>
      <c r="B280" s="203"/>
      <c r="C280" s="585" t="s">
        <v>284</v>
      </c>
      <c r="D280" s="585" t="s">
        <v>285</v>
      </c>
      <c r="E280" s="585" t="s">
        <v>286</v>
      </c>
      <c r="F280" s="311"/>
      <c r="G280" s="302"/>
      <c r="H280" s="302"/>
      <c r="I280" s="302"/>
      <c r="J280" s="310"/>
      <c r="K280" s="310"/>
      <c r="L280" s="310"/>
      <c r="M280" s="310"/>
      <c r="N280" s="310"/>
      <c r="O280" s="310"/>
      <c r="P280" s="310"/>
      <c r="Q280" s="310"/>
      <c r="R280" s="310"/>
    </row>
    <row r="281" spans="1:18" s="192" customFormat="1" ht="23.25">
      <c r="A281" s="215"/>
      <c r="B281" s="203"/>
      <c r="C281" s="203"/>
      <c r="D281" s="203"/>
      <c r="E281" s="585" t="s">
        <v>467</v>
      </c>
      <c r="F281" s="585" t="s">
        <v>187</v>
      </c>
      <c r="G281" s="585" t="s">
        <v>188</v>
      </c>
      <c r="H281" s="585" t="s">
        <v>189</v>
      </c>
      <c r="I281" s="585" t="s">
        <v>190</v>
      </c>
      <c r="J281" s="580" t="s">
        <v>191</v>
      </c>
      <c r="K281" s="580" t="s">
        <v>192</v>
      </c>
      <c r="L281" s="580" t="s">
        <v>193</v>
      </c>
      <c r="M281" s="580" t="s">
        <v>468</v>
      </c>
      <c r="N281" s="580" t="s">
        <v>195</v>
      </c>
      <c r="O281" s="580" t="s">
        <v>196</v>
      </c>
      <c r="P281" s="580" t="s">
        <v>197</v>
      </c>
      <c r="Q281" s="580" t="s">
        <v>181</v>
      </c>
      <c r="R281" s="243" t="s">
        <v>287</v>
      </c>
    </row>
    <row r="282" spans="1:18" s="192" customFormat="1" ht="23.25">
      <c r="A282" s="215"/>
      <c r="B282" s="203" t="s">
        <v>469</v>
      </c>
      <c r="C282" s="312">
        <v>1008.1656000000003</v>
      </c>
      <c r="D282" s="312"/>
      <c r="E282" s="246">
        <f>C282</f>
        <v>1008.1656000000003</v>
      </c>
      <c r="F282" s="313">
        <f t="shared" ref="F282:P294" si="40">E282</f>
        <v>1008.1656000000003</v>
      </c>
      <c r="G282" s="313">
        <f t="shared" si="40"/>
        <v>1008.1656000000003</v>
      </c>
      <c r="H282" s="313">
        <f t="shared" si="40"/>
        <v>1008.1656000000003</v>
      </c>
      <c r="I282" s="313">
        <f t="shared" si="40"/>
        <v>1008.1656000000003</v>
      </c>
      <c r="J282" s="314">
        <f t="shared" si="40"/>
        <v>1008.1656000000003</v>
      </c>
      <c r="K282" s="314">
        <f t="shared" si="40"/>
        <v>1008.1656000000003</v>
      </c>
      <c r="L282" s="314">
        <f t="shared" si="40"/>
        <v>1008.1656000000003</v>
      </c>
      <c r="M282" s="314">
        <f t="shared" si="40"/>
        <v>1008.1656000000003</v>
      </c>
      <c r="N282" s="314">
        <f t="shared" si="40"/>
        <v>1008.1656000000003</v>
      </c>
      <c r="O282" s="314">
        <f t="shared" si="40"/>
        <v>1008.1656000000003</v>
      </c>
      <c r="P282" s="314">
        <f t="shared" si="40"/>
        <v>1008.1656000000003</v>
      </c>
      <c r="Q282" s="315">
        <f>SUM(E282:P282)</f>
        <v>12097.987200000003</v>
      </c>
      <c r="R282" s="316">
        <f t="shared" ref="R282:R294" si="41">E282*12</f>
        <v>12097.987200000003</v>
      </c>
    </row>
    <row r="283" spans="1:18" s="192" customFormat="1" ht="23.25">
      <c r="A283" s="215"/>
      <c r="B283" s="203" t="s">
        <v>470</v>
      </c>
      <c r="C283" s="312">
        <v>200</v>
      </c>
      <c r="D283" s="312"/>
      <c r="E283" s="246">
        <f t="shared" ref="E283:E288" si="42">C283</f>
        <v>200</v>
      </c>
      <c r="F283" s="313">
        <f t="shared" si="40"/>
        <v>200</v>
      </c>
      <c r="G283" s="313">
        <f t="shared" si="40"/>
        <v>200</v>
      </c>
      <c r="H283" s="313">
        <f t="shared" si="40"/>
        <v>200</v>
      </c>
      <c r="I283" s="313">
        <f t="shared" si="40"/>
        <v>200</v>
      </c>
      <c r="J283" s="314">
        <f t="shared" si="40"/>
        <v>200</v>
      </c>
      <c r="K283" s="314">
        <f t="shared" si="40"/>
        <v>200</v>
      </c>
      <c r="L283" s="314">
        <f t="shared" si="40"/>
        <v>200</v>
      </c>
      <c r="M283" s="314">
        <f t="shared" si="40"/>
        <v>200</v>
      </c>
      <c r="N283" s="314">
        <f t="shared" si="40"/>
        <v>200</v>
      </c>
      <c r="O283" s="314">
        <f t="shared" si="40"/>
        <v>200</v>
      </c>
      <c r="P283" s="314">
        <f t="shared" si="40"/>
        <v>200</v>
      </c>
      <c r="Q283" s="315">
        <f t="shared" ref="Q283:Q294" si="43">SUM(E283:P283)</f>
        <v>2400</v>
      </c>
      <c r="R283" s="316">
        <f t="shared" si="41"/>
        <v>2400</v>
      </c>
    </row>
    <row r="284" spans="1:18" s="192" customFormat="1" ht="23.25">
      <c r="A284" s="215"/>
      <c r="B284" s="203" t="s">
        <v>288</v>
      </c>
      <c r="C284" s="312">
        <v>1000</v>
      </c>
      <c r="D284" s="312"/>
      <c r="E284" s="246">
        <f t="shared" si="42"/>
        <v>1000</v>
      </c>
      <c r="F284" s="313">
        <f t="shared" si="40"/>
        <v>1000</v>
      </c>
      <c r="G284" s="313">
        <f t="shared" si="40"/>
        <v>1000</v>
      </c>
      <c r="H284" s="313">
        <f t="shared" si="40"/>
        <v>1000</v>
      </c>
      <c r="I284" s="313">
        <f t="shared" si="40"/>
        <v>1000</v>
      </c>
      <c r="J284" s="314">
        <f t="shared" si="40"/>
        <v>1000</v>
      </c>
      <c r="K284" s="314">
        <f t="shared" si="40"/>
        <v>1000</v>
      </c>
      <c r="L284" s="314">
        <f t="shared" si="40"/>
        <v>1000</v>
      </c>
      <c r="M284" s="314">
        <f t="shared" si="40"/>
        <v>1000</v>
      </c>
      <c r="N284" s="314">
        <f t="shared" si="40"/>
        <v>1000</v>
      </c>
      <c r="O284" s="314">
        <f t="shared" si="40"/>
        <v>1000</v>
      </c>
      <c r="P284" s="314">
        <f t="shared" si="40"/>
        <v>1000</v>
      </c>
      <c r="Q284" s="315">
        <f t="shared" si="43"/>
        <v>12000</v>
      </c>
      <c r="R284" s="316">
        <f t="shared" si="41"/>
        <v>12000</v>
      </c>
    </row>
    <row r="285" spans="1:18" s="192" customFormat="1" ht="23.25">
      <c r="A285" s="215"/>
      <c r="B285" s="203" t="s">
        <v>471</v>
      </c>
      <c r="C285" s="317">
        <v>82.25</v>
      </c>
      <c r="D285" s="312"/>
      <c r="E285" s="246">
        <f t="shared" si="42"/>
        <v>82.25</v>
      </c>
      <c r="F285" s="313">
        <f t="shared" si="40"/>
        <v>82.25</v>
      </c>
      <c r="G285" s="313">
        <f t="shared" si="40"/>
        <v>82.25</v>
      </c>
      <c r="H285" s="313">
        <f t="shared" si="40"/>
        <v>82.25</v>
      </c>
      <c r="I285" s="313">
        <f t="shared" si="40"/>
        <v>82.25</v>
      </c>
      <c r="J285" s="313">
        <f t="shared" si="40"/>
        <v>82.25</v>
      </c>
      <c r="K285" s="313">
        <f t="shared" si="40"/>
        <v>82.25</v>
      </c>
      <c r="L285" s="313">
        <f t="shared" si="40"/>
        <v>82.25</v>
      </c>
      <c r="M285" s="313">
        <f t="shared" si="40"/>
        <v>82.25</v>
      </c>
      <c r="N285" s="313">
        <f t="shared" si="40"/>
        <v>82.25</v>
      </c>
      <c r="O285" s="313">
        <f t="shared" si="40"/>
        <v>82.25</v>
      </c>
      <c r="P285" s="313">
        <f t="shared" si="40"/>
        <v>82.25</v>
      </c>
      <c r="Q285" s="315">
        <f t="shared" si="43"/>
        <v>987</v>
      </c>
      <c r="R285" s="316">
        <f t="shared" si="41"/>
        <v>987</v>
      </c>
    </row>
    <row r="286" spans="1:18" s="192" customFormat="1" ht="46.5">
      <c r="A286" s="318"/>
      <c r="B286" s="203" t="s">
        <v>472</v>
      </c>
      <c r="C286" s="312">
        <v>157.9</v>
      </c>
      <c r="D286" s="312"/>
      <c r="E286" s="246">
        <f t="shared" si="42"/>
        <v>157.9</v>
      </c>
      <c r="F286" s="313">
        <f t="shared" si="40"/>
        <v>157.9</v>
      </c>
      <c r="G286" s="313">
        <f t="shared" si="40"/>
        <v>157.9</v>
      </c>
      <c r="H286" s="313">
        <f t="shared" si="40"/>
        <v>157.9</v>
      </c>
      <c r="I286" s="313">
        <f t="shared" si="40"/>
        <v>157.9</v>
      </c>
      <c r="J286" s="314">
        <f t="shared" si="40"/>
        <v>157.9</v>
      </c>
      <c r="K286" s="314">
        <f t="shared" si="40"/>
        <v>157.9</v>
      </c>
      <c r="L286" s="314">
        <f t="shared" si="40"/>
        <v>157.9</v>
      </c>
      <c r="M286" s="314">
        <f t="shared" si="40"/>
        <v>157.9</v>
      </c>
      <c r="N286" s="314">
        <f t="shared" si="40"/>
        <v>157.9</v>
      </c>
      <c r="O286" s="314">
        <f t="shared" si="40"/>
        <v>157.9</v>
      </c>
      <c r="P286" s="314">
        <f t="shared" si="40"/>
        <v>157.9</v>
      </c>
      <c r="Q286" s="315">
        <f t="shared" si="43"/>
        <v>1894.8000000000004</v>
      </c>
      <c r="R286" s="316">
        <f t="shared" si="41"/>
        <v>1894.8000000000002</v>
      </c>
    </row>
    <row r="287" spans="1:18" s="192" customFormat="1" ht="46.5">
      <c r="A287" s="215"/>
      <c r="B287" s="203" t="s">
        <v>289</v>
      </c>
      <c r="C287" s="317">
        <v>83.333333333333329</v>
      </c>
      <c r="D287" s="312"/>
      <c r="E287" s="246">
        <f t="shared" si="42"/>
        <v>83.333333333333329</v>
      </c>
      <c r="F287" s="313">
        <f t="shared" si="40"/>
        <v>83.333333333333329</v>
      </c>
      <c r="G287" s="313">
        <f t="shared" si="40"/>
        <v>83.333333333333329</v>
      </c>
      <c r="H287" s="313">
        <f t="shared" si="40"/>
        <v>83.333333333333329</v>
      </c>
      <c r="I287" s="313">
        <f t="shared" si="40"/>
        <v>83.333333333333329</v>
      </c>
      <c r="J287" s="314">
        <f t="shared" si="40"/>
        <v>83.333333333333329</v>
      </c>
      <c r="K287" s="314">
        <f t="shared" si="40"/>
        <v>83.333333333333329</v>
      </c>
      <c r="L287" s="314">
        <f t="shared" si="40"/>
        <v>83.333333333333329</v>
      </c>
      <c r="M287" s="314">
        <f t="shared" si="40"/>
        <v>83.333333333333329</v>
      </c>
      <c r="N287" s="314">
        <f t="shared" si="40"/>
        <v>83.333333333333329</v>
      </c>
      <c r="O287" s="314">
        <f t="shared" si="40"/>
        <v>83.333333333333329</v>
      </c>
      <c r="P287" s="314">
        <f t="shared" si="40"/>
        <v>83.333333333333329</v>
      </c>
      <c r="Q287" s="315">
        <f t="shared" si="43"/>
        <v>1000.0000000000001</v>
      </c>
      <c r="R287" s="316">
        <f t="shared" si="41"/>
        <v>1000</v>
      </c>
    </row>
    <row r="288" spans="1:18" s="192" customFormat="1" ht="23.25">
      <c r="A288" s="215"/>
      <c r="B288" s="203" t="s">
        <v>473</v>
      </c>
      <c r="C288" s="317">
        <v>1800</v>
      </c>
      <c r="D288" s="312"/>
      <c r="E288" s="246">
        <f t="shared" si="42"/>
        <v>1800</v>
      </c>
      <c r="F288" s="313">
        <f t="shared" si="40"/>
        <v>1800</v>
      </c>
      <c r="G288" s="313">
        <f t="shared" si="40"/>
        <v>1800</v>
      </c>
      <c r="H288" s="313">
        <f t="shared" si="40"/>
        <v>1800</v>
      </c>
      <c r="I288" s="313">
        <f t="shared" si="40"/>
        <v>1800</v>
      </c>
      <c r="J288" s="314">
        <f t="shared" si="40"/>
        <v>1800</v>
      </c>
      <c r="K288" s="314">
        <f t="shared" si="40"/>
        <v>1800</v>
      </c>
      <c r="L288" s="314">
        <f t="shared" si="40"/>
        <v>1800</v>
      </c>
      <c r="M288" s="314">
        <f t="shared" si="40"/>
        <v>1800</v>
      </c>
      <c r="N288" s="314">
        <f t="shared" si="40"/>
        <v>1800</v>
      </c>
      <c r="O288" s="314">
        <f t="shared" si="40"/>
        <v>1800</v>
      </c>
      <c r="P288" s="314">
        <f t="shared" si="40"/>
        <v>1800</v>
      </c>
      <c r="Q288" s="315">
        <f t="shared" si="43"/>
        <v>21600</v>
      </c>
      <c r="R288" s="316">
        <f t="shared" si="41"/>
        <v>21600</v>
      </c>
    </row>
    <row r="289" spans="1:19" s="192" customFormat="1" ht="23.25">
      <c r="A289" s="215"/>
      <c r="B289" s="203" t="s">
        <v>290</v>
      </c>
      <c r="C289" s="312">
        <v>10100</v>
      </c>
      <c r="D289" s="312"/>
      <c r="E289" s="246">
        <f>C289</f>
        <v>10100</v>
      </c>
      <c r="F289" s="313">
        <f t="shared" si="40"/>
        <v>10100</v>
      </c>
      <c r="G289" s="313">
        <f t="shared" si="40"/>
        <v>10100</v>
      </c>
      <c r="H289" s="313">
        <f t="shared" si="40"/>
        <v>10100</v>
      </c>
      <c r="I289" s="313">
        <f t="shared" si="40"/>
        <v>10100</v>
      </c>
      <c r="J289" s="314">
        <f t="shared" si="40"/>
        <v>10100</v>
      </c>
      <c r="K289" s="314">
        <f t="shared" si="40"/>
        <v>10100</v>
      </c>
      <c r="L289" s="314">
        <f t="shared" si="40"/>
        <v>10100</v>
      </c>
      <c r="M289" s="314">
        <f t="shared" si="40"/>
        <v>10100</v>
      </c>
      <c r="N289" s="314">
        <f t="shared" si="40"/>
        <v>10100</v>
      </c>
      <c r="O289" s="314">
        <f t="shared" si="40"/>
        <v>10100</v>
      </c>
      <c r="P289" s="314">
        <f t="shared" si="40"/>
        <v>10100</v>
      </c>
      <c r="Q289" s="315">
        <f t="shared" si="43"/>
        <v>121200</v>
      </c>
      <c r="R289" s="316">
        <f t="shared" si="41"/>
        <v>121200</v>
      </c>
    </row>
    <row r="290" spans="1:19" s="192" customFormat="1" ht="23.25">
      <c r="A290" s="215"/>
      <c r="B290" s="203" t="s">
        <v>291</v>
      </c>
      <c r="C290" s="312">
        <f>15.7*2*30</f>
        <v>942</v>
      </c>
      <c r="D290" s="312"/>
      <c r="E290" s="319">
        <f>+C290</f>
        <v>942</v>
      </c>
      <c r="F290" s="313">
        <f t="shared" si="40"/>
        <v>942</v>
      </c>
      <c r="G290" s="313">
        <f t="shared" si="40"/>
        <v>942</v>
      </c>
      <c r="H290" s="313">
        <f t="shared" si="40"/>
        <v>942</v>
      </c>
      <c r="I290" s="313">
        <f t="shared" si="40"/>
        <v>942</v>
      </c>
      <c r="J290" s="314">
        <f t="shared" si="40"/>
        <v>942</v>
      </c>
      <c r="K290" s="314">
        <f t="shared" si="40"/>
        <v>942</v>
      </c>
      <c r="L290" s="314">
        <f t="shared" si="40"/>
        <v>942</v>
      </c>
      <c r="M290" s="314">
        <f t="shared" si="40"/>
        <v>942</v>
      </c>
      <c r="N290" s="314">
        <f t="shared" si="40"/>
        <v>942</v>
      </c>
      <c r="O290" s="314">
        <f t="shared" si="40"/>
        <v>942</v>
      </c>
      <c r="P290" s="314">
        <f t="shared" si="40"/>
        <v>942</v>
      </c>
      <c r="Q290" s="315">
        <f t="shared" si="43"/>
        <v>11304</v>
      </c>
      <c r="R290" s="316">
        <f t="shared" si="41"/>
        <v>11304</v>
      </c>
    </row>
    <row r="291" spans="1:19" s="192" customFormat="1" ht="23.25">
      <c r="A291" s="215"/>
      <c r="B291" s="203" t="s">
        <v>292</v>
      </c>
      <c r="C291" s="312">
        <v>1200</v>
      </c>
      <c r="D291" s="312"/>
      <c r="E291" s="246">
        <f>C291</f>
        <v>1200</v>
      </c>
      <c r="F291" s="313">
        <f t="shared" si="40"/>
        <v>1200</v>
      </c>
      <c r="G291" s="313">
        <f t="shared" si="40"/>
        <v>1200</v>
      </c>
      <c r="H291" s="313">
        <f t="shared" si="40"/>
        <v>1200</v>
      </c>
      <c r="I291" s="313">
        <f t="shared" si="40"/>
        <v>1200</v>
      </c>
      <c r="J291" s="314">
        <f t="shared" si="40"/>
        <v>1200</v>
      </c>
      <c r="K291" s="314">
        <f t="shared" si="40"/>
        <v>1200</v>
      </c>
      <c r="L291" s="314">
        <f t="shared" si="40"/>
        <v>1200</v>
      </c>
      <c r="M291" s="314">
        <f t="shared" si="40"/>
        <v>1200</v>
      </c>
      <c r="N291" s="314">
        <f t="shared" si="40"/>
        <v>1200</v>
      </c>
      <c r="O291" s="314">
        <f t="shared" si="40"/>
        <v>1200</v>
      </c>
      <c r="P291" s="314">
        <f t="shared" si="40"/>
        <v>1200</v>
      </c>
      <c r="Q291" s="315">
        <f t="shared" si="43"/>
        <v>14400</v>
      </c>
      <c r="R291" s="316">
        <f t="shared" si="41"/>
        <v>14400</v>
      </c>
    </row>
    <row r="292" spans="1:19" s="192" customFormat="1" ht="23.25">
      <c r="A292" s="215"/>
      <c r="B292" s="203" t="s">
        <v>474</v>
      </c>
      <c r="C292" s="312">
        <v>1500</v>
      </c>
      <c r="D292" s="312"/>
      <c r="E292" s="246">
        <f>C292</f>
        <v>1500</v>
      </c>
      <c r="F292" s="313">
        <f t="shared" si="40"/>
        <v>1500</v>
      </c>
      <c r="G292" s="313">
        <f t="shared" si="40"/>
        <v>1500</v>
      </c>
      <c r="H292" s="313">
        <f t="shared" si="40"/>
        <v>1500</v>
      </c>
      <c r="I292" s="313">
        <f t="shared" si="40"/>
        <v>1500</v>
      </c>
      <c r="J292" s="314">
        <f t="shared" si="40"/>
        <v>1500</v>
      </c>
      <c r="K292" s="314">
        <f t="shared" si="40"/>
        <v>1500</v>
      </c>
      <c r="L292" s="314">
        <f t="shared" si="40"/>
        <v>1500</v>
      </c>
      <c r="M292" s="314">
        <f t="shared" si="40"/>
        <v>1500</v>
      </c>
      <c r="N292" s="314">
        <f t="shared" si="40"/>
        <v>1500</v>
      </c>
      <c r="O292" s="314">
        <f t="shared" si="40"/>
        <v>1500</v>
      </c>
      <c r="P292" s="314">
        <f t="shared" si="40"/>
        <v>1500</v>
      </c>
      <c r="Q292" s="315">
        <f t="shared" si="43"/>
        <v>18000</v>
      </c>
      <c r="R292" s="316">
        <f t="shared" si="41"/>
        <v>18000</v>
      </c>
    </row>
    <row r="293" spans="1:19" s="192" customFormat="1" ht="23.25">
      <c r="A293" s="215"/>
      <c r="B293" s="203" t="s">
        <v>475</v>
      </c>
      <c r="C293" s="312">
        <v>500</v>
      </c>
      <c r="D293" s="312"/>
      <c r="E293" s="246">
        <f>C293</f>
        <v>500</v>
      </c>
      <c r="F293" s="313">
        <f t="shared" si="40"/>
        <v>500</v>
      </c>
      <c r="G293" s="313">
        <f t="shared" si="40"/>
        <v>500</v>
      </c>
      <c r="H293" s="313">
        <f t="shared" si="40"/>
        <v>500</v>
      </c>
      <c r="I293" s="313">
        <f t="shared" si="40"/>
        <v>500</v>
      </c>
      <c r="J293" s="314">
        <f t="shared" si="40"/>
        <v>500</v>
      </c>
      <c r="K293" s="314">
        <f t="shared" si="40"/>
        <v>500</v>
      </c>
      <c r="L293" s="314">
        <f t="shared" si="40"/>
        <v>500</v>
      </c>
      <c r="M293" s="314">
        <f t="shared" si="40"/>
        <v>500</v>
      </c>
      <c r="N293" s="314">
        <f t="shared" si="40"/>
        <v>500</v>
      </c>
      <c r="O293" s="314">
        <f t="shared" si="40"/>
        <v>500</v>
      </c>
      <c r="P293" s="314">
        <f t="shared" si="40"/>
        <v>500</v>
      </c>
      <c r="Q293" s="315">
        <f t="shared" si="43"/>
        <v>6000</v>
      </c>
      <c r="R293" s="316">
        <f t="shared" si="41"/>
        <v>6000</v>
      </c>
    </row>
    <row r="294" spans="1:19" s="192" customFormat="1" ht="46.5">
      <c r="A294" s="215"/>
      <c r="B294" s="203" t="s">
        <v>293</v>
      </c>
      <c r="C294" s="317">
        <v>500</v>
      </c>
      <c r="D294" s="203"/>
      <c r="E294" s="246">
        <f>C294</f>
        <v>500</v>
      </c>
      <c r="F294" s="313">
        <f t="shared" si="40"/>
        <v>500</v>
      </c>
      <c r="G294" s="313">
        <f t="shared" si="40"/>
        <v>500</v>
      </c>
      <c r="H294" s="313">
        <f t="shared" si="40"/>
        <v>500</v>
      </c>
      <c r="I294" s="313">
        <f t="shared" si="40"/>
        <v>500</v>
      </c>
      <c r="J294" s="314">
        <f t="shared" si="40"/>
        <v>500</v>
      </c>
      <c r="K294" s="314">
        <f t="shared" si="40"/>
        <v>500</v>
      </c>
      <c r="L294" s="314">
        <f t="shared" si="40"/>
        <v>500</v>
      </c>
      <c r="M294" s="314">
        <f t="shared" si="40"/>
        <v>500</v>
      </c>
      <c r="N294" s="314">
        <f t="shared" si="40"/>
        <v>500</v>
      </c>
      <c r="O294" s="314">
        <f t="shared" si="40"/>
        <v>500</v>
      </c>
      <c r="P294" s="314">
        <f t="shared" si="40"/>
        <v>500</v>
      </c>
      <c r="Q294" s="315">
        <f t="shared" si="43"/>
        <v>6000</v>
      </c>
      <c r="R294" s="316">
        <f t="shared" si="41"/>
        <v>6000</v>
      </c>
    </row>
    <row r="295" spans="1:19" s="192" customFormat="1" ht="51" customHeight="1">
      <c r="A295" s="215"/>
      <c r="B295" s="1102" t="s">
        <v>476</v>
      </c>
      <c r="C295" s="1112"/>
      <c r="D295" s="1103"/>
      <c r="E295" s="320">
        <f t="shared" ref="E295:R295" si="44">SUM(E282:E294)</f>
        <v>19073.648933333334</v>
      </c>
      <c r="F295" s="320">
        <f t="shared" si="44"/>
        <v>19073.648933333334</v>
      </c>
      <c r="G295" s="320">
        <f t="shared" si="44"/>
        <v>19073.648933333334</v>
      </c>
      <c r="H295" s="320">
        <f t="shared" si="44"/>
        <v>19073.648933333334</v>
      </c>
      <c r="I295" s="320">
        <f t="shared" si="44"/>
        <v>19073.648933333334</v>
      </c>
      <c r="J295" s="320">
        <f t="shared" si="44"/>
        <v>19073.648933333334</v>
      </c>
      <c r="K295" s="283">
        <f t="shared" si="44"/>
        <v>19073.648933333334</v>
      </c>
      <c r="L295" s="283">
        <f t="shared" si="44"/>
        <v>19073.648933333334</v>
      </c>
      <c r="M295" s="283">
        <f t="shared" si="44"/>
        <v>19073.648933333334</v>
      </c>
      <c r="N295" s="283">
        <f t="shared" si="44"/>
        <v>19073.648933333334</v>
      </c>
      <c r="O295" s="283">
        <f t="shared" si="44"/>
        <v>19073.648933333334</v>
      </c>
      <c r="P295" s="283">
        <f t="shared" si="44"/>
        <v>19073.648933333334</v>
      </c>
      <c r="Q295" s="321">
        <f t="shared" si="44"/>
        <v>228883.78720000002</v>
      </c>
      <c r="R295" s="322">
        <f t="shared" si="44"/>
        <v>228883.78720000002</v>
      </c>
    </row>
    <row r="296" spans="1:19" s="192" customFormat="1" ht="23.25">
      <c r="A296" s="215"/>
      <c r="B296" s="203"/>
      <c r="C296" s="203"/>
      <c r="D296" s="203"/>
      <c r="E296" s="203"/>
      <c r="F296" s="313">
        <f>E296</f>
        <v>0</v>
      </c>
      <c r="G296" s="302"/>
      <c r="H296" s="302"/>
      <c r="I296" s="302"/>
      <c r="J296" s="310"/>
      <c r="K296" s="310"/>
      <c r="L296" s="310"/>
      <c r="M296" s="310"/>
      <c r="N296" s="310"/>
      <c r="O296" s="310"/>
      <c r="P296" s="310"/>
      <c r="Q296" s="302"/>
      <c r="R296" s="310"/>
    </row>
    <row r="297" spans="1:19" s="192" customFormat="1" ht="23.25">
      <c r="A297" s="215"/>
      <c r="B297" s="223" t="s">
        <v>294</v>
      </c>
      <c r="C297" s="203"/>
      <c r="D297" s="203"/>
      <c r="E297" s="323">
        <f>+'8'!$H$30</f>
        <v>737.42683333333343</v>
      </c>
      <c r="F297" s="323">
        <f>+'8'!$H$30</f>
        <v>737.42683333333343</v>
      </c>
      <c r="G297" s="323">
        <f>+'8'!$H$30</f>
        <v>737.42683333333343</v>
      </c>
      <c r="H297" s="323">
        <f>+'8'!$H$30</f>
        <v>737.42683333333343</v>
      </c>
      <c r="I297" s="323">
        <f>+'8'!$H$30</f>
        <v>737.42683333333343</v>
      </c>
      <c r="J297" s="323">
        <f>+'8'!$H$30</f>
        <v>737.42683333333343</v>
      </c>
      <c r="K297" s="323">
        <f>+'8'!$H$30</f>
        <v>737.42683333333343</v>
      </c>
      <c r="L297" s="323">
        <f>+'8'!$H$30</f>
        <v>737.42683333333343</v>
      </c>
      <c r="M297" s="323">
        <f>+'8'!$H$30</f>
        <v>737.42683333333343</v>
      </c>
      <c r="N297" s="323">
        <f>+'8'!$H$30</f>
        <v>737.42683333333343</v>
      </c>
      <c r="O297" s="323">
        <f>+'8'!$H$30</f>
        <v>737.42683333333343</v>
      </c>
      <c r="P297" s="323">
        <f>+'8'!$H$30</f>
        <v>737.42683333333343</v>
      </c>
      <c r="Q297" s="219">
        <f>SUM(E297:P297)</f>
        <v>8849.1219999999994</v>
      </c>
      <c r="R297" s="325">
        <f>Q297</f>
        <v>8849.1219999999994</v>
      </c>
    </row>
    <row r="298" spans="1:19" s="192" customFormat="1" ht="23.25">
      <c r="A298" s="215"/>
      <c r="B298" s="223" t="s">
        <v>295</v>
      </c>
      <c r="C298" s="203"/>
      <c r="D298" s="203"/>
      <c r="E298" s="323">
        <f>+'8'!$H$40</f>
        <v>45.179166666666667</v>
      </c>
      <c r="F298" s="323">
        <f>+'8'!$H$40</f>
        <v>45.179166666666667</v>
      </c>
      <c r="G298" s="323">
        <f>+'8'!$H$40</f>
        <v>45.179166666666667</v>
      </c>
      <c r="H298" s="323">
        <f>+'8'!$H$40</f>
        <v>45.179166666666667</v>
      </c>
      <c r="I298" s="323">
        <f>+'8'!$H$40</f>
        <v>45.179166666666667</v>
      </c>
      <c r="J298" s="323">
        <f>+'8'!$H$40</f>
        <v>45.179166666666667</v>
      </c>
      <c r="K298" s="323">
        <f>+'8'!$H$40</f>
        <v>45.179166666666667</v>
      </c>
      <c r="L298" s="323">
        <f>+'8'!$H$40</f>
        <v>45.179166666666667</v>
      </c>
      <c r="M298" s="323">
        <f>+'8'!$H$40</f>
        <v>45.179166666666667</v>
      </c>
      <c r="N298" s="323">
        <f>+'8'!$H$40</f>
        <v>45.179166666666667</v>
      </c>
      <c r="O298" s="323">
        <f>+'8'!$H$40</f>
        <v>45.179166666666667</v>
      </c>
      <c r="P298" s="323">
        <f>+'8'!$H$40</f>
        <v>45.179166666666667</v>
      </c>
      <c r="Q298" s="219">
        <f>SUM(E298:P298)</f>
        <v>542.15</v>
      </c>
      <c r="R298" s="325">
        <f>Q298</f>
        <v>542.15</v>
      </c>
    </row>
    <row r="299" spans="1:19" s="192" customFormat="1" ht="23.25">
      <c r="A299" s="215"/>
      <c r="B299" s="203"/>
      <c r="C299" s="203"/>
      <c r="D299" s="203"/>
      <c r="E299" s="203"/>
      <c r="F299" s="313">
        <f>E299</f>
        <v>0</v>
      </c>
      <c r="G299" s="302"/>
      <c r="H299" s="302"/>
      <c r="I299" s="302"/>
      <c r="J299" s="310"/>
      <c r="K299" s="310"/>
      <c r="L299" s="310"/>
      <c r="M299" s="310"/>
      <c r="N299" s="310"/>
      <c r="O299" s="310"/>
      <c r="P299" s="310"/>
      <c r="Q299" s="302"/>
      <c r="R299" s="310"/>
    </row>
    <row r="300" spans="1:19" s="192" customFormat="1" ht="69.75" customHeight="1">
      <c r="A300" s="215"/>
      <c r="B300" s="1102" t="s">
        <v>477</v>
      </c>
      <c r="C300" s="1112"/>
      <c r="D300" s="1103"/>
      <c r="E300" s="326">
        <f>E295+E297+E298</f>
        <v>19856.254933333334</v>
      </c>
      <c r="F300" s="326">
        <f>F295+F297+F298</f>
        <v>19856.254933333334</v>
      </c>
      <c r="G300" s="326">
        <f t="shared" ref="G300:Q300" si="45">G295+G297+G298</f>
        <v>19856.254933333334</v>
      </c>
      <c r="H300" s="326">
        <f t="shared" si="45"/>
        <v>19856.254933333334</v>
      </c>
      <c r="I300" s="326">
        <f t="shared" si="45"/>
        <v>19856.254933333334</v>
      </c>
      <c r="J300" s="327">
        <f t="shared" si="45"/>
        <v>19856.254933333334</v>
      </c>
      <c r="K300" s="327">
        <f t="shared" si="45"/>
        <v>19856.254933333334</v>
      </c>
      <c r="L300" s="327">
        <f t="shared" si="45"/>
        <v>19856.254933333334</v>
      </c>
      <c r="M300" s="327">
        <f t="shared" si="45"/>
        <v>19856.254933333334</v>
      </c>
      <c r="N300" s="327">
        <f t="shared" si="45"/>
        <v>19856.254933333334</v>
      </c>
      <c r="O300" s="327">
        <f t="shared" si="45"/>
        <v>19856.254933333334</v>
      </c>
      <c r="P300" s="327">
        <f t="shared" si="45"/>
        <v>19856.254933333334</v>
      </c>
      <c r="Q300" s="326">
        <f t="shared" si="45"/>
        <v>238275.05920000002</v>
      </c>
      <c r="R300" s="327">
        <f>R295+R297+R298</f>
        <v>238275.05920000002</v>
      </c>
    </row>
    <row r="301" spans="1:19" ht="70.5" customHeight="1">
      <c r="A301" s="761"/>
      <c r="B301" s="712"/>
      <c r="C301" s="712"/>
      <c r="D301" s="728"/>
      <c r="E301" s="795"/>
      <c r="F301" s="795"/>
      <c r="G301" s="795"/>
      <c r="H301" s="795"/>
      <c r="I301" s="795"/>
      <c r="J301" s="795"/>
      <c r="K301" s="795"/>
      <c r="L301" s="795"/>
      <c r="M301" s="795"/>
      <c r="N301" s="795"/>
      <c r="O301" s="795"/>
      <c r="P301" s="795"/>
      <c r="Q301" s="795"/>
      <c r="R301" s="795"/>
      <c r="S301" s="634"/>
    </row>
    <row r="302" spans="1:19" hidden="1">
      <c r="D302" s="635" t="s">
        <v>478</v>
      </c>
    </row>
    <row r="303" spans="1:19" ht="52.5">
      <c r="B303" s="796" t="s">
        <v>479</v>
      </c>
    </row>
    <row r="304" spans="1:19" ht="29.25" thickBot="1">
      <c r="A304" s="759">
        <v>4</v>
      </c>
      <c r="B304" s="1290" t="s">
        <v>480</v>
      </c>
      <c r="C304" s="1290"/>
      <c r="D304" s="1290"/>
      <c r="E304" s="1290"/>
      <c r="F304" s="1291"/>
      <c r="G304" s="1290"/>
      <c r="H304" s="634"/>
      <c r="I304" s="634"/>
    </row>
    <row r="305" spans="1:18" ht="27" thickBot="1">
      <c r="F305" s="797">
        <v>12</v>
      </c>
    </row>
    <row r="306" spans="1:18" ht="23.25">
      <c r="B306" s="637" t="s">
        <v>481</v>
      </c>
      <c r="C306" s="637" t="s">
        <v>301</v>
      </c>
      <c r="D306" s="637" t="s">
        <v>482</v>
      </c>
      <c r="E306" s="640" t="s">
        <v>483</v>
      </c>
      <c r="F306" s="714"/>
      <c r="Q306" s="798"/>
      <c r="R306" s="652" t="s">
        <v>484</v>
      </c>
    </row>
    <row r="307" spans="1:18" ht="23.25">
      <c r="B307" s="691"/>
      <c r="C307" s="691"/>
      <c r="D307" s="691"/>
      <c r="E307" s="637" t="s">
        <v>467</v>
      </c>
      <c r="F307" s="724" t="s">
        <v>187</v>
      </c>
      <c r="G307" s="646" t="s">
        <v>188</v>
      </c>
      <c r="H307" s="737" t="s">
        <v>189</v>
      </c>
      <c r="I307" s="646" t="s">
        <v>190</v>
      </c>
      <c r="J307" s="737" t="s">
        <v>191</v>
      </c>
      <c r="K307" s="646" t="s">
        <v>192</v>
      </c>
      <c r="L307" s="737" t="s">
        <v>193</v>
      </c>
      <c r="M307" s="646" t="s">
        <v>468</v>
      </c>
      <c r="N307" s="737" t="s">
        <v>195</v>
      </c>
      <c r="O307" s="646" t="s">
        <v>196</v>
      </c>
      <c r="P307" s="737" t="s">
        <v>197</v>
      </c>
      <c r="Q307" s="637" t="s">
        <v>198</v>
      </c>
      <c r="R307" s="652"/>
    </row>
    <row r="308" spans="1:18" ht="23.25">
      <c r="B308" s="312" t="s">
        <v>485</v>
      </c>
      <c r="C308" s="205">
        <v>1</v>
      </c>
      <c r="D308" s="312">
        <v>2500</v>
      </c>
      <c r="E308" s="312">
        <f>C308*D308</f>
        <v>2500</v>
      </c>
      <c r="F308" s="313">
        <f>E308</f>
        <v>2500</v>
      </c>
      <c r="G308" s="314">
        <f t="shared" ref="G308:P308" si="46">F308</f>
        <v>2500</v>
      </c>
      <c r="H308" s="314">
        <f t="shared" si="46"/>
        <v>2500</v>
      </c>
      <c r="I308" s="314">
        <f t="shared" si="46"/>
        <v>2500</v>
      </c>
      <c r="J308" s="314">
        <f t="shared" si="46"/>
        <v>2500</v>
      </c>
      <c r="K308" s="314">
        <f t="shared" si="46"/>
        <v>2500</v>
      </c>
      <c r="L308" s="314">
        <f t="shared" si="46"/>
        <v>2500</v>
      </c>
      <c r="M308" s="314">
        <f t="shared" si="46"/>
        <v>2500</v>
      </c>
      <c r="N308" s="314">
        <f t="shared" si="46"/>
        <v>2500</v>
      </c>
      <c r="O308" s="314">
        <f t="shared" si="46"/>
        <v>2500</v>
      </c>
      <c r="P308" s="314">
        <f t="shared" si="46"/>
        <v>2500</v>
      </c>
      <c r="Q308" s="740">
        <f>SUM(E308:P308)</f>
        <v>30000</v>
      </c>
      <c r="R308" s="671">
        <f t="shared" ref="R308:R313" si="47">E308*$F$305</f>
        <v>30000</v>
      </c>
    </row>
    <row r="309" spans="1:18" ht="23.25">
      <c r="B309" s="312" t="s">
        <v>486</v>
      </c>
      <c r="C309" s="205">
        <v>1</v>
      </c>
      <c r="D309" s="312">
        <v>2100</v>
      </c>
      <c r="E309" s="312">
        <f t="shared" ref="E309:E313" si="48">C309*D309</f>
        <v>2100</v>
      </c>
      <c r="F309" s="313">
        <f t="shared" ref="F309:P313" si="49">E309</f>
        <v>2100</v>
      </c>
      <c r="G309" s="314">
        <f t="shared" si="49"/>
        <v>2100</v>
      </c>
      <c r="H309" s="314">
        <f t="shared" si="49"/>
        <v>2100</v>
      </c>
      <c r="I309" s="314">
        <f t="shared" si="49"/>
        <v>2100</v>
      </c>
      <c r="J309" s="314">
        <f t="shared" si="49"/>
        <v>2100</v>
      </c>
      <c r="K309" s="314">
        <f t="shared" si="49"/>
        <v>2100</v>
      </c>
      <c r="L309" s="314">
        <f t="shared" si="49"/>
        <v>2100</v>
      </c>
      <c r="M309" s="314">
        <f t="shared" si="49"/>
        <v>2100</v>
      </c>
      <c r="N309" s="314">
        <f t="shared" si="49"/>
        <v>2100</v>
      </c>
      <c r="O309" s="314">
        <f t="shared" si="49"/>
        <v>2100</v>
      </c>
      <c r="P309" s="314">
        <f t="shared" si="49"/>
        <v>2100</v>
      </c>
      <c r="Q309" s="740">
        <f t="shared" ref="Q309:Q322" si="50">SUM(E309:P309)</f>
        <v>25200</v>
      </c>
      <c r="R309" s="671">
        <f t="shared" si="47"/>
        <v>25200</v>
      </c>
    </row>
    <row r="310" spans="1:18" ht="23.25">
      <c r="B310" s="312" t="s">
        <v>296</v>
      </c>
      <c r="C310" s="205">
        <v>1</v>
      </c>
      <c r="D310" s="312">
        <v>1200</v>
      </c>
      <c r="E310" s="312">
        <f t="shared" si="48"/>
        <v>1200</v>
      </c>
      <c r="F310" s="313">
        <f t="shared" si="49"/>
        <v>1200</v>
      </c>
      <c r="G310" s="314">
        <f t="shared" si="49"/>
        <v>1200</v>
      </c>
      <c r="H310" s="314">
        <f t="shared" si="49"/>
        <v>1200</v>
      </c>
      <c r="I310" s="314">
        <f t="shared" si="49"/>
        <v>1200</v>
      </c>
      <c r="J310" s="314">
        <f t="shared" si="49"/>
        <v>1200</v>
      </c>
      <c r="K310" s="314">
        <f t="shared" si="49"/>
        <v>1200</v>
      </c>
      <c r="L310" s="314">
        <f t="shared" si="49"/>
        <v>1200</v>
      </c>
      <c r="M310" s="314">
        <f t="shared" si="49"/>
        <v>1200</v>
      </c>
      <c r="N310" s="314">
        <f t="shared" si="49"/>
        <v>1200</v>
      </c>
      <c r="O310" s="314">
        <f t="shared" si="49"/>
        <v>1200</v>
      </c>
      <c r="P310" s="314">
        <f t="shared" si="49"/>
        <v>1200</v>
      </c>
      <c r="Q310" s="740">
        <f t="shared" si="50"/>
        <v>14400</v>
      </c>
      <c r="R310" s="671">
        <f t="shared" si="47"/>
        <v>14400</v>
      </c>
    </row>
    <row r="311" spans="1:18" ht="23.25">
      <c r="B311" s="312" t="s">
        <v>297</v>
      </c>
      <c r="C311" s="205">
        <v>1</v>
      </c>
      <c r="D311" s="312">
        <v>930</v>
      </c>
      <c r="E311" s="312">
        <f t="shared" si="48"/>
        <v>930</v>
      </c>
      <c r="F311" s="313">
        <f t="shared" si="49"/>
        <v>930</v>
      </c>
      <c r="G311" s="314">
        <f t="shared" si="49"/>
        <v>930</v>
      </c>
      <c r="H311" s="314">
        <f t="shared" si="49"/>
        <v>930</v>
      </c>
      <c r="I311" s="314">
        <f t="shared" si="49"/>
        <v>930</v>
      </c>
      <c r="J311" s="314">
        <f t="shared" si="49"/>
        <v>930</v>
      </c>
      <c r="K311" s="314">
        <f t="shared" si="49"/>
        <v>930</v>
      </c>
      <c r="L311" s="314">
        <f t="shared" si="49"/>
        <v>930</v>
      </c>
      <c r="M311" s="314">
        <f t="shared" si="49"/>
        <v>930</v>
      </c>
      <c r="N311" s="314">
        <f t="shared" si="49"/>
        <v>930</v>
      </c>
      <c r="O311" s="314">
        <f t="shared" si="49"/>
        <v>930</v>
      </c>
      <c r="P311" s="314">
        <f t="shared" si="49"/>
        <v>930</v>
      </c>
      <c r="Q311" s="740">
        <f t="shared" si="50"/>
        <v>11160</v>
      </c>
      <c r="R311" s="671">
        <f t="shared" si="47"/>
        <v>11160</v>
      </c>
    </row>
    <row r="312" spans="1:18" ht="46.5">
      <c r="B312" s="312" t="s">
        <v>738</v>
      </c>
      <c r="C312" s="205">
        <v>1</v>
      </c>
      <c r="D312" s="312">
        <v>1900</v>
      </c>
      <c r="E312" s="312">
        <f t="shared" si="48"/>
        <v>1900</v>
      </c>
      <c r="F312" s="313">
        <f t="shared" si="49"/>
        <v>1900</v>
      </c>
      <c r="G312" s="314">
        <f t="shared" si="49"/>
        <v>1900</v>
      </c>
      <c r="H312" s="314">
        <f t="shared" si="49"/>
        <v>1900</v>
      </c>
      <c r="I312" s="314">
        <f t="shared" si="49"/>
        <v>1900</v>
      </c>
      <c r="J312" s="314">
        <f t="shared" si="49"/>
        <v>1900</v>
      </c>
      <c r="K312" s="314">
        <f t="shared" si="49"/>
        <v>1900</v>
      </c>
      <c r="L312" s="314">
        <f t="shared" si="49"/>
        <v>1900</v>
      </c>
      <c r="M312" s="314">
        <f t="shared" si="49"/>
        <v>1900</v>
      </c>
      <c r="N312" s="314">
        <f t="shared" si="49"/>
        <v>1900</v>
      </c>
      <c r="O312" s="314">
        <f t="shared" si="49"/>
        <v>1900</v>
      </c>
      <c r="P312" s="314">
        <f t="shared" si="49"/>
        <v>1900</v>
      </c>
      <c r="Q312" s="740">
        <f t="shared" si="50"/>
        <v>22800</v>
      </c>
      <c r="R312" s="671">
        <f t="shared" si="47"/>
        <v>22800</v>
      </c>
    </row>
    <row r="313" spans="1:18" ht="24" thickBot="1">
      <c r="B313" s="312" t="s">
        <v>739</v>
      </c>
      <c r="C313" s="205">
        <v>1</v>
      </c>
      <c r="D313" s="312">
        <v>1200</v>
      </c>
      <c r="E313" s="312">
        <f t="shared" si="48"/>
        <v>1200</v>
      </c>
      <c r="F313" s="313">
        <f t="shared" si="49"/>
        <v>1200</v>
      </c>
      <c r="G313" s="314">
        <f t="shared" si="49"/>
        <v>1200</v>
      </c>
      <c r="H313" s="314">
        <f t="shared" si="49"/>
        <v>1200</v>
      </c>
      <c r="I313" s="314">
        <f t="shared" si="49"/>
        <v>1200</v>
      </c>
      <c r="J313" s="314">
        <f t="shared" si="49"/>
        <v>1200</v>
      </c>
      <c r="K313" s="314">
        <f t="shared" si="49"/>
        <v>1200</v>
      </c>
      <c r="L313" s="314">
        <f t="shared" si="49"/>
        <v>1200</v>
      </c>
      <c r="M313" s="314">
        <f t="shared" si="49"/>
        <v>1200</v>
      </c>
      <c r="N313" s="314">
        <f t="shared" si="49"/>
        <v>1200</v>
      </c>
      <c r="O313" s="314">
        <f t="shared" si="49"/>
        <v>1200</v>
      </c>
      <c r="P313" s="314">
        <f t="shared" si="49"/>
        <v>1200</v>
      </c>
      <c r="Q313" s="740">
        <f t="shared" si="50"/>
        <v>14400</v>
      </c>
      <c r="R313" s="671">
        <f t="shared" si="47"/>
        <v>14400</v>
      </c>
    </row>
    <row r="314" spans="1:18" ht="24" thickBot="1">
      <c r="B314" s="703" t="s">
        <v>487</v>
      </c>
      <c r="C314" s="800">
        <f>SUM(C308:C313)</f>
        <v>6</v>
      </c>
      <c r="D314" s="801"/>
      <c r="E314" s="740">
        <f>SUM(E308:E313)</f>
        <v>9830</v>
      </c>
      <c r="F314" s="740">
        <f t="shared" ref="F314:P322" si="51">E314</f>
        <v>9830</v>
      </c>
      <c r="G314" s="793">
        <f t="shared" si="51"/>
        <v>9830</v>
      </c>
      <c r="H314" s="793">
        <f t="shared" si="51"/>
        <v>9830</v>
      </c>
      <c r="I314" s="793">
        <f t="shared" si="51"/>
        <v>9830</v>
      </c>
      <c r="J314" s="793">
        <f t="shared" si="51"/>
        <v>9830</v>
      </c>
      <c r="K314" s="793">
        <f t="shared" si="51"/>
        <v>9830</v>
      </c>
      <c r="L314" s="793">
        <f t="shared" si="51"/>
        <v>9830</v>
      </c>
      <c r="M314" s="793">
        <f t="shared" si="51"/>
        <v>9830</v>
      </c>
      <c r="N314" s="793">
        <f t="shared" si="51"/>
        <v>9830</v>
      </c>
      <c r="O314" s="793">
        <f t="shared" si="51"/>
        <v>9830</v>
      </c>
      <c r="P314" s="793">
        <f t="shared" si="51"/>
        <v>9830</v>
      </c>
      <c r="Q314" s="740">
        <f t="shared" si="50"/>
        <v>117960</v>
      </c>
      <c r="R314" s="793">
        <f>SUM(R308:R313)</f>
        <v>117960</v>
      </c>
    </row>
    <row r="315" spans="1:18" s="192" customFormat="1" ht="24" thickBot="1">
      <c r="B315" s="302"/>
      <c r="C315" s="337"/>
      <c r="D315" s="302"/>
      <c r="E315" s="203"/>
      <c r="F315" s="313">
        <f t="shared" si="51"/>
        <v>0</v>
      </c>
      <c r="G315" s="314">
        <f t="shared" si="51"/>
        <v>0</v>
      </c>
      <c r="H315" s="314">
        <f t="shared" si="51"/>
        <v>0</v>
      </c>
      <c r="I315" s="314">
        <f t="shared" si="51"/>
        <v>0</v>
      </c>
      <c r="J315" s="314">
        <f t="shared" si="51"/>
        <v>0</v>
      </c>
      <c r="K315" s="314">
        <f t="shared" si="51"/>
        <v>0</v>
      </c>
      <c r="L315" s="314">
        <f t="shared" si="51"/>
        <v>0</v>
      </c>
      <c r="M315" s="314">
        <f t="shared" si="51"/>
        <v>0</v>
      </c>
      <c r="N315" s="314">
        <f t="shared" si="51"/>
        <v>0</v>
      </c>
      <c r="O315" s="314">
        <f t="shared" si="51"/>
        <v>0</v>
      </c>
      <c r="P315" s="314">
        <f t="shared" si="51"/>
        <v>0</v>
      </c>
      <c r="Q315" s="219">
        <f t="shared" ref="Q315:Q321" si="52">SUM(E315:P315)</f>
        <v>0</v>
      </c>
      <c r="R315" s="295"/>
    </row>
    <row r="316" spans="1:18" s="192" customFormat="1" ht="23.25">
      <c r="A316" s="1211" t="s">
        <v>488</v>
      </c>
      <c r="B316" s="338" t="s">
        <v>489</v>
      </c>
      <c r="C316" s="302"/>
      <c r="D316" s="1214" t="s">
        <v>800</v>
      </c>
      <c r="E316" s="339">
        <f>(R316/12)*50%</f>
        <v>409.58333333333331</v>
      </c>
      <c r="F316" s="313">
        <f t="shared" si="51"/>
        <v>409.58333333333331</v>
      </c>
      <c r="G316" s="314">
        <f t="shared" si="51"/>
        <v>409.58333333333331</v>
      </c>
      <c r="H316" s="314">
        <f t="shared" ref="F316:P321" si="53">G316</f>
        <v>409.58333333333331</v>
      </c>
      <c r="I316" s="314">
        <f t="shared" si="53"/>
        <v>409.58333333333331</v>
      </c>
      <c r="J316" s="314">
        <f t="shared" si="53"/>
        <v>409.58333333333331</v>
      </c>
      <c r="K316" s="314">
        <f t="shared" si="53"/>
        <v>409.58333333333331</v>
      </c>
      <c r="L316" s="314">
        <f t="shared" si="53"/>
        <v>409.58333333333331</v>
      </c>
      <c r="M316" s="314">
        <f t="shared" si="53"/>
        <v>409.58333333333331</v>
      </c>
      <c r="N316" s="314">
        <f t="shared" si="53"/>
        <v>409.58333333333331</v>
      </c>
      <c r="O316" s="314">
        <f t="shared" si="53"/>
        <v>409.58333333333331</v>
      </c>
      <c r="P316" s="314">
        <f t="shared" si="53"/>
        <v>409.58333333333331</v>
      </c>
      <c r="Q316" s="219">
        <f t="shared" si="52"/>
        <v>4915</v>
      </c>
      <c r="R316" s="314">
        <f>E314</f>
        <v>9830</v>
      </c>
    </row>
    <row r="317" spans="1:18" s="192" customFormat="1" ht="23.25">
      <c r="A317" s="1212"/>
      <c r="B317" s="340" t="s">
        <v>490</v>
      </c>
      <c r="C317" s="302"/>
      <c r="D317" s="1215"/>
      <c r="E317" s="339">
        <f>(R317/12)*50%</f>
        <v>409.58333333333331</v>
      </c>
      <c r="F317" s="313">
        <f t="shared" si="53"/>
        <v>409.58333333333331</v>
      </c>
      <c r="G317" s="314">
        <f t="shared" si="53"/>
        <v>409.58333333333331</v>
      </c>
      <c r="H317" s="314">
        <f t="shared" si="53"/>
        <v>409.58333333333331</v>
      </c>
      <c r="I317" s="314">
        <f t="shared" si="53"/>
        <v>409.58333333333331</v>
      </c>
      <c r="J317" s="314">
        <f t="shared" si="53"/>
        <v>409.58333333333331</v>
      </c>
      <c r="K317" s="314">
        <f t="shared" si="53"/>
        <v>409.58333333333331</v>
      </c>
      <c r="L317" s="314">
        <f t="shared" si="53"/>
        <v>409.58333333333331</v>
      </c>
      <c r="M317" s="314">
        <f t="shared" si="53"/>
        <v>409.58333333333331</v>
      </c>
      <c r="N317" s="314">
        <f t="shared" si="53"/>
        <v>409.58333333333331</v>
      </c>
      <c r="O317" s="314">
        <f t="shared" si="53"/>
        <v>409.58333333333331</v>
      </c>
      <c r="P317" s="314">
        <f t="shared" si="53"/>
        <v>409.58333333333331</v>
      </c>
      <c r="Q317" s="219">
        <f t="shared" si="52"/>
        <v>4915</v>
      </c>
      <c r="R317" s="314">
        <f>R316</f>
        <v>9830</v>
      </c>
    </row>
    <row r="318" spans="1:18" s="192" customFormat="1" ht="23.25">
      <c r="A318" s="1212"/>
      <c r="B318" s="338" t="s">
        <v>298</v>
      </c>
      <c r="C318" s="302"/>
      <c r="D318" s="1215"/>
      <c r="E318" s="339">
        <f>(R318/12)*50%</f>
        <v>409.58333333333331</v>
      </c>
      <c r="F318" s="313">
        <f t="shared" si="53"/>
        <v>409.58333333333331</v>
      </c>
      <c r="G318" s="314">
        <f t="shared" si="53"/>
        <v>409.58333333333331</v>
      </c>
      <c r="H318" s="314">
        <f t="shared" si="53"/>
        <v>409.58333333333331</v>
      </c>
      <c r="I318" s="314">
        <f t="shared" si="53"/>
        <v>409.58333333333331</v>
      </c>
      <c r="J318" s="314">
        <f t="shared" si="53"/>
        <v>409.58333333333331</v>
      </c>
      <c r="K318" s="314">
        <f t="shared" si="53"/>
        <v>409.58333333333331</v>
      </c>
      <c r="L318" s="314">
        <f t="shared" si="53"/>
        <v>409.58333333333331</v>
      </c>
      <c r="M318" s="314">
        <f t="shared" si="53"/>
        <v>409.58333333333331</v>
      </c>
      <c r="N318" s="314">
        <f t="shared" si="53"/>
        <v>409.58333333333331</v>
      </c>
      <c r="O318" s="314">
        <f t="shared" si="53"/>
        <v>409.58333333333331</v>
      </c>
      <c r="P318" s="314">
        <f t="shared" si="53"/>
        <v>409.58333333333331</v>
      </c>
      <c r="Q318" s="219">
        <f t="shared" si="52"/>
        <v>4915</v>
      </c>
      <c r="R318" s="314">
        <f>R317</f>
        <v>9830</v>
      </c>
    </row>
    <row r="319" spans="1:18" s="192" customFormat="1" ht="23.25">
      <c r="A319" s="1212"/>
      <c r="B319" s="340" t="s">
        <v>491</v>
      </c>
      <c r="C319" s="287">
        <v>60</v>
      </c>
      <c r="D319" s="1215"/>
      <c r="E319" s="339">
        <f>(C314*C319)/2</f>
        <v>180</v>
      </c>
      <c r="F319" s="341">
        <f t="shared" si="53"/>
        <v>180</v>
      </c>
      <c r="G319" s="342">
        <f t="shared" si="53"/>
        <v>180</v>
      </c>
      <c r="H319" s="342">
        <f t="shared" si="53"/>
        <v>180</v>
      </c>
      <c r="I319" s="342">
        <f t="shared" si="53"/>
        <v>180</v>
      </c>
      <c r="J319" s="342">
        <f t="shared" si="53"/>
        <v>180</v>
      </c>
      <c r="K319" s="342">
        <f t="shared" si="53"/>
        <v>180</v>
      </c>
      <c r="L319" s="342">
        <f t="shared" si="53"/>
        <v>180</v>
      </c>
      <c r="M319" s="342">
        <f t="shared" si="53"/>
        <v>180</v>
      </c>
      <c r="N319" s="342">
        <f t="shared" si="53"/>
        <v>180</v>
      </c>
      <c r="O319" s="342">
        <f t="shared" si="53"/>
        <v>180</v>
      </c>
      <c r="P319" s="342">
        <f t="shared" si="53"/>
        <v>180</v>
      </c>
      <c r="Q319" s="320">
        <f t="shared" si="52"/>
        <v>2160</v>
      </c>
      <c r="R319" s="342">
        <f>R314*C319</f>
        <v>7077600</v>
      </c>
    </row>
    <row r="320" spans="1:18" s="192" customFormat="1" ht="31.5" customHeight="1" thickBot="1">
      <c r="A320" s="1213"/>
      <c r="B320" s="338" t="s">
        <v>492</v>
      </c>
      <c r="C320" s="302"/>
      <c r="D320" s="1216"/>
      <c r="E320" s="339">
        <f>(R320/12)*50%</f>
        <v>409.58333333333331</v>
      </c>
      <c r="F320" s="313">
        <f t="shared" si="53"/>
        <v>409.58333333333331</v>
      </c>
      <c r="G320" s="314">
        <f t="shared" si="53"/>
        <v>409.58333333333331</v>
      </c>
      <c r="H320" s="314">
        <f t="shared" si="53"/>
        <v>409.58333333333331</v>
      </c>
      <c r="I320" s="314">
        <f t="shared" si="53"/>
        <v>409.58333333333331</v>
      </c>
      <c r="J320" s="314">
        <f t="shared" si="53"/>
        <v>409.58333333333331</v>
      </c>
      <c r="K320" s="314">
        <f t="shared" si="53"/>
        <v>409.58333333333331</v>
      </c>
      <c r="L320" s="314">
        <f t="shared" si="53"/>
        <v>409.58333333333331</v>
      </c>
      <c r="M320" s="314">
        <f t="shared" si="53"/>
        <v>409.58333333333331</v>
      </c>
      <c r="N320" s="314">
        <f t="shared" si="53"/>
        <v>409.58333333333331</v>
      </c>
      <c r="O320" s="314">
        <f t="shared" si="53"/>
        <v>409.58333333333331</v>
      </c>
      <c r="P320" s="314">
        <f t="shared" si="53"/>
        <v>409.58333333333331</v>
      </c>
      <c r="Q320" s="219">
        <f t="shared" si="52"/>
        <v>4915</v>
      </c>
      <c r="R320" s="314">
        <f>E314</f>
        <v>9830</v>
      </c>
    </row>
    <row r="321" spans="1:18" s="192" customFormat="1" ht="23.25">
      <c r="B321" s="302"/>
      <c r="C321" s="302"/>
      <c r="D321" s="302"/>
      <c r="E321" s="203"/>
      <c r="F321" s="313">
        <f t="shared" si="53"/>
        <v>0</v>
      </c>
      <c r="G321" s="314">
        <f t="shared" si="53"/>
        <v>0</v>
      </c>
      <c r="H321" s="314">
        <f t="shared" si="53"/>
        <v>0</v>
      </c>
      <c r="I321" s="314">
        <f t="shared" si="53"/>
        <v>0</v>
      </c>
      <c r="J321" s="314">
        <f t="shared" si="53"/>
        <v>0</v>
      </c>
      <c r="K321" s="314">
        <f t="shared" si="53"/>
        <v>0</v>
      </c>
      <c r="L321" s="314">
        <f t="shared" si="53"/>
        <v>0</v>
      </c>
      <c r="M321" s="314">
        <f t="shared" si="53"/>
        <v>0</v>
      </c>
      <c r="N321" s="314">
        <f t="shared" si="53"/>
        <v>0</v>
      </c>
      <c r="O321" s="314">
        <f t="shared" si="53"/>
        <v>0</v>
      </c>
      <c r="P321" s="314">
        <f t="shared" si="53"/>
        <v>0</v>
      </c>
      <c r="Q321" s="219">
        <f t="shared" si="52"/>
        <v>0</v>
      </c>
      <c r="R321" s="295"/>
    </row>
    <row r="322" spans="1:18" ht="55.5" customHeight="1">
      <c r="B322" s="1267" t="s">
        <v>493</v>
      </c>
      <c r="C322" s="1268"/>
      <c r="D322" s="1269"/>
      <c r="E322" s="792">
        <f>SUM(E314:E321)</f>
        <v>11648.333333333336</v>
      </c>
      <c r="F322" s="792">
        <f t="shared" si="51"/>
        <v>11648.333333333336</v>
      </c>
      <c r="G322" s="785">
        <f t="shared" si="51"/>
        <v>11648.333333333336</v>
      </c>
      <c r="H322" s="785">
        <f t="shared" si="51"/>
        <v>11648.333333333336</v>
      </c>
      <c r="I322" s="785">
        <f t="shared" si="51"/>
        <v>11648.333333333336</v>
      </c>
      <c r="J322" s="785">
        <f t="shared" si="51"/>
        <v>11648.333333333336</v>
      </c>
      <c r="K322" s="785">
        <f t="shared" si="51"/>
        <v>11648.333333333336</v>
      </c>
      <c r="L322" s="785">
        <f t="shared" si="51"/>
        <v>11648.333333333336</v>
      </c>
      <c r="M322" s="785">
        <f t="shared" si="51"/>
        <v>11648.333333333336</v>
      </c>
      <c r="N322" s="785">
        <f t="shared" si="51"/>
        <v>11648.333333333336</v>
      </c>
      <c r="O322" s="785">
        <f t="shared" si="51"/>
        <v>11648.333333333336</v>
      </c>
      <c r="P322" s="785">
        <f t="shared" si="51"/>
        <v>11648.333333333336</v>
      </c>
      <c r="Q322" s="792">
        <f t="shared" si="50"/>
        <v>139780.00000000006</v>
      </c>
      <c r="R322" s="785"/>
    </row>
    <row r="324" spans="1:18" ht="21.75" thickBot="1"/>
    <row r="325" spans="1:18" ht="51.75" customHeight="1">
      <c r="A325" s="1297" t="s">
        <v>494</v>
      </c>
      <c r="B325" s="1298" t="s">
        <v>495</v>
      </c>
      <c r="C325" s="1290" t="s">
        <v>496</v>
      </c>
      <c r="D325" s="1290"/>
      <c r="E325" s="1290"/>
      <c r="F325" s="1290"/>
      <c r="G325" s="1290"/>
      <c r="H325" s="1290"/>
    </row>
    <row r="326" spans="1:18" ht="57.75" customHeight="1" thickBot="1">
      <c r="A326" s="1297"/>
      <c r="B326" s="1299"/>
      <c r="C326" s="1290" t="s">
        <v>497</v>
      </c>
      <c r="D326" s="1290"/>
      <c r="E326" s="1290"/>
      <c r="F326" s="1290"/>
      <c r="G326" s="1290"/>
      <c r="H326" s="1290"/>
    </row>
    <row r="329" spans="1:18" ht="51.75" customHeight="1">
      <c r="B329" s="1287" t="s">
        <v>498</v>
      </c>
      <c r="C329" s="1287"/>
      <c r="D329" s="1287"/>
      <c r="E329" s="1287"/>
      <c r="F329" s="1287"/>
    </row>
    <row r="331" spans="1:18" ht="114" customHeight="1">
      <c r="B331" s="1293" t="s">
        <v>499</v>
      </c>
      <c r="C331" s="1294"/>
    </row>
    <row r="332" spans="1:18">
      <c r="A332" s="1295" t="s">
        <v>820</v>
      </c>
      <c r="B332" s="1295"/>
      <c r="C332" s="1295"/>
      <c r="D332" s="1295"/>
      <c r="E332" s="1295"/>
      <c r="F332" s="1295"/>
      <c r="G332" s="1295"/>
      <c r="H332" s="1295"/>
      <c r="I332" s="1296"/>
      <c r="J332" s="1296"/>
    </row>
    <row r="333" spans="1:18">
      <c r="A333" s="295"/>
      <c r="B333" s="295"/>
      <c r="C333" s="295"/>
      <c r="D333" s="597" t="s">
        <v>284</v>
      </c>
      <c r="E333" s="243"/>
      <c r="F333" s="243"/>
      <c r="G333" s="243"/>
      <c r="H333" s="597" t="s">
        <v>284</v>
      </c>
      <c r="I333" s="712"/>
      <c r="J333" s="712"/>
    </row>
    <row r="334" spans="1:18" ht="21" customHeight="1">
      <c r="A334" s="1203" t="s">
        <v>504</v>
      </c>
      <c r="B334" s="1204"/>
      <c r="C334" s="1205"/>
      <c r="D334" s="333">
        <f>F190</f>
        <v>2048.5</v>
      </c>
      <c r="E334" s="243" t="s">
        <v>501</v>
      </c>
      <c r="F334" s="295"/>
      <c r="G334" s="295"/>
      <c r="H334" s="333">
        <v>0</v>
      </c>
      <c r="I334" s="712"/>
      <c r="J334" s="712"/>
    </row>
    <row r="335" spans="1:18" ht="21" customHeight="1">
      <c r="A335" s="1203" t="s">
        <v>502</v>
      </c>
      <c r="B335" s="1204"/>
      <c r="C335" s="1205"/>
      <c r="D335" s="333">
        <f>D255</f>
        <v>1303.8</v>
      </c>
      <c r="E335" s="243" t="s">
        <v>503</v>
      </c>
      <c r="F335" s="295"/>
      <c r="G335" s="295"/>
      <c r="H335" s="333">
        <v>0</v>
      </c>
      <c r="I335" s="712"/>
      <c r="J335" s="712"/>
    </row>
    <row r="336" spans="1:18">
      <c r="A336" s="343"/>
      <c r="B336" s="343"/>
      <c r="C336" s="343"/>
      <c r="D336" s="333"/>
      <c r="E336" s="243"/>
      <c r="F336" s="295"/>
      <c r="G336" s="295"/>
      <c r="H336" s="333"/>
      <c r="I336" s="712"/>
      <c r="J336" s="712"/>
    </row>
    <row r="337" spans="1:8" ht="21" customHeight="1">
      <c r="A337" s="1203" t="s">
        <v>500</v>
      </c>
      <c r="B337" s="1204"/>
      <c r="C337" s="1205"/>
      <c r="D337" s="333">
        <f>F191</f>
        <v>1311</v>
      </c>
      <c r="E337" s="243" t="s">
        <v>505</v>
      </c>
      <c r="F337" s="295"/>
      <c r="G337" s="295"/>
      <c r="H337" s="333">
        <v>0</v>
      </c>
    </row>
    <row r="338" spans="1:8" ht="21" customHeight="1">
      <c r="A338" s="1203" t="s">
        <v>506</v>
      </c>
      <c r="B338" s="1204"/>
      <c r="C338" s="1205"/>
      <c r="D338" s="333">
        <f>D256</f>
        <v>803.8</v>
      </c>
      <c r="E338" s="243" t="s">
        <v>503</v>
      </c>
      <c r="F338" s="295"/>
      <c r="G338" s="295"/>
      <c r="H338" s="333">
        <v>0</v>
      </c>
    </row>
    <row r="339" spans="1:8">
      <c r="A339" s="295"/>
      <c r="B339" s="295"/>
      <c r="C339" s="295"/>
      <c r="D339" s="333"/>
      <c r="E339" s="295"/>
      <c r="F339" s="295"/>
      <c r="G339" s="295"/>
      <c r="H339" s="333"/>
    </row>
    <row r="340" spans="1:8">
      <c r="A340" s="1203" t="s">
        <v>507</v>
      </c>
      <c r="B340" s="1204"/>
      <c r="C340" s="1205"/>
      <c r="D340" s="333">
        <f>F192</f>
        <v>783.33333333333337</v>
      </c>
      <c r="E340" s="295" t="s">
        <v>505</v>
      </c>
      <c r="F340" s="295"/>
      <c r="G340" s="295"/>
      <c r="H340" s="333"/>
    </row>
    <row r="341" spans="1:8">
      <c r="A341" s="1203" t="s">
        <v>508</v>
      </c>
      <c r="B341" s="1204"/>
      <c r="C341" s="1205"/>
      <c r="D341" s="344">
        <v>0</v>
      </c>
      <c r="E341" s="295" t="s">
        <v>509</v>
      </c>
      <c r="F341" s="295"/>
      <c r="G341" s="295"/>
      <c r="H341" s="333"/>
    </row>
    <row r="342" spans="1:8">
      <c r="A342" s="295"/>
      <c r="B342" s="295"/>
      <c r="C342" s="295"/>
      <c r="D342" s="333"/>
      <c r="E342" s="295"/>
      <c r="F342" s="295"/>
      <c r="G342" s="295"/>
      <c r="H342" s="333"/>
    </row>
    <row r="343" spans="1:8" ht="21" customHeight="1">
      <c r="A343" s="1243" t="s">
        <v>243</v>
      </c>
      <c r="B343" s="1244"/>
      <c r="C343" s="1245"/>
      <c r="D343" s="751" t="s">
        <v>248</v>
      </c>
      <c r="E343" s="789"/>
      <c r="F343" s="789"/>
      <c r="G343" s="789"/>
      <c r="H343" s="789"/>
    </row>
    <row r="344" spans="1:8" ht="21" customHeight="1">
      <c r="A344" s="1300" t="s">
        <v>510</v>
      </c>
      <c r="B344" s="1301"/>
      <c r="C344" s="1302"/>
      <c r="D344" s="671">
        <f>E53</f>
        <v>62883.72</v>
      </c>
      <c r="E344" s="789"/>
      <c r="F344" s="789"/>
      <c r="G344" s="789"/>
      <c r="H344" s="789"/>
    </row>
    <row r="345" spans="1:8" ht="21" customHeight="1">
      <c r="A345" s="1300" t="s">
        <v>511</v>
      </c>
      <c r="B345" s="1301"/>
      <c r="C345" s="1302"/>
      <c r="D345" s="671">
        <f>E63</f>
        <v>6221.5</v>
      </c>
      <c r="E345" s="789"/>
      <c r="F345" s="789"/>
      <c r="G345" s="789"/>
      <c r="H345" s="789"/>
    </row>
    <row r="346" spans="1:8" ht="21" customHeight="1">
      <c r="A346" s="1300" t="s">
        <v>512</v>
      </c>
      <c r="B346" s="1301"/>
      <c r="C346" s="1302"/>
      <c r="D346" s="671">
        <f>E65</f>
        <v>10365.782999999999</v>
      </c>
      <c r="E346" s="789"/>
      <c r="F346" s="789"/>
      <c r="G346" s="789"/>
      <c r="H346" s="789"/>
    </row>
    <row r="347" spans="1:8" ht="21" customHeight="1">
      <c r="A347" s="1243" t="s">
        <v>513</v>
      </c>
      <c r="B347" s="1244"/>
      <c r="C347" s="1245"/>
      <c r="D347" s="647">
        <f>SUM(D344:D346)</f>
        <v>79471.002999999997</v>
      </c>
      <c r="E347" s="789"/>
      <c r="F347" s="789"/>
      <c r="G347" s="789"/>
      <c r="H347" s="789"/>
    </row>
    <row r="348" spans="1:8">
      <c r="A348" s="802"/>
      <c r="B348" s="802"/>
      <c r="C348" s="802"/>
      <c r="D348" s="672"/>
      <c r="E348" s="789"/>
      <c r="F348" s="789"/>
      <c r="G348" s="789"/>
      <c r="H348" s="789"/>
    </row>
    <row r="349" spans="1:8" ht="63">
      <c r="A349" s="1188" t="s">
        <v>514</v>
      </c>
      <c r="B349" s="1189"/>
      <c r="C349" s="209" t="s">
        <v>515</v>
      </c>
      <c r="D349" s="580" t="s">
        <v>248</v>
      </c>
      <c r="E349" s="580" t="s">
        <v>516</v>
      </c>
      <c r="F349" s="580" t="s">
        <v>517</v>
      </c>
      <c r="G349" s="310"/>
      <c r="H349" s="295"/>
    </row>
    <row r="350" spans="1:8" ht="26.25" customHeight="1">
      <c r="A350" s="1201" t="s">
        <v>518</v>
      </c>
      <c r="B350" s="1202"/>
      <c r="C350" s="347">
        <v>0.6</v>
      </c>
      <c r="D350" s="342">
        <f>D347*C350</f>
        <v>47682.601799999997</v>
      </c>
      <c r="E350" s="348">
        <f>+'8'!I62</f>
        <v>0.26392900000000002</v>
      </c>
      <c r="F350" s="295"/>
      <c r="G350" s="310"/>
      <c r="H350" s="295"/>
    </row>
    <row r="351" spans="1:8" ht="26.25" customHeight="1">
      <c r="A351" s="1201" t="s">
        <v>519</v>
      </c>
      <c r="B351" s="1202"/>
      <c r="C351" s="347">
        <v>0.4</v>
      </c>
      <c r="D351" s="342">
        <f>D347*C351</f>
        <v>31788.4012</v>
      </c>
      <c r="E351" s="295"/>
      <c r="F351" s="349">
        <v>0.17199999999999999</v>
      </c>
      <c r="G351" s="310"/>
      <c r="H351" s="295"/>
    </row>
    <row r="352" spans="1:8">
      <c r="A352" s="295"/>
      <c r="B352" s="295"/>
      <c r="C352" s="350"/>
      <c r="D352" s="350"/>
      <c r="E352" s="295"/>
      <c r="F352" s="295"/>
      <c r="G352" s="295"/>
      <c r="H352" s="295"/>
    </row>
    <row r="353" spans="1:10" ht="21" customHeight="1">
      <c r="A353" s="1188" t="s">
        <v>520</v>
      </c>
      <c r="B353" s="1194"/>
      <c r="C353" s="1189"/>
      <c r="D353" s="580" t="s">
        <v>389</v>
      </c>
      <c r="E353" s="243"/>
      <c r="F353" s="243"/>
      <c r="G353" s="243"/>
      <c r="H353" s="580" t="s">
        <v>521</v>
      </c>
    </row>
    <row r="354" spans="1:10" ht="26.25">
      <c r="A354" s="1195" t="s">
        <v>522</v>
      </c>
      <c r="B354" s="1196"/>
      <c r="C354" s="1197"/>
      <c r="D354" s="351">
        <f>E295</f>
        <v>19073.648933333334</v>
      </c>
      <c r="E354" s="295"/>
      <c r="F354" s="295"/>
      <c r="G354" s="295"/>
      <c r="H354" s="312">
        <f>D354*12</f>
        <v>228883.78720000002</v>
      </c>
    </row>
    <row r="355" spans="1:10" ht="26.25" customHeight="1">
      <c r="A355" s="1198" t="s">
        <v>523</v>
      </c>
      <c r="B355" s="1199"/>
      <c r="C355" s="1200"/>
      <c r="D355" s="352">
        <f>E322</f>
        <v>11648.333333333336</v>
      </c>
      <c r="E355" s="350"/>
      <c r="F355" s="350"/>
      <c r="G355" s="350"/>
      <c r="H355" s="317">
        <f>D355*12</f>
        <v>139780.00000000003</v>
      </c>
    </row>
    <row r="356" spans="1:10" ht="26.25">
      <c r="A356" s="295"/>
      <c r="B356" s="295"/>
      <c r="C356" s="295"/>
      <c r="D356" s="351"/>
      <c r="E356" s="295"/>
      <c r="F356" s="295"/>
      <c r="G356" s="295"/>
      <c r="H356" s="312">
        <f>D356*12</f>
        <v>0</v>
      </c>
    </row>
    <row r="357" spans="1:10" ht="26.25">
      <c r="A357" s="295"/>
      <c r="B357" s="295"/>
      <c r="C357" s="295"/>
      <c r="D357" s="351"/>
      <c r="E357" s="295"/>
      <c r="F357" s="295"/>
      <c r="G357" s="295"/>
      <c r="H357" s="312">
        <f>D357*12</f>
        <v>0</v>
      </c>
    </row>
    <row r="358" spans="1:10" ht="26.25">
      <c r="A358" s="295"/>
      <c r="B358" s="295"/>
      <c r="C358" s="589" t="s">
        <v>524</v>
      </c>
      <c r="D358" s="353">
        <f>SUM(D354:D357)</f>
        <v>30721.98226666667</v>
      </c>
      <c r="E358" s="295"/>
      <c r="F358" s="295"/>
      <c r="G358" s="589" t="s">
        <v>525</v>
      </c>
      <c r="H358" s="354">
        <f>SUM(H354:H357)</f>
        <v>368663.78720000002</v>
      </c>
    </row>
    <row r="359" spans="1:10" ht="26.25">
      <c r="A359" s="1195" t="s">
        <v>526</v>
      </c>
      <c r="B359" s="1196"/>
      <c r="C359" s="1197"/>
      <c r="D359" s="351">
        <f>E297</f>
        <v>737.42683333333343</v>
      </c>
      <c r="E359" s="295"/>
      <c r="F359" s="295"/>
      <c r="G359" s="295"/>
      <c r="H359" s="312">
        <f>D344/10</f>
        <v>6288.3720000000003</v>
      </c>
    </row>
    <row r="360" spans="1:10" ht="26.25">
      <c r="A360" s="1195" t="s">
        <v>527</v>
      </c>
      <c r="B360" s="1196"/>
      <c r="C360" s="1197"/>
      <c r="D360" s="351">
        <f>E298</f>
        <v>45.179166666666667</v>
      </c>
      <c r="E360" s="295"/>
      <c r="F360" s="295"/>
      <c r="G360" s="295"/>
      <c r="H360" s="312">
        <f>D345/10</f>
        <v>622.15</v>
      </c>
    </row>
    <row r="361" spans="1:10" ht="42" customHeight="1">
      <c r="A361" s="1188" t="s">
        <v>528</v>
      </c>
      <c r="B361" s="1194"/>
      <c r="C361" s="1189"/>
      <c r="D361" s="355">
        <f>SUM(D358:D360)</f>
        <v>31504.588266666669</v>
      </c>
      <c r="E361" s="356"/>
      <c r="F361" s="356"/>
      <c r="G361" s="580" t="s">
        <v>529</v>
      </c>
      <c r="H361" s="355">
        <f>SUM(H358:H360)</f>
        <v>375574.30920000002</v>
      </c>
    </row>
    <row r="362" spans="1:10">
      <c r="A362" s="802"/>
      <c r="B362" s="802"/>
      <c r="C362" s="802"/>
      <c r="D362" s="672"/>
      <c r="E362" s="802"/>
      <c r="F362" s="802"/>
      <c r="G362" s="802"/>
      <c r="H362" s="672"/>
      <c r="I362" s="634"/>
      <c r="J362" s="634"/>
    </row>
    <row r="363" spans="1:10">
      <c r="A363" s="802"/>
      <c r="B363" s="802"/>
      <c r="C363" s="802"/>
      <c r="D363" s="672"/>
      <c r="E363" s="802"/>
      <c r="F363" s="802"/>
      <c r="G363" s="802"/>
      <c r="H363" s="672"/>
      <c r="I363" s="634"/>
      <c r="J363" s="634"/>
    </row>
    <row r="364" spans="1:10">
      <c r="A364" s="790"/>
      <c r="B364" s="790"/>
      <c r="C364" s="790"/>
      <c r="D364" s="673"/>
      <c r="E364" s="790"/>
      <c r="F364" s="790"/>
      <c r="G364" s="790"/>
      <c r="H364" s="673"/>
    </row>
    <row r="365" spans="1:10" ht="49.5" customHeight="1">
      <c r="A365" s="1303" t="s">
        <v>530</v>
      </c>
      <c r="B365" s="1304"/>
      <c r="C365" s="1304"/>
      <c r="D365" s="1304"/>
      <c r="E365" s="1304"/>
      <c r="F365" s="1305"/>
      <c r="G365" s="790"/>
      <c r="H365" s="673"/>
    </row>
    <row r="366" spans="1:10">
      <c r="A366" s="790"/>
      <c r="B366" s="790"/>
      <c r="C366" s="790"/>
      <c r="D366" s="790"/>
      <c r="E366" s="790"/>
      <c r="F366" s="790"/>
      <c r="G366" s="790"/>
      <c r="H366" s="790"/>
    </row>
    <row r="367" spans="1:10" ht="46.5">
      <c r="A367" s="243"/>
      <c r="B367" s="243"/>
      <c r="C367" s="583" t="s">
        <v>531</v>
      </c>
      <c r="D367" s="583" t="s">
        <v>532</v>
      </c>
      <c r="E367" s="583" t="s">
        <v>533</v>
      </c>
      <c r="F367" s="583" t="s">
        <v>534</v>
      </c>
      <c r="G367" s="583" t="s">
        <v>535</v>
      </c>
      <c r="H367" s="358"/>
      <c r="I367" s="192"/>
    </row>
    <row r="368" spans="1:10" ht="63">
      <c r="A368" s="1145" t="s">
        <v>538</v>
      </c>
      <c r="B368" s="1147"/>
      <c r="C368" s="359">
        <f>D334</f>
        <v>2048.5</v>
      </c>
      <c r="D368" s="359">
        <f>D335</f>
        <v>1303.8</v>
      </c>
      <c r="E368" s="359">
        <f>C368-D368</f>
        <v>744.7</v>
      </c>
      <c r="F368" s="360">
        <f>D361/E368</f>
        <v>42.305073541918446</v>
      </c>
      <c r="G368" s="360">
        <f>H361/E368</f>
        <v>504.32967530549212</v>
      </c>
      <c r="H368" s="232" t="s">
        <v>537</v>
      </c>
      <c r="I368" s="361">
        <f>E368*G368</f>
        <v>375574.30920000002</v>
      </c>
    </row>
    <row r="369" spans="1:14" ht="28.5">
      <c r="A369" s="597"/>
      <c r="B369" s="243"/>
      <c r="C369" s="359">
        <f>H334</f>
        <v>0</v>
      </c>
      <c r="D369" s="359">
        <f>H335</f>
        <v>0</v>
      </c>
      <c r="E369" s="359">
        <f>C369-D369</f>
        <v>0</v>
      </c>
      <c r="F369" s="360"/>
      <c r="G369" s="362"/>
      <c r="H369" s="232"/>
      <c r="I369" s="327">
        <f>E369*G369</f>
        <v>0</v>
      </c>
    </row>
    <row r="370" spans="1:14" ht="63">
      <c r="A370" s="1145" t="s">
        <v>536</v>
      </c>
      <c r="B370" s="1147"/>
      <c r="C370" s="359">
        <f>D337</f>
        <v>1311</v>
      </c>
      <c r="D370" s="359">
        <f>D338</f>
        <v>803.8</v>
      </c>
      <c r="E370" s="359">
        <f>C370-D370</f>
        <v>507.20000000000005</v>
      </c>
      <c r="F370" s="360">
        <f>D361/E370</f>
        <v>62.11472450052576</v>
      </c>
      <c r="G370" s="362">
        <f>H361/E370</f>
        <v>740.48562539432169</v>
      </c>
      <c r="H370" s="232" t="s">
        <v>539</v>
      </c>
      <c r="I370" s="361">
        <f>E370*G370</f>
        <v>375574.30920000002</v>
      </c>
    </row>
    <row r="371" spans="1:14">
      <c r="A371" s="597"/>
      <c r="B371" s="243"/>
      <c r="C371" s="363">
        <f>H337</f>
        <v>0</v>
      </c>
      <c r="D371" s="363">
        <f>H338</f>
        <v>0</v>
      </c>
      <c r="E371" s="363">
        <f>C371-D371</f>
        <v>0</v>
      </c>
      <c r="F371" s="288"/>
      <c r="G371" s="288"/>
      <c r="H371" s="232"/>
      <c r="I371" s="327">
        <f>E371*G371</f>
        <v>0</v>
      </c>
    </row>
    <row r="372" spans="1:14" ht="63">
      <c r="A372" s="1145" t="s">
        <v>380</v>
      </c>
      <c r="B372" s="1147"/>
      <c r="C372" s="359">
        <f>+D340</f>
        <v>783.33333333333337</v>
      </c>
      <c r="D372" s="364">
        <f>+D341</f>
        <v>0</v>
      </c>
      <c r="E372" s="359">
        <f>+C372-D372</f>
        <v>783.33333333333337</v>
      </c>
      <c r="F372" s="360">
        <f>+D361/E372</f>
        <v>40.218623319148939</v>
      </c>
      <c r="G372" s="362">
        <f>+H361/E372</f>
        <v>479.4565649361702</v>
      </c>
      <c r="H372" s="232" t="s">
        <v>540</v>
      </c>
      <c r="I372" s="361">
        <f>+E372*G372</f>
        <v>375574.30920000002</v>
      </c>
    </row>
    <row r="373" spans="1:14">
      <c r="A373" s="804"/>
      <c r="B373" s="805"/>
      <c r="C373" s="806"/>
      <c r="D373" s="806"/>
      <c r="E373" s="806"/>
      <c r="F373" s="674"/>
      <c r="G373" s="674"/>
      <c r="H373" s="804"/>
    </row>
    <row r="374" spans="1:14" ht="51" customHeight="1">
      <c r="A374" s="1155" t="s">
        <v>822</v>
      </c>
      <c r="B374" s="1155"/>
      <c r="C374" s="1155"/>
      <c r="D374" s="1155"/>
      <c r="E374" s="1155"/>
      <c r="F374" s="1155"/>
      <c r="G374" s="1155"/>
      <c r="H374" s="1155"/>
      <c r="I374" s="193"/>
      <c r="J374" s="192"/>
      <c r="K374" s="192"/>
    </row>
    <row r="375" spans="1:14">
      <c r="A375" s="358"/>
      <c r="B375" s="358"/>
      <c r="C375" s="358"/>
      <c r="D375" s="358"/>
      <c r="E375" s="358"/>
      <c r="F375" s="358"/>
      <c r="G375" s="358"/>
      <c r="H375" s="358"/>
      <c r="I375" s="192"/>
      <c r="J375" s="192"/>
      <c r="K375" s="192"/>
    </row>
    <row r="376" spans="1:14" ht="52.5">
      <c r="A376" s="243"/>
      <c r="B376" s="243"/>
      <c r="C376" s="368" t="s">
        <v>541</v>
      </c>
      <c r="D376" s="368" t="s">
        <v>542</v>
      </c>
      <c r="E376" s="368" t="s">
        <v>543</v>
      </c>
      <c r="F376" s="368" t="s">
        <v>544</v>
      </c>
      <c r="G376" s="368" t="s">
        <v>545</v>
      </c>
      <c r="H376" s="368" t="s">
        <v>546</v>
      </c>
      <c r="I376" s="192"/>
      <c r="J376" s="192"/>
      <c r="K376" s="192"/>
    </row>
    <row r="377" spans="1:14">
      <c r="A377" s="243"/>
      <c r="B377" s="243"/>
      <c r="C377" s="243"/>
      <c r="D377" s="243"/>
      <c r="E377" s="243"/>
      <c r="F377" s="243"/>
      <c r="G377" s="243">
        <v>12</v>
      </c>
      <c r="H377" s="243"/>
      <c r="I377" s="192"/>
      <c r="J377" s="192"/>
      <c r="K377" s="192"/>
    </row>
    <row r="378" spans="1:14" ht="75.75" customHeight="1">
      <c r="A378" s="1138" t="str">
        <f>+A368</f>
        <v>SERVICIO ONCOLÓGICO</v>
      </c>
      <c r="B378" s="1140"/>
      <c r="C378" s="369">
        <f t="shared" ref="C378:E380" si="54">C368</f>
        <v>2048.5</v>
      </c>
      <c r="D378" s="369">
        <f t="shared" si="54"/>
        <v>1303.8</v>
      </c>
      <c r="E378" s="369">
        <f t="shared" si="54"/>
        <v>744.7</v>
      </c>
      <c r="F378" s="370">
        <v>17</v>
      </c>
      <c r="G378" s="584">
        <f>F378*$G$377</f>
        <v>204</v>
      </c>
      <c r="H378" s="372">
        <f>G378*E378</f>
        <v>151918.80000000002</v>
      </c>
      <c r="I378" s="1188" t="s">
        <v>547</v>
      </c>
      <c r="J378" s="1189"/>
      <c r="K378" s="373"/>
      <c r="L378" s="728"/>
      <c r="M378" s="728"/>
    </row>
    <row r="379" spans="1:14" ht="28.5">
      <c r="A379" s="374"/>
      <c r="B379" s="374"/>
      <c r="C379" s="369">
        <f t="shared" si="54"/>
        <v>0</v>
      </c>
      <c r="D379" s="369">
        <f t="shared" si="54"/>
        <v>0</v>
      </c>
      <c r="E379" s="369">
        <f t="shared" si="54"/>
        <v>0</v>
      </c>
      <c r="F379" s="584"/>
      <c r="G379" s="584"/>
      <c r="H379" s="369">
        <f>G379*E379</f>
        <v>0</v>
      </c>
      <c r="I379" s="1190"/>
      <c r="J379" s="1190"/>
      <c r="K379" s="193"/>
      <c r="L379" s="634"/>
      <c r="M379" s="634"/>
    </row>
    <row r="380" spans="1:14" ht="65.25" customHeight="1">
      <c r="A380" s="1138" t="str">
        <f>+A370</f>
        <v>SERVICIO ENDOCRINO</v>
      </c>
      <c r="B380" s="1140"/>
      <c r="C380" s="369">
        <f t="shared" si="54"/>
        <v>1311</v>
      </c>
      <c r="D380" s="369">
        <f t="shared" si="54"/>
        <v>803.8</v>
      </c>
      <c r="E380" s="369">
        <f t="shared" si="54"/>
        <v>507.20000000000005</v>
      </c>
      <c r="F380" s="370">
        <v>22</v>
      </c>
      <c r="G380" s="584">
        <f>F380*$G$377</f>
        <v>264</v>
      </c>
      <c r="H380" s="372">
        <f>G380*E380</f>
        <v>133900.80000000002</v>
      </c>
      <c r="I380" s="1188" t="s">
        <v>548</v>
      </c>
      <c r="J380" s="1189"/>
      <c r="K380" s="373"/>
      <c r="L380" s="634"/>
      <c r="M380" s="634"/>
    </row>
    <row r="381" spans="1:14" ht="22.5" customHeight="1">
      <c r="A381" s="594"/>
      <c r="B381" s="376"/>
      <c r="C381" s="369"/>
      <c r="D381" s="369"/>
      <c r="E381" s="369"/>
      <c r="F381" s="370"/>
      <c r="G381" s="584"/>
      <c r="H381" s="372"/>
      <c r="I381" s="595"/>
      <c r="J381" s="378"/>
      <c r="K381" s="379"/>
    </row>
    <row r="382" spans="1:14" ht="22.5" customHeight="1">
      <c r="A382" s="1138" t="str">
        <f>+A372</f>
        <v>SERVICIO DE IMPORTACIÓN</v>
      </c>
      <c r="B382" s="1140"/>
      <c r="C382" s="369">
        <f>+C372</f>
        <v>783.33333333333337</v>
      </c>
      <c r="D382" s="369">
        <f>+D372</f>
        <v>0</v>
      </c>
      <c r="E382" s="369">
        <f>+C382-D382</f>
        <v>783.33333333333337</v>
      </c>
      <c r="F382" s="370">
        <v>10</v>
      </c>
      <c r="G382" s="584">
        <f>F382*$G$377</f>
        <v>120</v>
      </c>
      <c r="H382" s="372">
        <f>+E382*G382</f>
        <v>94000</v>
      </c>
      <c r="I382" s="595"/>
      <c r="J382" s="378"/>
      <c r="K382" s="379"/>
    </row>
    <row r="383" spans="1:14">
      <c r="A383" s="243"/>
      <c r="B383" s="243"/>
      <c r="C383" s="380">
        <f>C371</f>
        <v>0</v>
      </c>
      <c r="D383" s="380">
        <f>D371</f>
        <v>0</v>
      </c>
      <c r="E383" s="380">
        <f>E371</f>
        <v>0</v>
      </c>
      <c r="F383" s="297"/>
      <c r="G383" s="297"/>
      <c r="H383" s="380">
        <f>G383*E383</f>
        <v>0</v>
      </c>
      <c r="I383" s="1190"/>
      <c r="J383" s="1190"/>
      <c r="K383" s="193"/>
      <c r="L383" s="772"/>
      <c r="M383" s="728"/>
      <c r="N383" s="772"/>
    </row>
    <row r="384" spans="1:14" ht="31.5">
      <c r="A384" s="381"/>
      <c r="B384" s="381"/>
      <c r="C384" s="589"/>
      <c r="D384" s="589"/>
      <c r="E384" s="382" t="s">
        <v>183</v>
      </c>
      <c r="F384" s="383">
        <f>SUM(F378:F383)</f>
        <v>49</v>
      </c>
      <c r="G384" s="384">
        <f>SUM(G378:G383)</f>
        <v>588</v>
      </c>
      <c r="H384" s="383">
        <f>SUM(H378:H383)</f>
        <v>379819.60000000003</v>
      </c>
      <c r="I384" s="192"/>
      <c r="J384" s="207"/>
      <c r="K384" s="207"/>
      <c r="L384" s="772"/>
      <c r="M384" s="728"/>
      <c r="N384" s="772"/>
    </row>
    <row r="385" spans="1:14" ht="72.75" customHeight="1">
      <c r="A385" s="590"/>
      <c r="B385" s="590"/>
      <c r="C385" s="590"/>
      <c r="D385" s="590"/>
      <c r="E385" s="590"/>
      <c r="F385" s="385"/>
      <c r="G385" s="386" t="s">
        <v>549</v>
      </c>
      <c r="H385" s="387">
        <f>I370</f>
        <v>375574.30920000002</v>
      </c>
      <c r="I385" s="192"/>
      <c r="J385" s="207"/>
      <c r="K385" s="207"/>
      <c r="L385" s="772"/>
      <c r="M385" s="728"/>
      <c r="N385" s="772"/>
    </row>
    <row r="386" spans="1:14" ht="37.5" customHeight="1">
      <c r="A386" s="192"/>
      <c r="B386" s="192"/>
      <c r="C386" s="192"/>
      <c r="D386" s="192"/>
      <c r="E386" s="192"/>
      <c r="F386" s="192"/>
      <c r="G386" s="192"/>
      <c r="H386" s="369">
        <f>H384-H361</f>
        <v>4245.290800000017</v>
      </c>
      <c r="I386" s="1178" t="s">
        <v>550</v>
      </c>
      <c r="J386" s="1178"/>
      <c r="K386" s="388"/>
      <c r="L386" s="772"/>
      <c r="M386" s="728"/>
      <c r="N386" s="772"/>
    </row>
    <row r="387" spans="1:14" hidden="1">
      <c r="L387" s="634"/>
    </row>
    <row r="388" spans="1:14">
      <c r="L388" s="634"/>
    </row>
    <row r="389" spans="1:14" ht="31.5">
      <c r="B389" s="808" t="s">
        <v>551</v>
      </c>
      <c r="D389" s="809" t="s">
        <v>552</v>
      </c>
      <c r="L389" s="634"/>
    </row>
    <row r="390" spans="1:14">
      <c r="L390" s="634"/>
    </row>
    <row r="391" spans="1:14" ht="21.75" customHeight="1" thickBot="1">
      <c r="A391" s="215"/>
      <c r="B391" s="215"/>
      <c r="C391" s="215"/>
      <c r="D391" s="1179" t="s">
        <v>553</v>
      </c>
      <c r="E391" s="1180"/>
      <c r="F391" s="1180"/>
      <c r="G391" s="1180"/>
      <c r="H391" s="1181"/>
      <c r="L391" s="634"/>
    </row>
    <row r="392" spans="1:14" ht="132" customHeight="1" thickBot="1">
      <c r="A392" s="1182" t="s">
        <v>554</v>
      </c>
      <c r="B392" s="1183"/>
      <c r="C392" s="1184"/>
      <c r="D392" s="599" t="s">
        <v>555</v>
      </c>
      <c r="E392" s="591">
        <v>2</v>
      </c>
      <c r="F392" s="591">
        <v>3</v>
      </c>
      <c r="G392" s="591">
        <v>4</v>
      </c>
      <c r="H392" s="591">
        <v>5</v>
      </c>
      <c r="J392" s="810"/>
      <c r="K392" s="810"/>
      <c r="L392" s="634"/>
    </row>
    <row r="393" spans="1:14" ht="63" customHeight="1">
      <c r="A393" s="1185" t="s">
        <v>556</v>
      </c>
      <c r="B393" s="1186"/>
      <c r="C393" s="1187"/>
      <c r="D393" s="393">
        <v>2023</v>
      </c>
      <c r="E393" s="394">
        <f>D393+1</f>
        <v>2024</v>
      </c>
      <c r="F393" s="394">
        <f>E393+1</f>
        <v>2025</v>
      </c>
      <c r="G393" s="394">
        <f>F393+1</f>
        <v>2026</v>
      </c>
      <c r="H393" s="394">
        <f>G393+1</f>
        <v>2027</v>
      </c>
    </row>
    <row r="394" spans="1:14" ht="72" customHeight="1">
      <c r="A394" s="1169" t="s">
        <v>557</v>
      </c>
      <c r="B394" s="1170"/>
      <c r="C394" s="1171"/>
      <c r="D394" s="582" t="s">
        <v>558</v>
      </c>
      <c r="E394" s="396">
        <v>2.4500000000000001E-2</v>
      </c>
      <c r="F394" s="396">
        <v>2.4500000000000001E-2</v>
      </c>
      <c r="G394" s="396">
        <v>2.4500000000000001E-2</v>
      </c>
      <c r="H394" s="396">
        <v>2.4500000000000001E-2</v>
      </c>
    </row>
    <row r="395" spans="1:14" ht="61.5" customHeight="1">
      <c r="A395" s="1172" t="s">
        <v>559</v>
      </c>
      <c r="B395" s="1173"/>
      <c r="C395" s="1174"/>
      <c r="D395" s="582" t="s">
        <v>558</v>
      </c>
      <c r="E395" s="397">
        <v>1.0245</v>
      </c>
      <c r="F395" s="397">
        <v>1.0245</v>
      </c>
      <c r="G395" s="397">
        <v>1.0245</v>
      </c>
      <c r="H395" s="397">
        <v>1.0245</v>
      </c>
    </row>
    <row r="396" spans="1:14" ht="23.25">
      <c r="A396" s="592"/>
      <c r="B396" s="399"/>
      <c r="C396" s="593"/>
      <c r="D396" s="401" t="s">
        <v>553</v>
      </c>
      <c r="E396" s="402">
        <v>2024</v>
      </c>
      <c r="F396" s="402">
        <v>2025</v>
      </c>
      <c r="G396" s="402">
        <v>2026</v>
      </c>
      <c r="H396" s="402">
        <v>2027</v>
      </c>
      <c r="K396" s="811"/>
      <c r="L396" s="812"/>
    </row>
    <row r="397" spans="1:14" ht="68.25" customHeight="1">
      <c r="A397" s="1169" t="s">
        <v>560</v>
      </c>
      <c r="B397" s="1170"/>
      <c r="C397" s="1171"/>
      <c r="D397" s="582" t="s">
        <v>558</v>
      </c>
      <c r="E397" s="396">
        <v>7.0000000000000001E-3</v>
      </c>
      <c r="F397" s="396">
        <v>8.0000000000000002E-3</v>
      </c>
      <c r="G397" s="396">
        <v>8.9999999999999993E-3</v>
      </c>
      <c r="H397" s="396">
        <v>0.01</v>
      </c>
      <c r="I397" s="813"/>
      <c r="J397" s="813"/>
      <c r="K397" s="813"/>
      <c r="L397" s="634"/>
    </row>
    <row r="398" spans="1:14" ht="50.25" customHeight="1">
      <c r="A398" s="1172" t="s">
        <v>561</v>
      </c>
      <c r="B398" s="1173"/>
      <c r="C398" s="1174"/>
      <c r="D398" s="582" t="s">
        <v>558</v>
      </c>
      <c r="E398" s="586">
        <v>1.0069999999999999</v>
      </c>
      <c r="F398" s="586">
        <v>1.008</v>
      </c>
      <c r="G398" s="586">
        <v>1.0089999999999999</v>
      </c>
      <c r="H398" s="405">
        <v>1.01</v>
      </c>
      <c r="I398" s="813"/>
      <c r="J398" s="815"/>
      <c r="K398" s="815"/>
      <c r="L398" s="634"/>
    </row>
    <row r="399" spans="1:14" ht="28.5">
      <c r="A399" s="345"/>
      <c r="B399" s="345"/>
      <c r="C399" s="345"/>
      <c r="D399" s="593" t="s">
        <v>553</v>
      </c>
      <c r="E399" s="402">
        <f>E396</f>
        <v>2024</v>
      </c>
      <c r="F399" s="402">
        <f>F396</f>
        <v>2025</v>
      </c>
      <c r="G399" s="402">
        <f>G396</f>
        <v>2026</v>
      </c>
      <c r="H399" s="402">
        <f>H396</f>
        <v>2027</v>
      </c>
      <c r="I399" s="813"/>
      <c r="J399" s="813"/>
      <c r="K399" s="813"/>
      <c r="L399" s="634"/>
    </row>
    <row r="400" spans="1:14" ht="78.75" customHeight="1">
      <c r="A400" s="1169" t="s">
        <v>562</v>
      </c>
      <c r="B400" s="1170"/>
      <c r="C400" s="1171"/>
      <c r="D400" s="588" t="s">
        <v>558</v>
      </c>
      <c r="E400" s="407">
        <v>0.03</v>
      </c>
      <c r="F400" s="407">
        <v>3.5000000000000003E-2</v>
      </c>
      <c r="G400" s="407">
        <v>3.5000000000000003E-2</v>
      </c>
      <c r="H400" s="407">
        <v>3.2500000000000001E-2</v>
      </c>
      <c r="I400" s="813"/>
      <c r="J400" s="813"/>
      <c r="K400" s="816"/>
      <c r="L400" s="634"/>
    </row>
    <row r="401" spans="1:12" ht="45.75" customHeight="1">
      <c r="A401" s="1172" t="s">
        <v>563</v>
      </c>
      <c r="B401" s="1173"/>
      <c r="C401" s="1174"/>
      <c r="D401" s="588" t="s">
        <v>558</v>
      </c>
      <c r="E401" s="600">
        <v>1.03</v>
      </c>
      <c r="F401" s="600">
        <v>1.0349999999999999</v>
      </c>
      <c r="G401" s="600">
        <v>1.0349999999999999</v>
      </c>
      <c r="H401" s="600">
        <v>1.0325</v>
      </c>
      <c r="I401" s="813"/>
      <c r="J401" s="813"/>
      <c r="K401" s="813"/>
      <c r="L401" s="634"/>
    </row>
    <row r="402" spans="1:12" ht="28.5">
      <c r="A402" s="345"/>
      <c r="B402" s="345"/>
      <c r="C402" s="345"/>
      <c r="D402" s="593" t="s">
        <v>553</v>
      </c>
      <c r="E402" s="408">
        <f>E399</f>
        <v>2024</v>
      </c>
      <c r="F402" s="408">
        <f>F399</f>
        <v>2025</v>
      </c>
      <c r="G402" s="408">
        <f>G399</f>
        <v>2026</v>
      </c>
      <c r="H402" s="408">
        <f>H399</f>
        <v>2027</v>
      </c>
      <c r="I402" s="813"/>
      <c r="J402" s="813"/>
      <c r="K402" s="813"/>
      <c r="L402" s="634"/>
    </row>
    <row r="403" spans="1:12" ht="57" customHeight="1">
      <c r="A403" s="1175" t="s">
        <v>564</v>
      </c>
      <c r="B403" s="1176"/>
      <c r="C403" s="1177"/>
      <c r="D403" s="588" t="s">
        <v>558</v>
      </c>
      <c r="E403" s="407">
        <v>3.2000000000000001E-2</v>
      </c>
      <c r="F403" s="407">
        <v>3.2500000000000001E-2</v>
      </c>
      <c r="G403" s="407">
        <v>3.2000000000000001E-2</v>
      </c>
      <c r="H403" s="407">
        <v>3.1E-2</v>
      </c>
      <c r="I403" s="813"/>
      <c r="J403" s="813"/>
      <c r="K403" s="816"/>
      <c r="L403" s="634"/>
    </row>
    <row r="404" spans="1:12" ht="39.75" customHeight="1">
      <c r="A404" s="1172" t="s">
        <v>565</v>
      </c>
      <c r="B404" s="1173"/>
      <c r="C404" s="1174"/>
      <c r="D404" s="588" t="s">
        <v>558</v>
      </c>
      <c r="E404" s="409">
        <v>1.032</v>
      </c>
      <c r="F404" s="600">
        <v>1.0325</v>
      </c>
      <c r="G404" s="409">
        <v>1.032</v>
      </c>
      <c r="H404" s="409">
        <v>1.0309999999999999</v>
      </c>
      <c r="L404" s="634"/>
    </row>
    <row r="405" spans="1:12">
      <c r="L405" s="634"/>
    </row>
    <row r="406" spans="1:12">
      <c r="L406" s="634"/>
    </row>
    <row r="407" spans="1:12">
      <c r="L407" s="634"/>
    </row>
    <row r="409" spans="1:12" ht="60" customHeight="1">
      <c r="A409" s="759">
        <v>1</v>
      </c>
      <c r="B409" s="1352" t="s">
        <v>566</v>
      </c>
      <c r="C409" s="1287"/>
      <c r="D409" s="1287"/>
      <c r="E409" s="1287"/>
      <c r="F409" s="1287"/>
      <c r="G409" s="1287"/>
      <c r="H409" s="1287"/>
    </row>
    <row r="411" spans="1:12">
      <c r="B411" s="731"/>
      <c r="C411" s="731"/>
      <c r="D411" s="731"/>
      <c r="E411" s="731"/>
      <c r="F411" s="776" t="s">
        <v>567</v>
      </c>
      <c r="G411" s="776" t="s">
        <v>567</v>
      </c>
      <c r="H411" s="776" t="s">
        <v>567</v>
      </c>
      <c r="I411" s="776" t="s">
        <v>567</v>
      </c>
      <c r="J411" s="776" t="s">
        <v>567</v>
      </c>
    </row>
    <row r="412" spans="1:12">
      <c r="B412" s="731"/>
      <c r="C412" s="731"/>
      <c r="D412" s="731"/>
      <c r="E412" s="731"/>
      <c r="F412" s="817">
        <v>1</v>
      </c>
      <c r="G412" s="817">
        <v>2</v>
      </c>
      <c r="H412" s="817">
        <v>3</v>
      </c>
      <c r="I412" s="817">
        <v>4</v>
      </c>
      <c r="J412" s="817">
        <v>5</v>
      </c>
    </row>
    <row r="413" spans="1:12" ht="63" customHeight="1">
      <c r="B413" s="1287" t="s">
        <v>568</v>
      </c>
      <c r="C413" s="1287"/>
      <c r="D413" s="1287"/>
      <c r="E413" s="774"/>
      <c r="F413" s="737">
        <f>D393</f>
        <v>2023</v>
      </c>
      <c r="G413" s="737">
        <f>E393</f>
        <v>2024</v>
      </c>
      <c r="H413" s="737">
        <f>F393</f>
        <v>2025</v>
      </c>
      <c r="I413" s="737">
        <f>G393</f>
        <v>2026</v>
      </c>
      <c r="J413" s="737">
        <f>H393</f>
        <v>2027</v>
      </c>
    </row>
    <row r="414" spans="1:12">
      <c r="B414" s="731"/>
      <c r="C414" s="731"/>
      <c r="D414" s="731"/>
      <c r="E414" s="731"/>
      <c r="F414" s="731"/>
      <c r="G414" s="731"/>
      <c r="H414" s="731"/>
      <c r="I414" s="731"/>
      <c r="J414" s="731"/>
    </row>
    <row r="415" spans="1:12" ht="21" customHeight="1">
      <c r="B415" s="1166" t="s">
        <v>569</v>
      </c>
      <c r="C415" s="1166"/>
      <c r="D415" s="1166"/>
      <c r="E415" s="1166"/>
      <c r="F415" s="215"/>
      <c r="G415" s="411">
        <f>E395</f>
        <v>1.0245</v>
      </c>
      <c r="H415" s="411">
        <f>F395</f>
        <v>1.0245</v>
      </c>
      <c r="I415" s="411">
        <f>G395</f>
        <v>1.0245</v>
      </c>
      <c r="J415" s="411">
        <f>H395</f>
        <v>1.0245</v>
      </c>
    </row>
    <row r="416" spans="1:12" ht="21" customHeight="1">
      <c r="B416" s="1166" t="s">
        <v>570</v>
      </c>
      <c r="C416" s="1166"/>
      <c r="D416" s="1166"/>
      <c r="E416" s="1166"/>
      <c r="F416" s="215"/>
      <c r="G416" s="411">
        <f>E395</f>
        <v>1.0245</v>
      </c>
      <c r="H416" s="411">
        <f>F395</f>
        <v>1.0245</v>
      </c>
      <c r="I416" s="411">
        <f>G395</f>
        <v>1.0245</v>
      </c>
      <c r="J416" s="411">
        <f>H395</f>
        <v>1.0245</v>
      </c>
    </row>
    <row r="417" spans="2:10" ht="21" customHeight="1">
      <c r="B417" s="1166" t="s">
        <v>571</v>
      </c>
      <c r="C417" s="1166"/>
      <c r="D417" s="1166"/>
      <c r="E417" s="1166"/>
      <c r="F417" s="215"/>
      <c r="G417" s="411">
        <f>+E395</f>
        <v>1.0245</v>
      </c>
      <c r="H417" s="411">
        <f t="shared" ref="H417:J417" si="55">+F395</f>
        <v>1.0245</v>
      </c>
      <c r="I417" s="411">
        <f t="shared" si="55"/>
        <v>1.0245</v>
      </c>
      <c r="J417" s="411">
        <f t="shared" si="55"/>
        <v>1.0245</v>
      </c>
    </row>
    <row r="418" spans="2:10" ht="21" customHeight="1">
      <c r="B418" s="1166" t="s">
        <v>572</v>
      </c>
      <c r="C418" s="1166"/>
      <c r="D418" s="1166"/>
      <c r="E418" s="1166"/>
      <c r="F418" s="215"/>
      <c r="G418" s="411">
        <f>E398</f>
        <v>1.0069999999999999</v>
      </c>
      <c r="H418" s="411">
        <f>F398</f>
        <v>1.008</v>
      </c>
      <c r="I418" s="411">
        <f>G398</f>
        <v>1.0089999999999999</v>
      </c>
      <c r="J418" s="411">
        <f>H398</f>
        <v>1.01</v>
      </c>
    </row>
    <row r="419" spans="2:10">
      <c r="B419" s="1166" t="s">
        <v>573</v>
      </c>
      <c r="C419" s="1166"/>
      <c r="D419" s="1166"/>
      <c r="E419" s="1166"/>
      <c r="F419" s="215"/>
      <c r="G419" s="411">
        <f>E398</f>
        <v>1.0069999999999999</v>
      </c>
      <c r="H419" s="411">
        <f>F398</f>
        <v>1.008</v>
      </c>
      <c r="I419" s="411">
        <f>G398</f>
        <v>1.0089999999999999</v>
      </c>
      <c r="J419" s="411">
        <f>H398</f>
        <v>1.01</v>
      </c>
    </row>
    <row r="420" spans="2:10">
      <c r="B420" s="1166" t="s">
        <v>574</v>
      </c>
      <c r="C420" s="1166"/>
      <c r="D420" s="1166"/>
      <c r="E420" s="1166"/>
      <c r="F420" s="215"/>
      <c r="G420" s="411">
        <f>+E398</f>
        <v>1.0069999999999999</v>
      </c>
      <c r="H420" s="411">
        <f t="shared" ref="H420:J420" si="56">+F398</f>
        <v>1.008</v>
      </c>
      <c r="I420" s="411">
        <f t="shared" si="56"/>
        <v>1.0089999999999999</v>
      </c>
      <c r="J420" s="411">
        <f t="shared" si="56"/>
        <v>1.01</v>
      </c>
    </row>
    <row r="421" spans="2:10">
      <c r="B421" s="215"/>
      <c r="C421" s="215"/>
      <c r="D421" s="215"/>
      <c r="E421" s="215"/>
      <c r="F421" s="215"/>
      <c r="G421" s="412"/>
      <c r="H421" s="412"/>
      <c r="I421" s="412"/>
      <c r="J421" s="412"/>
    </row>
    <row r="422" spans="2:10" ht="42" customHeight="1">
      <c r="B422" s="1287" t="s">
        <v>575</v>
      </c>
      <c r="C422" s="1287"/>
      <c r="D422" s="731"/>
      <c r="E422" s="731"/>
      <c r="F422" s="731"/>
      <c r="G422" s="731"/>
      <c r="H422" s="731"/>
      <c r="I422" s="731"/>
      <c r="J422" s="731"/>
    </row>
    <row r="423" spans="2:10" ht="37.5">
      <c r="B423" s="1167" t="s">
        <v>536</v>
      </c>
      <c r="C423" s="1167"/>
      <c r="D423" s="1167"/>
      <c r="E423" s="413" t="s">
        <v>576</v>
      </c>
      <c r="F423" s="987">
        <v>287.97599999999994</v>
      </c>
      <c r="G423" s="987">
        <v>297.09663188399992</v>
      </c>
      <c r="H423" s="987">
        <v>306.81050336007917</v>
      </c>
      <c r="I423" s="987">
        <v>317.15630693863267</v>
      </c>
      <c r="J423" s="987">
        <v>328.17590282321544</v>
      </c>
    </row>
    <row r="424" spans="2:10" ht="37.5">
      <c r="B424" s="1167" t="s">
        <v>538</v>
      </c>
      <c r="C424" s="1167"/>
      <c r="D424" s="1167"/>
      <c r="E424" s="413" t="s">
        <v>577</v>
      </c>
      <c r="F424" s="987">
        <v>383.99640000000005</v>
      </c>
      <c r="G424" s="987">
        <v>396.1581419826</v>
      </c>
      <c r="H424" s="987">
        <v>409.11092859286305</v>
      </c>
      <c r="I424" s="987">
        <v>422.90635366047866</v>
      </c>
      <c r="J424" s="987">
        <v>437.60023491841201</v>
      </c>
    </row>
    <row r="425" spans="2:10" ht="37.5">
      <c r="B425" s="1167" t="s">
        <v>380</v>
      </c>
      <c r="C425" s="1167"/>
      <c r="D425" s="1167"/>
      <c r="E425" s="413" t="s">
        <v>578</v>
      </c>
      <c r="F425" s="987">
        <v>180.02759999999998</v>
      </c>
      <c r="G425" s="987">
        <v>185.72934413339993</v>
      </c>
      <c r="H425" s="987">
        <v>191.80195076918557</v>
      </c>
      <c r="I425" s="987">
        <v>198.26960845009788</v>
      </c>
      <c r="J425" s="987">
        <v>205.15848599569654</v>
      </c>
    </row>
    <row r="426" spans="2:10">
      <c r="B426" s="731"/>
      <c r="C426" s="731"/>
      <c r="D426" s="731"/>
      <c r="E426" s="731"/>
      <c r="F426" s="731"/>
      <c r="G426" s="731"/>
      <c r="H426" s="731"/>
      <c r="I426" s="731"/>
      <c r="J426" s="731"/>
    </row>
    <row r="427" spans="2:10" ht="63" customHeight="1">
      <c r="B427" s="1287" t="s">
        <v>579</v>
      </c>
      <c r="C427" s="1287"/>
      <c r="D427" s="1287"/>
      <c r="E427" s="731"/>
      <c r="F427" s="731"/>
      <c r="G427" s="731"/>
      <c r="H427" s="731"/>
      <c r="I427" s="731"/>
      <c r="J427" s="731"/>
    </row>
    <row r="428" spans="2:10">
      <c r="B428" s="731"/>
      <c r="C428" s="731"/>
      <c r="D428" s="731"/>
      <c r="E428" s="731"/>
      <c r="F428" s="731"/>
      <c r="G428" s="731"/>
      <c r="H428" s="731"/>
      <c r="I428" s="731"/>
      <c r="J428" s="731"/>
    </row>
    <row r="429" spans="2:10" ht="21" customHeight="1">
      <c r="B429" s="1166" t="s">
        <v>827</v>
      </c>
      <c r="C429" s="1166"/>
      <c r="D429" s="1166"/>
      <c r="E429" s="1166"/>
      <c r="F429" s="215"/>
      <c r="G429" s="414">
        <f>E401</f>
        <v>1.03</v>
      </c>
      <c r="H429" s="414">
        <f>F401</f>
        <v>1.0349999999999999</v>
      </c>
      <c r="I429" s="414">
        <f>G401</f>
        <v>1.0349999999999999</v>
      </c>
      <c r="J429" s="414">
        <f>H401</f>
        <v>1.0325</v>
      </c>
    </row>
    <row r="430" spans="2:10" ht="21" customHeight="1">
      <c r="B430" s="1166" t="s">
        <v>825</v>
      </c>
      <c r="C430" s="1166"/>
      <c r="D430" s="1166"/>
      <c r="E430" s="1166"/>
      <c r="F430" s="215"/>
      <c r="G430" s="414">
        <f>E401</f>
        <v>1.03</v>
      </c>
      <c r="H430" s="414">
        <f>F401</f>
        <v>1.0349999999999999</v>
      </c>
      <c r="I430" s="414">
        <f>G401</f>
        <v>1.0349999999999999</v>
      </c>
      <c r="J430" s="414">
        <f>H401</f>
        <v>1.0325</v>
      </c>
    </row>
    <row r="431" spans="2:10" ht="21" customHeight="1">
      <c r="B431" s="1166" t="s">
        <v>826</v>
      </c>
      <c r="C431" s="1166"/>
      <c r="D431" s="1166"/>
      <c r="E431" s="1166"/>
      <c r="F431" s="215"/>
      <c r="G431" s="414">
        <f>+E401</f>
        <v>1.03</v>
      </c>
      <c r="H431" s="414">
        <f t="shared" ref="H431:J431" si="57">+F401</f>
        <v>1.0349999999999999</v>
      </c>
      <c r="I431" s="414">
        <f t="shared" si="57"/>
        <v>1.0349999999999999</v>
      </c>
      <c r="J431" s="414">
        <f t="shared" si="57"/>
        <v>1.0325</v>
      </c>
    </row>
    <row r="432" spans="2:10">
      <c r="B432" s="731"/>
      <c r="C432" s="731"/>
      <c r="D432" s="731"/>
      <c r="E432" s="731"/>
      <c r="F432" s="731"/>
      <c r="G432" s="818"/>
      <c r="H432" s="818"/>
      <c r="I432" s="818"/>
      <c r="J432" s="818"/>
    </row>
    <row r="433" spans="1:11" ht="37.5" customHeight="1">
      <c r="B433" s="1156" t="s">
        <v>581</v>
      </c>
      <c r="C433" s="1156"/>
      <c r="D433" s="1156"/>
      <c r="E433" s="413" t="s">
        <v>576</v>
      </c>
      <c r="F433" s="416">
        <f>C19</f>
        <v>2048.5</v>
      </c>
      <c r="G433" s="416">
        <f>F433*G429</f>
        <v>2109.9549999999999</v>
      </c>
      <c r="H433" s="416">
        <f t="shared" ref="H433:J433" si="58">G433*H429</f>
        <v>2183.8034249999996</v>
      </c>
      <c r="I433" s="416">
        <f t="shared" si="58"/>
        <v>2260.2365448749993</v>
      </c>
      <c r="J433" s="416">
        <f t="shared" si="58"/>
        <v>2333.6942325834366</v>
      </c>
    </row>
    <row r="434" spans="1:11" ht="37.5" customHeight="1">
      <c r="B434" s="1156" t="s">
        <v>580</v>
      </c>
      <c r="C434" s="1156"/>
      <c r="D434" s="1156"/>
      <c r="E434" s="413" t="s">
        <v>577</v>
      </c>
      <c r="F434" s="416">
        <f>D19</f>
        <v>1311</v>
      </c>
      <c r="G434" s="416">
        <f t="shared" ref="G434:J435" si="59">F434*G430</f>
        <v>1350.33</v>
      </c>
      <c r="H434" s="416">
        <f t="shared" si="59"/>
        <v>1397.5915499999999</v>
      </c>
      <c r="I434" s="416">
        <f t="shared" si="59"/>
        <v>1446.5072542499997</v>
      </c>
      <c r="J434" s="416">
        <f t="shared" si="59"/>
        <v>1493.5187400131247</v>
      </c>
    </row>
    <row r="435" spans="1:11" ht="37.5" customHeight="1">
      <c r="B435" s="1156" t="s">
        <v>582</v>
      </c>
      <c r="C435" s="1156"/>
      <c r="D435" s="1156"/>
      <c r="E435" s="413" t="s">
        <v>578</v>
      </c>
      <c r="F435" s="416">
        <f>G19</f>
        <v>783.33333333333337</v>
      </c>
      <c r="G435" s="416">
        <f t="shared" si="59"/>
        <v>806.83333333333337</v>
      </c>
      <c r="H435" s="416">
        <f t="shared" si="59"/>
        <v>835.07249999999999</v>
      </c>
      <c r="I435" s="416">
        <f t="shared" si="59"/>
        <v>864.30003749999992</v>
      </c>
      <c r="J435" s="416">
        <f t="shared" si="59"/>
        <v>892.38978871874986</v>
      </c>
    </row>
    <row r="436" spans="1:11">
      <c r="B436" s="819"/>
      <c r="C436" s="819"/>
      <c r="D436" s="819"/>
      <c r="E436" s="819"/>
      <c r="F436" s="820"/>
      <c r="G436" s="820"/>
      <c r="H436" s="820"/>
      <c r="I436" s="820"/>
      <c r="J436" s="820"/>
    </row>
    <row r="437" spans="1:11" ht="58.5" customHeight="1">
      <c r="B437" s="1306" t="s">
        <v>583</v>
      </c>
      <c r="C437" s="1307"/>
      <c r="D437" s="1307"/>
      <c r="E437" s="1307"/>
      <c r="F437" s="1307"/>
      <c r="G437" s="1307"/>
      <c r="H437" s="1307"/>
      <c r="I437" s="1307"/>
      <c r="J437" s="1308"/>
    </row>
    <row r="438" spans="1:11">
      <c r="B438" s="821"/>
      <c r="C438" s="821"/>
      <c r="D438" s="821"/>
      <c r="E438" s="821"/>
      <c r="F438" s="822" t="s">
        <v>521</v>
      </c>
      <c r="G438" s="822" t="s">
        <v>521</v>
      </c>
      <c r="H438" s="822" t="s">
        <v>521</v>
      </c>
      <c r="I438" s="823" t="s">
        <v>521</v>
      </c>
      <c r="J438" s="823" t="s">
        <v>521</v>
      </c>
    </row>
    <row r="439" spans="1:11" ht="84" customHeight="1">
      <c r="B439" s="1309" t="s">
        <v>584</v>
      </c>
      <c r="C439" s="1309"/>
      <c r="D439" s="1309"/>
      <c r="E439" s="1309"/>
      <c r="F439" s="742">
        <f>F413</f>
        <v>2023</v>
      </c>
      <c r="G439" s="742">
        <f>G413</f>
        <v>2024</v>
      </c>
      <c r="H439" s="742">
        <f>H413</f>
        <v>2025</v>
      </c>
      <c r="I439" s="742">
        <f>I413</f>
        <v>2026</v>
      </c>
      <c r="J439" s="742">
        <f>J413</f>
        <v>2027</v>
      </c>
    </row>
    <row r="440" spans="1:11">
      <c r="B440" s="1162" t="s">
        <v>538</v>
      </c>
      <c r="C440" s="1163"/>
      <c r="D440" s="1163"/>
      <c r="E440" s="1164"/>
      <c r="F440" s="283">
        <f>P208</f>
        <v>589918.83600000001</v>
      </c>
      <c r="G440" s="283">
        <f>G423*G433</f>
        <v>626860.52392680501</v>
      </c>
      <c r="H440" s="283">
        <f t="shared" ref="H440:J440" si="60">H423*H433</f>
        <v>670013.82806371478</v>
      </c>
      <c r="I440" s="283">
        <f t="shared" si="60"/>
        <v>716848.27538028988</v>
      </c>
      <c r="J440" s="283">
        <f t="shared" si="60"/>
        <v>765862.21169140027</v>
      </c>
    </row>
    <row r="441" spans="1:11">
      <c r="B441" s="1162" t="s">
        <v>536</v>
      </c>
      <c r="C441" s="1163"/>
      <c r="D441" s="1163"/>
      <c r="E441" s="1164"/>
      <c r="F441" s="283">
        <f>P209</f>
        <v>503419.28040000005</v>
      </c>
      <c r="G441" s="283">
        <f t="shared" ref="G441:J442" si="61">G424*G434</f>
        <v>534944.2238633642</v>
      </c>
      <c r="H441" s="283">
        <f t="shared" si="61"/>
        <v>571769.9768140387</v>
      </c>
      <c r="I441" s="283">
        <f t="shared" si="61"/>
        <v>611737.10843829834</v>
      </c>
      <c r="J441" s="283">
        <f t="shared" si="61"/>
        <v>653564.1514847941</v>
      </c>
    </row>
    <row r="442" spans="1:11">
      <c r="B442" s="1162" t="s">
        <v>830</v>
      </c>
      <c r="C442" s="1163"/>
      <c r="D442" s="1163"/>
      <c r="E442" s="1164"/>
      <c r="F442" s="283">
        <f>P210</f>
        <v>141021.62000000002</v>
      </c>
      <c r="G442" s="283">
        <f t="shared" si="61"/>
        <v>149852.62582496487</v>
      </c>
      <c r="H442" s="283">
        <f t="shared" si="61"/>
        <v>160168.5345337007</v>
      </c>
      <c r="I442" s="283">
        <f t="shared" si="61"/>
        <v>171364.43001852991</v>
      </c>
      <c r="J442" s="283">
        <f t="shared" si="61"/>
        <v>183081.33797155824</v>
      </c>
    </row>
    <row r="443" spans="1:11" ht="42" customHeight="1">
      <c r="B443" s="1152" t="s">
        <v>585</v>
      </c>
      <c r="C443" s="1153"/>
      <c r="D443" s="1153"/>
      <c r="E443" s="1154"/>
      <c r="F443" s="283">
        <f>SUM(F440:F442)</f>
        <v>1234359.7364000003</v>
      </c>
      <c r="G443" s="283">
        <f>SUM(G440:G442)</f>
        <v>1311657.373615134</v>
      </c>
      <c r="H443" s="283">
        <f t="shared" ref="H443:J443" si="62">SUM(H440:H442)</f>
        <v>1401952.339411454</v>
      </c>
      <c r="I443" s="283">
        <f t="shared" si="62"/>
        <v>1499949.8138371182</v>
      </c>
      <c r="J443" s="283">
        <f t="shared" si="62"/>
        <v>1602507.7011477528</v>
      </c>
    </row>
    <row r="444" spans="1:11">
      <c r="B444" s="731"/>
      <c r="C444" s="731"/>
      <c r="D444" s="731"/>
      <c r="E444" s="731"/>
      <c r="F444" s="731"/>
      <c r="G444" s="731"/>
      <c r="H444" s="731"/>
      <c r="I444" s="731"/>
      <c r="J444" s="731"/>
      <c r="K444" s="635" t="s">
        <v>586</v>
      </c>
    </row>
    <row r="445" spans="1:11">
      <c r="B445" s="731"/>
      <c r="C445" s="731"/>
      <c r="D445" s="731"/>
      <c r="E445" s="731"/>
      <c r="F445" s="731"/>
      <c r="G445" s="731"/>
      <c r="H445" s="731"/>
      <c r="I445" s="731"/>
      <c r="J445" s="731"/>
    </row>
    <row r="446" spans="1:11">
      <c r="B446" s="731"/>
      <c r="C446" s="731"/>
      <c r="D446" s="731"/>
      <c r="E446" s="731"/>
      <c r="F446" s="731"/>
      <c r="G446" s="731"/>
      <c r="H446" s="731"/>
      <c r="I446" s="731"/>
      <c r="J446" s="731"/>
    </row>
    <row r="447" spans="1:11">
      <c r="B447" s="731"/>
      <c r="C447" s="731"/>
      <c r="D447" s="731"/>
      <c r="E447" s="731"/>
      <c r="F447" s="731"/>
      <c r="G447" s="731"/>
      <c r="H447" s="731"/>
      <c r="I447" s="731"/>
      <c r="J447" s="731"/>
    </row>
    <row r="448" spans="1:11" ht="59.25" customHeight="1">
      <c r="A448" s="759">
        <v>2</v>
      </c>
      <c r="B448" s="1289" t="s">
        <v>587</v>
      </c>
      <c r="C448" s="1289"/>
      <c r="D448" s="1289"/>
      <c r="E448" s="1289"/>
      <c r="F448" s="1289"/>
      <c r="G448" s="1289"/>
      <c r="H448" s="1289"/>
      <c r="I448" s="1289"/>
      <c r="J448" s="1289"/>
    </row>
    <row r="449" spans="2:10">
      <c r="B449" s="761"/>
      <c r="C449" s="761"/>
      <c r="D449" s="761"/>
      <c r="E449" s="761"/>
      <c r="F449" s="634"/>
    </row>
    <row r="450" spans="2:10">
      <c r="B450" s="819"/>
      <c r="C450" s="819"/>
      <c r="D450" s="819"/>
      <c r="E450" s="819"/>
      <c r="F450" s="824" t="s">
        <v>521</v>
      </c>
      <c r="G450" s="824" t="s">
        <v>521</v>
      </c>
      <c r="H450" s="824" t="s">
        <v>521</v>
      </c>
      <c r="I450" s="824" t="s">
        <v>521</v>
      </c>
      <c r="J450" s="824" t="s">
        <v>521</v>
      </c>
    </row>
    <row r="451" spans="2:10">
      <c r="B451" s="819"/>
      <c r="C451" s="819"/>
      <c r="D451" s="819"/>
      <c r="E451" s="819"/>
      <c r="F451" s="825">
        <v>1</v>
      </c>
      <c r="G451" s="825">
        <v>2</v>
      </c>
      <c r="H451" s="825">
        <v>3</v>
      </c>
      <c r="I451" s="825">
        <v>4</v>
      </c>
      <c r="J451" s="825">
        <v>5</v>
      </c>
    </row>
    <row r="452" spans="2:10">
      <c r="B452" s="819"/>
      <c r="C452" s="819"/>
      <c r="D452" s="819"/>
      <c r="E452" s="819"/>
      <c r="F452" s="776">
        <f>F439</f>
        <v>2023</v>
      </c>
      <c r="G452" s="776">
        <f>G439</f>
        <v>2024</v>
      </c>
      <c r="H452" s="776">
        <f>H439</f>
        <v>2025</v>
      </c>
      <c r="I452" s="776">
        <f>I439</f>
        <v>2026</v>
      </c>
      <c r="J452" s="776">
        <f>J439</f>
        <v>2027</v>
      </c>
    </row>
    <row r="453" spans="2:10" ht="21" customHeight="1">
      <c r="B453" s="1156" t="s">
        <v>828</v>
      </c>
      <c r="C453" s="1156"/>
      <c r="D453" s="1156"/>
      <c r="E453" s="1156"/>
      <c r="F453" s="986">
        <f t="shared" ref="F453:J454" si="63">F423</f>
        <v>287.97599999999994</v>
      </c>
      <c r="G453" s="986">
        <f t="shared" si="63"/>
        <v>297.09663188399992</v>
      </c>
      <c r="H453" s="986">
        <f t="shared" si="63"/>
        <v>306.81050336007917</v>
      </c>
      <c r="I453" s="986">
        <f t="shared" si="63"/>
        <v>317.15630693863267</v>
      </c>
      <c r="J453" s="986">
        <f t="shared" si="63"/>
        <v>328.17590282321544</v>
      </c>
    </row>
    <row r="454" spans="2:10" ht="21" customHeight="1">
      <c r="B454" s="1156" t="s">
        <v>588</v>
      </c>
      <c r="C454" s="1156"/>
      <c r="D454" s="1156"/>
      <c r="E454" s="1156"/>
      <c r="F454" s="986">
        <f t="shared" si="63"/>
        <v>383.99640000000005</v>
      </c>
      <c r="G454" s="986">
        <f t="shared" si="63"/>
        <v>396.1581419826</v>
      </c>
      <c r="H454" s="986">
        <f t="shared" si="63"/>
        <v>409.11092859286305</v>
      </c>
      <c r="I454" s="986">
        <f t="shared" si="63"/>
        <v>422.90635366047866</v>
      </c>
      <c r="J454" s="986">
        <f t="shared" si="63"/>
        <v>437.60023491841201</v>
      </c>
    </row>
    <row r="455" spans="2:10" ht="21" customHeight="1">
      <c r="B455" s="1156" t="s">
        <v>589</v>
      </c>
      <c r="C455" s="1156"/>
      <c r="D455" s="1156"/>
      <c r="E455" s="1156"/>
      <c r="F455" s="986">
        <f>+F425</f>
        <v>180.02759999999998</v>
      </c>
      <c r="G455" s="986">
        <f t="shared" ref="G455:J455" si="64">+G425</f>
        <v>185.72934413339993</v>
      </c>
      <c r="H455" s="986">
        <f t="shared" si="64"/>
        <v>191.80195076918557</v>
      </c>
      <c r="I455" s="986">
        <f t="shared" si="64"/>
        <v>198.26960845009788</v>
      </c>
      <c r="J455" s="986">
        <f t="shared" si="64"/>
        <v>205.15848599569654</v>
      </c>
    </row>
    <row r="456" spans="2:10">
      <c r="B456" s="819"/>
      <c r="C456" s="819"/>
      <c r="D456" s="819"/>
      <c r="E456" s="819"/>
      <c r="F456" s="826"/>
      <c r="G456" s="826"/>
      <c r="H456" s="826"/>
      <c r="I456" s="826"/>
      <c r="J456" s="826"/>
    </row>
    <row r="457" spans="2:10">
      <c r="B457" s="1350" t="s">
        <v>590</v>
      </c>
      <c r="C457" s="1350"/>
      <c r="D457" s="1350"/>
      <c r="E457" s="1351"/>
      <c r="F457" s="826"/>
      <c r="G457" s="826"/>
      <c r="H457" s="826"/>
      <c r="I457" s="826"/>
      <c r="J457" s="826"/>
    </row>
    <row r="458" spans="2:10">
      <c r="B458" s="819"/>
      <c r="C458" s="819"/>
      <c r="D458" s="819"/>
      <c r="E458" s="819"/>
      <c r="F458" s="799"/>
      <c r="G458" s="799"/>
      <c r="H458" s="799"/>
      <c r="I458" s="799"/>
      <c r="J458" s="799"/>
    </row>
    <row r="459" spans="2:10" ht="21" customHeight="1">
      <c r="B459" s="1156" t="s">
        <v>592</v>
      </c>
      <c r="C459" s="1156"/>
      <c r="D459" s="1156"/>
      <c r="E459" s="1156"/>
      <c r="F459" s="342"/>
      <c r="G459" s="282">
        <f>E404</f>
        <v>1.032</v>
      </c>
      <c r="H459" s="282">
        <f>F404</f>
        <v>1.0325</v>
      </c>
      <c r="I459" s="282">
        <f>G404</f>
        <v>1.032</v>
      </c>
      <c r="J459" s="282">
        <f>H404</f>
        <v>1.0309999999999999</v>
      </c>
    </row>
    <row r="460" spans="2:10" ht="21" customHeight="1">
      <c r="B460" s="1156" t="s">
        <v>591</v>
      </c>
      <c r="C460" s="1156"/>
      <c r="D460" s="1156"/>
      <c r="E460" s="1156"/>
      <c r="F460" s="342"/>
      <c r="G460" s="282">
        <f>E404</f>
        <v>1.032</v>
      </c>
      <c r="H460" s="282">
        <f>F404</f>
        <v>1.0325</v>
      </c>
      <c r="I460" s="282">
        <f>G404</f>
        <v>1.032</v>
      </c>
      <c r="J460" s="282">
        <f>H404</f>
        <v>1.0309999999999999</v>
      </c>
    </row>
    <row r="461" spans="2:10" ht="21" customHeight="1">
      <c r="B461" s="1156" t="s">
        <v>593</v>
      </c>
      <c r="C461" s="1156"/>
      <c r="D461" s="1156"/>
      <c r="E461" s="1156"/>
      <c r="F461" s="342"/>
      <c r="G461" s="282">
        <f>+E404</f>
        <v>1.032</v>
      </c>
      <c r="H461" s="282">
        <f>+F404</f>
        <v>1.0325</v>
      </c>
      <c r="I461" s="282">
        <f>+G404</f>
        <v>1.032</v>
      </c>
      <c r="J461" s="282">
        <f>+H404</f>
        <v>1.0309999999999999</v>
      </c>
    </row>
    <row r="462" spans="2:10">
      <c r="B462" s="819"/>
      <c r="C462" s="819"/>
      <c r="D462" s="819"/>
      <c r="E462" s="819"/>
      <c r="F462" s="803"/>
      <c r="G462" s="803"/>
      <c r="H462" s="803"/>
      <c r="I462" s="803"/>
      <c r="J462" s="803"/>
    </row>
    <row r="463" spans="2:10" ht="21" customHeight="1">
      <c r="B463" s="1156" t="s">
        <v>595</v>
      </c>
      <c r="C463" s="1156"/>
      <c r="D463" s="1156"/>
      <c r="E463" s="1156"/>
      <c r="F463" s="827">
        <f>D245</f>
        <v>1303.8</v>
      </c>
      <c r="G463" s="828">
        <f t="shared" ref="G463:J464" si="65">F463*G459</f>
        <v>1345.5216</v>
      </c>
      <c r="H463" s="828">
        <f t="shared" si="65"/>
        <v>1389.2510520000001</v>
      </c>
      <c r="I463" s="828">
        <f t="shared" si="65"/>
        <v>1433.707085664</v>
      </c>
      <c r="J463" s="828">
        <f t="shared" si="65"/>
        <v>1478.1520053195838</v>
      </c>
    </row>
    <row r="464" spans="2:10" ht="21" customHeight="1">
      <c r="B464" s="1156" t="s">
        <v>594</v>
      </c>
      <c r="C464" s="1156"/>
      <c r="D464" s="1156"/>
      <c r="E464" s="1156"/>
      <c r="F464" s="827">
        <f>D242</f>
        <v>803.8</v>
      </c>
      <c r="G464" s="828">
        <f t="shared" si="65"/>
        <v>829.52159999999992</v>
      </c>
      <c r="H464" s="828">
        <f t="shared" si="65"/>
        <v>856.48105199999986</v>
      </c>
      <c r="I464" s="828">
        <f t="shared" si="65"/>
        <v>883.88844566399985</v>
      </c>
      <c r="J464" s="828">
        <f t="shared" si="65"/>
        <v>911.28898747958374</v>
      </c>
    </row>
    <row r="465" spans="1:10" ht="21" customHeight="1">
      <c r="B465" s="1156" t="s">
        <v>596</v>
      </c>
      <c r="C465" s="1156"/>
      <c r="D465" s="1156"/>
      <c r="E465" s="1156"/>
      <c r="F465" s="827"/>
      <c r="G465" s="828"/>
      <c r="H465" s="828"/>
      <c r="I465" s="828"/>
      <c r="J465" s="828"/>
    </row>
    <row r="466" spans="1:10">
      <c r="B466" s="819"/>
      <c r="C466" s="819"/>
      <c r="D466" s="819"/>
      <c r="E466" s="819"/>
      <c r="F466" s="799"/>
      <c r="G466" s="829"/>
      <c r="H466" s="829"/>
      <c r="I466" s="829"/>
      <c r="J466" s="829"/>
    </row>
    <row r="467" spans="1:10" ht="66.75" customHeight="1">
      <c r="B467" s="1309" t="s">
        <v>597</v>
      </c>
      <c r="C467" s="1309"/>
      <c r="D467" s="1309"/>
      <c r="E467" s="1309"/>
      <c r="F467" s="742">
        <f>F452</f>
        <v>2023</v>
      </c>
      <c r="G467" s="742">
        <f>G452</f>
        <v>2024</v>
      </c>
      <c r="H467" s="742">
        <f>H452</f>
        <v>2025</v>
      </c>
      <c r="I467" s="742">
        <f>I452</f>
        <v>2026</v>
      </c>
      <c r="J467" s="742">
        <f>J452</f>
        <v>2027</v>
      </c>
    </row>
    <row r="468" spans="1:10" ht="21" customHeight="1">
      <c r="B468" s="1152" t="s">
        <v>599</v>
      </c>
      <c r="C468" s="1153"/>
      <c r="D468" s="1153"/>
      <c r="E468" s="1154"/>
      <c r="F468" s="212">
        <f t="shared" ref="F468:J469" si="66">F453*F463</f>
        <v>375463.10879999993</v>
      </c>
      <c r="G468" s="212">
        <f t="shared" si="66"/>
        <v>399749.93548717059</v>
      </c>
      <c r="H468" s="212">
        <f t="shared" si="66"/>
        <v>426236.81455763953</v>
      </c>
      <c r="I468" s="212">
        <f t="shared" si="66"/>
        <v>454709.24452094414</v>
      </c>
      <c r="J468" s="212">
        <f t="shared" si="66"/>
        <v>485093.86885570077</v>
      </c>
    </row>
    <row r="469" spans="1:10" ht="21" customHeight="1">
      <c r="B469" s="1152" t="s">
        <v>598</v>
      </c>
      <c r="C469" s="1153"/>
      <c r="D469" s="1153"/>
      <c r="E469" s="1154"/>
      <c r="F469" s="212">
        <f t="shared" si="66"/>
        <v>308656.30632000003</v>
      </c>
      <c r="G469" s="212">
        <f t="shared" si="66"/>
        <v>328621.73579043348</v>
      </c>
      <c r="H469" s="212">
        <f t="shared" si="66"/>
        <v>350395.75850591215</v>
      </c>
      <c r="I469" s="212">
        <f t="shared" si="66"/>
        <v>373802.03959839029</v>
      </c>
      <c r="J469" s="212">
        <f t="shared" si="66"/>
        <v>398780.27499962767</v>
      </c>
    </row>
    <row r="470" spans="1:10" ht="21" customHeight="1">
      <c r="B470" s="1152" t="s">
        <v>600</v>
      </c>
      <c r="C470" s="1153"/>
      <c r="D470" s="1153"/>
      <c r="E470" s="1154"/>
      <c r="F470" s="212">
        <f>+F455*F465</f>
        <v>0</v>
      </c>
      <c r="G470" s="212">
        <f t="shared" ref="G470:J470" si="67">+G455*G465</f>
        <v>0</v>
      </c>
      <c r="H470" s="212">
        <f t="shared" si="67"/>
        <v>0</v>
      </c>
      <c r="I470" s="212">
        <f t="shared" si="67"/>
        <v>0</v>
      </c>
      <c r="J470" s="212">
        <f t="shared" si="67"/>
        <v>0</v>
      </c>
    </row>
    <row r="471" spans="1:10" ht="42" customHeight="1">
      <c r="B471" s="1320" t="s">
        <v>601</v>
      </c>
      <c r="C471" s="1321"/>
      <c r="D471" s="1321"/>
      <c r="E471" s="1322"/>
      <c r="F471" s="785">
        <f>SUM(F468:F469)</f>
        <v>684119.41512000002</v>
      </c>
      <c r="G471" s="785">
        <f>SUM(G468:G469)</f>
        <v>728371.67127760407</v>
      </c>
      <c r="H471" s="785">
        <f>SUM(H468:H469)</f>
        <v>776632.57306355168</v>
      </c>
      <c r="I471" s="785">
        <f>SUM(I468:I469)</f>
        <v>828511.28411933442</v>
      </c>
      <c r="J471" s="785">
        <f>SUM(J468:J469)</f>
        <v>883874.14385532844</v>
      </c>
    </row>
    <row r="477" spans="1:10" ht="63" customHeight="1">
      <c r="A477" s="759">
        <v>3</v>
      </c>
      <c r="B477" s="1323" t="s">
        <v>602</v>
      </c>
      <c r="C477" s="1323"/>
      <c r="D477" s="1323"/>
      <c r="E477" s="1323"/>
      <c r="F477" s="1323"/>
      <c r="G477" s="1323"/>
      <c r="H477" s="1323"/>
      <c r="I477" s="1323"/>
      <c r="J477" s="830"/>
    </row>
    <row r="479" spans="1:10" ht="23.25">
      <c r="E479" s="831" t="str">
        <f t="shared" ref="E479:I481" si="68">F450</f>
        <v>año</v>
      </c>
      <c r="F479" s="831" t="str">
        <f t="shared" si="68"/>
        <v>año</v>
      </c>
      <c r="G479" s="831" t="str">
        <f t="shared" si="68"/>
        <v>año</v>
      </c>
      <c r="H479" s="831" t="str">
        <f t="shared" si="68"/>
        <v>año</v>
      </c>
      <c r="I479" s="831" t="str">
        <f t="shared" si="68"/>
        <v>año</v>
      </c>
    </row>
    <row r="480" spans="1:10" ht="23.25">
      <c r="E480" s="832">
        <f t="shared" si="68"/>
        <v>1</v>
      </c>
      <c r="F480" s="832">
        <f t="shared" si="68"/>
        <v>2</v>
      </c>
      <c r="G480" s="832">
        <f t="shared" si="68"/>
        <v>3</v>
      </c>
      <c r="H480" s="832">
        <f t="shared" si="68"/>
        <v>4</v>
      </c>
      <c r="I480" s="832">
        <f t="shared" si="68"/>
        <v>5</v>
      </c>
    </row>
    <row r="481" spans="1:9" ht="23.25">
      <c r="B481" s="833"/>
      <c r="C481" s="834"/>
      <c r="E481" s="745">
        <f t="shared" si="68"/>
        <v>2023</v>
      </c>
      <c r="F481" s="745">
        <f t="shared" si="68"/>
        <v>2024</v>
      </c>
      <c r="G481" s="745">
        <f t="shared" si="68"/>
        <v>2025</v>
      </c>
      <c r="H481" s="745">
        <f t="shared" si="68"/>
        <v>2026</v>
      </c>
      <c r="I481" s="745">
        <f t="shared" si="68"/>
        <v>2027</v>
      </c>
    </row>
    <row r="482" spans="1:9" ht="24" thickBot="1">
      <c r="B482" s="833"/>
      <c r="C482" s="834"/>
      <c r="E482" s="835"/>
      <c r="F482" s="835"/>
      <c r="G482" s="835"/>
      <c r="H482" s="835"/>
      <c r="I482" s="835"/>
    </row>
    <row r="483" spans="1:9" ht="84.75" customHeight="1" thickBot="1">
      <c r="A483" s="836" t="s">
        <v>803</v>
      </c>
      <c r="B483" s="1324" t="s">
        <v>603</v>
      </c>
      <c r="C483" s="1325"/>
      <c r="D483" s="1326"/>
      <c r="E483" s="837">
        <f>E481</f>
        <v>2023</v>
      </c>
      <c r="F483" s="837">
        <f t="shared" ref="F483:I483" si="69">F481</f>
        <v>2024</v>
      </c>
      <c r="G483" s="837">
        <f t="shared" si="69"/>
        <v>2025</v>
      </c>
      <c r="H483" s="837">
        <f t="shared" si="69"/>
        <v>2026</v>
      </c>
      <c r="I483" s="837">
        <f t="shared" si="69"/>
        <v>2027</v>
      </c>
    </row>
    <row r="484" spans="1:9" ht="23.25">
      <c r="A484" s="838">
        <v>1.0345</v>
      </c>
      <c r="B484" s="746" t="s">
        <v>469</v>
      </c>
      <c r="C484" s="739"/>
      <c r="D484" s="739"/>
      <c r="E484" s="839">
        <v>12097.987200000003</v>
      </c>
      <c r="F484" s="840">
        <v>12515.367758400003</v>
      </c>
      <c r="G484" s="840">
        <v>12947.147946064802</v>
      </c>
      <c r="H484" s="840">
        <v>13393.824550204037</v>
      </c>
      <c r="I484" s="840">
        <v>13855.911497186076</v>
      </c>
    </row>
    <row r="485" spans="1:9" ht="23.25">
      <c r="A485" s="838">
        <v>1.01</v>
      </c>
      <c r="B485" s="746" t="s">
        <v>470</v>
      </c>
      <c r="C485" s="739"/>
      <c r="D485" s="739"/>
      <c r="E485" s="839">
        <v>2400</v>
      </c>
      <c r="F485" s="840">
        <v>2424</v>
      </c>
      <c r="G485" s="840">
        <v>2448.2400000000002</v>
      </c>
      <c r="H485" s="840">
        <v>2472.7224000000001</v>
      </c>
      <c r="I485" s="840">
        <v>2497.4496240000003</v>
      </c>
    </row>
    <row r="486" spans="1:9" ht="23.25">
      <c r="A486" s="838">
        <v>1.04</v>
      </c>
      <c r="B486" s="746" t="s">
        <v>288</v>
      </c>
      <c r="C486" s="739"/>
      <c r="D486" s="739"/>
      <c r="E486" s="839">
        <v>12000</v>
      </c>
      <c r="F486" s="840">
        <v>12000</v>
      </c>
      <c r="G486" s="840">
        <v>12480</v>
      </c>
      <c r="H486" s="840">
        <v>12979.2</v>
      </c>
      <c r="I486" s="840">
        <v>13498.368</v>
      </c>
    </row>
    <row r="487" spans="1:9" ht="23.25">
      <c r="A487" s="838">
        <v>1.024</v>
      </c>
      <c r="B487" s="841" t="s">
        <v>471</v>
      </c>
      <c r="C487" s="739"/>
      <c r="D487" s="739"/>
      <c r="E487" s="839">
        <v>987</v>
      </c>
      <c r="F487" s="840">
        <v>987</v>
      </c>
      <c r="G487" s="840">
        <v>1010.688</v>
      </c>
      <c r="H487" s="840">
        <v>1034.944512</v>
      </c>
      <c r="I487" s="840">
        <v>1059.783180288</v>
      </c>
    </row>
    <row r="488" spans="1:9" ht="46.5">
      <c r="A488" s="838">
        <v>1.0349999999999999</v>
      </c>
      <c r="B488" s="746" t="s">
        <v>472</v>
      </c>
      <c r="C488" s="739"/>
      <c r="D488" s="739"/>
      <c r="E488" s="839">
        <v>1894.8000000000002</v>
      </c>
      <c r="F488" s="842">
        <v>1961.1179999999999</v>
      </c>
      <c r="G488" s="842">
        <v>2029.7571299999997</v>
      </c>
      <c r="H488" s="842">
        <v>2100.7986295499995</v>
      </c>
      <c r="I488" s="842">
        <v>2174.3265815842492</v>
      </c>
    </row>
    <row r="489" spans="1:9" ht="46.5">
      <c r="A489" s="838">
        <v>1.05</v>
      </c>
      <c r="B489" s="746" t="s">
        <v>289</v>
      </c>
      <c r="C489" s="739"/>
      <c r="D489" s="739"/>
      <c r="E489" s="839">
        <v>1000</v>
      </c>
      <c r="F489" s="840">
        <v>1050</v>
      </c>
      <c r="G489" s="840">
        <v>1102.5</v>
      </c>
      <c r="H489" s="840">
        <v>1157.625</v>
      </c>
      <c r="I489" s="840">
        <v>1215.5062500000001</v>
      </c>
    </row>
    <row r="490" spans="1:9" ht="23.25">
      <c r="A490" s="838">
        <v>1.04</v>
      </c>
      <c r="B490" s="746" t="s">
        <v>473</v>
      </c>
      <c r="C490" s="739"/>
      <c r="D490" s="739"/>
      <c r="E490" s="839">
        <v>21600</v>
      </c>
      <c r="F490" s="840">
        <v>21600</v>
      </c>
      <c r="G490" s="840">
        <v>22464</v>
      </c>
      <c r="H490" s="840">
        <v>23362.560000000001</v>
      </c>
      <c r="I490" s="840">
        <v>24297.062400000003</v>
      </c>
    </row>
    <row r="491" spans="1:9" ht="23.25">
      <c r="A491" s="838">
        <v>1.0249999999999999</v>
      </c>
      <c r="B491" s="746" t="s">
        <v>290</v>
      </c>
      <c r="C491" s="739"/>
      <c r="D491" s="739"/>
      <c r="E491" s="839">
        <v>121200</v>
      </c>
      <c r="F491" s="840">
        <v>124229.99999999999</v>
      </c>
      <c r="G491" s="840">
        <v>127335.74999999997</v>
      </c>
      <c r="H491" s="840">
        <v>130519.14374999996</v>
      </c>
      <c r="I491" s="840">
        <v>133782.12234374994</v>
      </c>
    </row>
    <row r="492" spans="1:9" ht="23.25">
      <c r="A492" s="838">
        <v>1.056</v>
      </c>
      <c r="B492" s="746" t="s">
        <v>291</v>
      </c>
      <c r="C492" s="739"/>
      <c r="D492" s="739"/>
      <c r="E492" s="839">
        <v>11304</v>
      </c>
      <c r="F492" s="840">
        <v>11937.024000000001</v>
      </c>
      <c r="G492" s="840">
        <v>12605.497344000001</v>
      </c>
      <c r="H492" s="840">
        <v>12605.497344000001</v>
      </c>
      <c r="I492" s="840">
        <v>13311.405195264002</v>
      </c>
    </row>
    <row r="493" spans="1:9" ht="23.25">
      <c r="A493" s="838">
        <v>1.03</v>
      </c>
      <c r="B493" s="746" t="s">
        <v>292</v>
      </c>
      <c r="C493" s="739"/>
      <c r="D493" s="739"/>
      <c r="E493" s="839">
        <v>14400</v>
      </c>
      <c r="F493" s="840">
        <v>14400</v>
      </c>
      <c r="G493" s="840">
        <v>14832</v>
      </c>
      <c r="H493" s="840">
        <v>15276.960000000001</v>
      </c>
      <c r="I493" s="840">
        <v>15735.268800000002</v>
      </c>
    </row>
    <row r="494" spans="1:9" ht="23.25">
      <c r="A494" s="838">
        <v>1.05</v>
      </c>
      <c r="B494" s="746" t="s">
        <v>474</v>
      </c>
      <c r="C494" s="739"/>
      <c r="D494" s="739"/>
      <c r="E494" s="839">
        <v>18000</v>
      </c>
      <c r="F494" s="840">
        <v>18900</v>
      </c>
      <c r="G494" s="840">
        <v>19845</v>
      </c>
      <c r="H494" s="840">
        <v>20837.25</v>
      </c>
      <c r="I494" s="840">
        <v>21879.112499999999</v>
      </c>
    </row>
    <row r="495" spans="1:9" ht="23.25">
      <c r="A495" s="838">
        <v>1.03</v>
      </c>
      <c r="B495" s="841" t="s">
        <v>475</v>
      </c>
      <c r="C495" s="739"/>
      <c r="D495" s="739"/>
      <c r="E495" s="839">
        <v>6000</v>
      </c>
      <c r="F495" s="840">
        <v>6000</v>
      </c>
      <c r="G495" s="840">
        <v>6180</v>
      </c>
      <c r="H495" s="840">
        <v>6365.4000000000005</v>
      </c>
      <c r="I495" s="840">
        <v>6556.362000000001</v>
      </c>
    </row>
    <row r="496" spans="1:9" ht="46.5">
      <c r="A496" s="913">
        <v>1.0149999999999999</v>
      </c>
      <c r="B496" s="841" t="s">
        <v>293</v>
      </c>
      <c r="C496" s="737"/>
      <c r="D496" s="739"/>
      <c r="E496" s="839">
        <v>6000</v>
      </c>
      <c r="F496" s="842">
        <v>6089.9999999999991</v>
      </c>
      <c r="G496" s="842">
        <v>6181.3499999999985</v>
      </c>
      <c r="H496" s="842">
        <v>6274.0702499999979</v>
      </c>
      <c r="I496" s="842">
        <v>6368.1813037499969</v>
      </c>
    </row>
    <row r="497" spans="1:10" ht="44.25" customHeight="1">
      <c r="A497" s="731"/>
      <c r="B497" s="1327" t="s">
        <v>604</v>
      </c>
      <c r="C497" s="1327"/>
      <c r="D497" s="1327"/>
      <c r="E497" s="843">
        <f>SUM(E484:E496)</f>
        <v>228883.78720000002</v>
      </c>
      <c r="F497" s="844">
        <f>SUM(F484:F496)</f>
        <v>234094.5097584</v>
      </c>
      <c r="G497" s="844">
        <f>SUM(G484:G496)</f>
        <v>241461.93042006477</v>
      </c>
      <c r="H497" s="844">
        <f>SUM(H484:H496)</f>
        <v>248379.99643575397</v>
      </c>
      <c r="I497" s="844">
        <f>SUM(I484:I496)</f>
        <v>256230.85967582226</v>
      </c>
    </row>
    <row r="498" spans="1:10" ht="23.25">
      <c r="A498" s="731"/>
      <c r="B498" s="739"/>
      <c r="C498" s="739"/>
      <c r="D498" s="739"/>
      <c r="E498" s="845">
        <f>E483</f>
        <v>2023</v>
      </c>
      <c r="F498" s="845">
        <f>F483</f>
        <v>2024</v>
      </c>
      <c r="G498" s="845">
        <f>G483</f>
        <v>2025</v>
      </c>
      <c r="H498" s="845">
        <f>H483</f>
        <v>2026</v>
      </c>
      <c r="I498" s="845">
        <f>I483</f>
        <v>2027</v>
      </c>
    </row>
    <row r="499" spans="1:10" ht="23.25">
      <c r="A499" s="731"/>
      <c r="B499" s="739" t="str">
        <f>B297</f>
        <v>DEPRECIACIÓN</v>
      </c>
      <c r="C499" s="739"/>
      <c r="D499" s="739"/>
      <c r="E499" s="839">
        <f>R297</f>
        <v>8849.1219999999994</v>
      </c>
      <c r="F499" s="840">
        <f t="shared" ref="F499:I500" si="70">E499</f>
        <v>8849.1219999999994</v>
      </c>
      <c r="G499" s="840">
        <f t="shared" si="70"/>
        <v>8849.1219999999994</v>
      </c>
      <c r="H499" s="840">
        <f t="shared" si="70"/>
        <v>8849.1219999999994</v>
      </c>
      <c r="I499" s="840">
        <f t="shared" si="70"/>
        <v>8849.1219999999994</v>
      </c>
    </row>
    <row r="500" spans="1:10" ht="23.25">
      <c r="A500" s="731"/>
      <c r="B500" s="739" t="str">
        <f>B298</f>
        <v>AMORTIZACIÓN</v>
      </c>
      <c r="C500" s="739"/>
      <c r="D500" s="739"/>
      <c r="E500" s="839">
        <f>R298</f>
        <v>542.15</v>
      </c>
      <c r="F500" s="840">
        <f t="shared" si="70"/>
        <v>542.15</v>
      </c>
      <c r="G500" s="840">
        <f t="shared" si="70"/>
        <v>542.15</v>
      </c>
      <c r="H500" s="840">
        <f t="shared" si="70"/>
        <v>542.15</v>
      </c>
      <c r="I500" s="840">
        <f t="shared" si="70"/>
        <v>542.15</v>
      </c>
    </row>
    <row r="501" spans="1:10" ht="23.25">
      <c r="A501" s="731"/>
      <c r="B501" s="739"/>
      <c r="C501" s="739"/>
      <c r="D501" s="739"/>
      <c r="E501" s="846"/>
      <c r="F501" s="847"/>
      <c r="G501" s="847"/>
      <c r="H501" s="847"/>
      <c r="I501" s="847"/>
    </row>
    <row r="502" spans="1:10" ht="23.25">
      <c r="A502" s="731"/>
      <c r="B502" s="1327" t="s">
        <v>605</v>
      </c>
      <c r="C502" s="1327"/>
      <c r="D502" s="1327"/>
      <c r="E502" s="848">
        <f>E497+E499+E500</f>
        <v>238275.05920000002</v>
      </c>
      <c r="F502" s="849">
        <f>F497+F499+F500</f>
        <v>243485.7817584</v>
      </c>
      <c r="G502" s="849">
        <f>G497+G499+G500</f>
        <v>250853.20242006477</v>
      </c>
      <c r="H502" s="849">
        <f>H497+H499+H500</f>
        <v>257771.26843575397</v>
      </c>
      <c r="I502" s="849">
        <f>I497+I499+I500</f>
        <v>265622.13167582225</v>
      </c>
    </row>
    <row r="503" spans="1:10">
      <c r="A503" s="731"/>
      <c r="B503" s="731"/>
      <c r="C503" s="731"/>
      <c r="D503" s="731"/>
      <c r="E503" s="789"/>
      <c r="F503" s="790"/>
      <c r="G503" s="790"/>
      <c r="H503" s="790"/>
      <c r="I503" s="790"/>
    </row>
    <row r="504" spans="1:10" ht="21.75" thickBot="1"/>
    <row r="505" spans="1:10" ht="41.25" customHeight="1" thickBot="1">
      <c r="A505" s="850">
        <v>4</v>
      </c>
      <c r="B505" s="1310" t="s">
        <v>606</v>
      </c>
      <c r="C505" s="1311"/>
      <c r="D505" s="1311"/>
      <c r="E505" s="1311"/>
      <c r="F505" s="1311"/>
      <c r="G505" s="1311"/>
      <c r="H505" s="1311"/>
      <c r="I505" s="1312"/>
      <c r="J505" s="807"/>
    </row>
    <row r="507" spans="1:10" ht="105" customHeight="1">
      <c r="A507" s="918" t="s">
        <v>803</v>
      </c>
      <c r="B507" s="1313" t="s">
        <v>607</v>
      </c>
      <c r="C507" s="1314"/>
      <c r="D507" s="1315"/>
      <c r="E507" s="851">
        <f>E481</f>
        <v>2023</v>
      </c>
      <c r="F507" s="742">
        <f>F481</f>
        <v>2024</v>
      </c>
      <c r="G507" s="742">
        <f>G481</f>
        <v>2025</v>
      </c>
      <c r="H507" s="742">
        <f>H481</f>
        <v>2026</v>
      </c>
      <c r="I507" s="742">
        <f>I481</f>
        <v>2027</v>
      </c>
    </row>
    <row r="508" spans="1:10">
      <c r="A508" s="852">
        <v>1.06</v>
      </c>
      <c r="B508" s="793" t="s">
        <v>485</v>
      </c>
      <c r="C508" s="739"/>
      <c r="D508" s="739"/>
      <c r="E508" s="853">
        <v>30000</v>
      </c>
      <c r="F508" s="793">
        <v>30000</v>
      </c>
      <c r="G508" s="793">
        <v>31800</v>
      </c>
      <c r="H508" s="793">
        <v>31800</v>
      </c>
      <c r="I508" s="793">
        <v>33708</v>
      </c>
    </row>
    <row r="509" spans="1:10">
      <c r="A509" s="852">
        <v>1.06</v>
      </c>
      <c r="B509" s="793" t="s">
        <v>486</v>
      </c>
      <c r="C509" s="739"/>
      <c r="D509" s="739"/>
      <c r="E509" s="853">
        <v>25200</v>
      </c>
      <c r="F509" s="793">
        <v>25200</v>
      </c>
      <c r="G509" s="793">
        <v>26712</v>
      </c>
      <c r="H509" s="793">
        <v>26712</v>
      </c>
      <c r="I509" s="793">
        <v>28314.720000000001</v>
      </c>
    </row>
    <row r="510" spans="1:10">
      <c r="A510" s="852">
        <v>1.04</v>
      </c>
      <c r="B510" s="793" t="s">
        <v>296</v>
      </c>
      <c r="C510" s="739"/>
      <c r="D510" s="739"/>
      <c r="E510" s="853">
        <v>14400</v>
      </c>
      <c r="F510" s="793">
        <v>14400</v>
      </c>
      <c r="G510" s="793">
        <v>14976</v>
      </c>
      <c r="H510" s="793">
        <v>14976</v>
      </c>
      <c r="I510" s="793">
        <v>15575.04</v>
      </c>
    </row>
    <row r="511" spans="1:10">
      <c r="A511" s="852">
        <v>1.02</v>
      </c>
      <c r="B511" s="793" t="s">
        <v>297</v>
      </c>
      <c r="C511" s="739"/>
      <c r="D511" s="739"/>
      <c r="E511" s="854">
        <v>11160</v>
      </c>
      <c r="F511" s="785">
        <v>11160</v>
      </c>
      <c r="G511" s="785">
        <v>11383.2</v>
      </c>
      <c r="H511" s="785">
        <v>11383.2</v>
      </c>
      <c r="I511" s="785">
        <v>11610.864000000001</v>
      </c>
    </row>
    <row r="512" spans="1:10" ht="42">
      <c r="A512" s="852">
        <v>1.06</v>
      </c>
      <c r="B512" s="793" t="s">
        <v>738</v>
      </c>
      <c r="C512" s="739"/>
      <c r="D512" s="739"/>
      <c r="E512" s="853">
        <v>22800</v>
      </c>
      <c r="F512" s="793">
        <v>22800</v>
      </c>
      <c r="G512" s="793">
        <v>24168</v>
      </c>
      <c r="H512" s="793">
        <v>24168</v>
      </c>
      <c r="I512" s="793">
        <v>25618.080000000002</v>
      </c>
    </row>
    <row r="513" spans="1:12">
      <c r="B513" s="1148" t="str">
        <f>B314</f>
        <v>SUB-TOTAL</v>
      </c>
      <c r="C513" s="1149"/>
      <c r="D513" s="1150"/>
      <c r="E513" s="453">
        <f>SUM(E508:E512)</f>
        <v>103560</v>
      </c>
      <c r="F513" s="454">
        <f>SUM(F508:F512)</f>
        <v>103560</v>
      </c>
      <c r="G513" s="454">
        <f>SUM(G508:G512)</f>
        <v>109039.2</v>
      </c>
      <c r="H513" s="454">
        <f>SUM(H508:H512)</f>
        <v>109039.2</v>
      </c>
      <c r="I513" s="454">
        <f>SUM(I508:I512)</f>
        <v>114826.70400000001</v>
      </c>
    </row>
    <row r="514" spans="1:12">
      <c r="B514" s="455" t="str">
        <f>B316</f>
        <v>Gratificación julio</v>
      </c>
      <c r="C514" s="218"/>
      <c r="D514" s="1120" t="s">
        <v>804</v>
      </c>
      <c r="E514" s="452">
        <f>(E513/12)*50%</f>
        <v>4315</v>
      </c>
      <c r="F514" s="452">
        <f>(F513/12)*50%</f>
        <v>4315</v>
      </c>
      <c r="G514" s="452">
        <f>(G513/12)*50%</f>
        <v>4543.3</v>
      </c>
      <c r="H514" s="452">
        <f>(H513/12)*50%</f>
        <v>4543.3</v>
      </c>
      <c r="I514" s="452">
        <f>(I513/12)*50%</f>
        <v>4784.4460000000008</v>
      </c>
    </row>
    <row r="515" spans="1:12">
      <c r="B515" s="455" t="str">
        <f>B317</f>
        <v>Gratifica. diciembre</v>
      </c>
      <c r="C515" s="218"/>
      <c r="D515" s="1120"/>
      <c r="E515" s="452">
        <f>E514</f>
        <v>4315</v>
      </c>
      <c r="F515" s="283">
        <f t="shared" ref="F515:I516" si="71">F514</f>
        <v>4315</v>
      </c>
      <c r="G515" s="283">
        <f t="shared" si="71"/>
        <v>4543.3</v>
      </c>
      <c r="H515" s="283">
        <f t="shared" si="71"/>
        <v>4543.3</v>
      </c>
      <c r="I515" s="283">
        <f t="shared" si="71"/>
        <v>4784.4460000000008</v>
      </c>
    </row>
    <row r="516" spans="1:12">
      <c r="B516" s="455" t="str">
        <f>B318</f>
        <v>CTS</v>
      </c>
      <c r="C516" s="218"/>
      <c r="D516" s="1120"/>
      <c r="E516" s="452">
        <f>E515</f>
        <v>4315</v>
      </c>
      <c r="F516" s="283">
        <f t="shared" si="71"/>
        <v>4315</v>
      </c>
      <c r="G516" s="283">
        <f t="shared" si="71"/>
        <v>4543.3</v>
      </c>
      <c r="H516" s="283">
        <f t="shared" si="71"/>
        <v>4543.3</v>
      </c>
      <c r="I516" s="283">
        <f t="shared" si="71"/>
        <v>4784.4460000000008</v>
      </c>
    </row>
    <row r="517" spans="1:12">
      <c r="B517" s="455" t="str">
        <f>B319</f>
        <v>ESSALUD/SIS</v>
      </c>
      <c r="C517" s="250">
        <v>60</v>
      </c>
      <c r="D517" s="1120"/>
      <c r="E517" s="452">
        <f>Q319</f>
        <v>2160</v>
      </c>
      <c r="F517" s="283">
        <f>E517</f>
        <v>2160</v>
      </c>
      <c r="G517" s="283">
        <f>F517</f>
        <v>2160</v>
      </c>
      <c r="H517" s="283">
        <f>G517</f>
        <v>2160</v>
      </c>
      <c r="I517" s="283">
        <f>H517</f>
        <v>2160</v>
      </c>
    </row>
    <row r="518" spans="1:12">
      <c r="B518" s="455" t="str">
        <f>B320</f>
        <v>Vacaciones</v>
      </c>
      <c r="C518" s="218"/>
      <c r="D518" s="1120"/>
      <c r="E518" s="452">
        <f>((E513/12))*50%</f>
        <v>4315</v>
      </c>
      <c r="F518" s="452">
        <f>(F513/12)*50%</f>
        <v>4315</v>
      </c>
      <c r="G518" s="452">
        <f>(G513/12)*50%</f>
        <v>4543.3</v>
      </c>
      <c r="H518" s="452">
        <f>(H513/12)*50%</f>
        <v>4543.3</v>
      </c>
      <c r="I518" s="452">
        <f>(I513/12)*50%</f>
        <v>4784.4460000000008</v>
      </c>
    </row>
    <row r="519" spans="1:12" ht="42" customHeight="1">
      <c r="B519" s="1316" t="s">
        <v>608</v>
      </c>
      <c r="C519" s="1316"/>
      <c r="D519" s="1316"/>
      <c r="E519" s="855">
        <f>SUM(E513:E518)</f>
        <v>122980</v>
      </c>
      <c r="F519" s="856">
        <f>SUM(F513:F518)</f>
        <v>122980</v>
      </c>
      <c r="G519" s="856">
        <f>SUM(G513:G518)</f>
        <v>129372.40000000001</v>
      </c>
      <c r="H519" s="856">
        <f>SUM(H513:H518)</f>
        <v>129372.40000000001</v>
      </c>
      <c r="I519" s="856">
        <f>SUM(I513:I518)</f>
        <v>136124.48800000001</v>
      </c>
    </row>
    <row r="520" spans="1:12" ht="42" customHeight="1">
      <c r="A520" s="634"/>
      <c r="B520" s="857"/>
      <c r="C520" s="857"/>
      <c r="D520" s="857"/>
      <c r="E520" s="858"/>
      <c r="F520" s="858"/>
      <c r="G520" s="858"/>
      <c r="H520" s="858"/>
      <c r="I520" s="858"/>
    </row>
    <row r="521" spans="1:12">
      <c r="A521" s="859"/>
      <c r="B521" s="860"/>
      <c r="C521" s="861"/>
      <c r="D521" s="861"/>
      <c r="E521" s="861"/>
      <c r="F521" s="861"/>
      <c r="G521" s="861"/>
      <c r="H521" s="861"/>
      <c r="I521" s="861"/>
    </row>
    <row r="522" spans="1:12" ht="21.75" thickBot="1">
      <c r="B522" s="731"/>
      <c r="C522" s="731"/>
      <c r="D522" s="731"/>
      <c r="E522" s="731"/>
      <c r="F522" s="731"/>
      <c r="G522" s="731"/>
      <c r="H522" s="731"/>
      <c r="I522" s="731"/>
    </row>
    <row r="523" spans="1:12" ht="126" customHeight="1" thickBot="1">
      <c r="B523" s="1317" t="s">
        <v>609</v>
      </c>
      <c r="C523" s="1318"/>
      <c r="D523" s="721"/>
      <c r="E523" s="1317" t="s">
        <v>610</v>
      </c>
      <c r="F523" s="1319"/>
      <c r="G523" s="1319"/>
      <c r="H523" s="1319"/>
      <c r="I523" s="1318"/>
      <c r="J523" s="715"/>
      <c r="K523" s="634"/>
    </row>
    <row r="524" spans="1:12" ht="23.25">
      <c r="B524" s="714"/>
      <c r="C524" s="714"/>
      <c r="D524" s="714"/>
      <c r="E524" s="714"/>
      <c r="F524" s="714"/>
      <c r="G524" s="714"/>
      <c r="H524" s="714"/>
      <c r="I524" s="714"/>
      <c r="J524" s="714"/>
    </row>
    <row r="525" spans="1:12" ht="39" customHeight="1">
      <c r="B525" s="727">
        <v>10.1</v>
      </c>
      <c r="C525" s="714"/>
      <c r="D525" s="714"/>
      <c r="E525" s="1288" t="s">
        <v>611</v>
      </c>
      <c r="F525" s="1288"/>
      <c r="G525" s="1288"/>
      <c r="H525" s="1288"/>
      <c r="I525" s="1288"/>
      <c r="J525" s="714"/>
    </row>
    <row r="526" spans="1:12" s="192" customFormat="1" ht="63" customHeight="1">
      <c r="B526" s="1102" t="s">
        <v>612</v>
      </c>
      <c r="C526" s="1103"/>
      <c r="D526" s="463">
        <v>2022</v>
      </c>
      <c r="E526" s="464">
        <f>D526+1</f>
        <v>2023</v>
      </c>
      <c r="F526" s="464">
        <f>E526+1</f>
        <v>2024</v>
      </c>
      <c r="G526" s="464">
        <f>F526+1</f>
        <v>2025</v>
      </c>
      <c r="H526" s="464">
        <f>G526+1</f>
        <v>2026</v>
      </c>
      <c r="I526" s="464">
        <f>H526+1</f>
        <v>2027</v>
      </c>
      <c r="J526" s="198"/>
      <c r="K526" s="207"/>
      <c r="L526" s="193"/>
    </row>
    <row r="527" spans="1:12" s="192" customFormat="1" ht="23.25">
      <c r="B527" s="465" t="s">
        <v>613</v>
      </c>
      <c r="C527" s="465"/>
      <c r="D527" s="466">
        <v>0</v>
      </c>
      <c r="E527" s="466">
        <v>1</v>
      </c>
      <c r="F527" s="466">
        <v>2</v>
      </c>
      <c r="G527" s="466">
        <v>3</v>
      </c>
      <c r="H527" s="466">
        <v>4</v>
      </c>
      <c r="I527" s="466">
        <v>5</v>
      </c>
      <c r="J527" s="197"/>
    </row>
    <row r="528" spans="1:12" s="192" customFormat="1" ht="23.25">
      <c r="A528" s="467" t="s">
        <v>614</v>
      </c>
      <c r="B528" s="601" t="s">
        <v>615</v>
      </c>
      <c r="C528" s="602"/>
      <c r="D528" s="470"/>
      <c r="E528" s="470">
        <f>F443</f>
        <v>1234359.7364000003</v>
      </c>
      <c r="F528" s="470">
        <f>G443</f>
        <v>1311657.373615134</v>
      </c>
      <c r="G528" s="470">
        <f>H443</f>
        <v>1401952.339411454</v>
      </c>
      <c r="H528" s="470">
        <f>I443</f>
        <v>1499949.8138371182</v>
      </c>
      <c r="I528" s="470">
        <f>J443</f>
        <v>1602507.7011477528</v>
      </c>
      <c r="J528" s="471"/>
      <c r="K528" s="472"/>
    </row>
    <row r="529" spans="1:11" s="192" customFormat="1" ht="26.25">
      <c r="A529" s="473" t="s">
        <v>616</v>
      </c>
      <c r="B529" s="1130" t="s">
        <v>617</v>
      </c>
      <c r="C529" s="1131"/>
      <c r="D529" s="470"/>
      <c r="E529" s="470">
        <f>F471</f>
        <v>684119.41512000002</v>
      </c>
      <c r="F529" s="470">
        <f>G471</f>
        <v>728371.67127760407</v>
      </c>
      <c r="G529" s="470">
        <f>H471</f>
        <v>776632.57306355168</v>
      </c>
      <c r="H529" s="470">
        <f>I471</f>
        <v>828511.28411933442</v>
      </c>
      <c r="I529" s="470">
        <f>J471</f>
        <v>883874.14385532844</v>
      </c>
      <c r="J529" s="471"/>
      <c r="K529" s="472"/>
    </row>
    <row r="530" spans="1:11" s="192" customFormat="1" ht="47.25" customHeight="1">
      <c r="A530" s="473" t="s">
        <v>616</v>
      </c>
      <c r="B530" s="1130" t="s">
        <v>618</v>
      </c>
      <c r="C530" s="1131"/>
      <c r="D530" s="604" t="s">
        <v>619</v>
      </c>
      <c r="E530" s="475">
        <f>E497+E519</f>
        <v>351863.78720000002</v>
      </c>
      <c r="F530" s="475">
        <f>F497+F519</f>
        <v>357074.50975840003</v>
      </c>
      <c r="G530" s="475">
        <f>G497+G519</f>
        <v>370834.3304200648</v>
      </c>
      <c r="H530" s="475">
        <f>H497+H519</f>
        <v>377752.39643575397</v>
      </c>
      <c r="I530" s="475">
        <f>I497+I519</f>
        <v>392355.34767582227</v>
      </c>
      <c r="J530" s="471"/>
      <c r="K530" s="472"/>
    </row>
    <row r="531" spans="1:11" s="192" customFormat="1" ht="26.25">
      <c r="A531" s="473" t="s">
        <v>616</v>
      </c>
      <c r="B531" s="602" t="s">
        <v>526</v>
      </c>
      <c r="C531" s="1102" t="s">
        <v>620</v>
      </c>
      <c r="D531" s="1103"/>
      <c r="E531" s="476">
        <f t="shared" ref="E531:I532" si="72">E499</f>
        <v>8849.1219999999994</v>
      </c>
      <c r="F531" s="476">
        <f t="shared" si="72"/>
        <v>8849.1219999999994</v>
      </c>
      <c r="G531" s="476">
        <f t="shared" si="72"/>
        <v>8849.1219999999994</v>
      </c>
      <c r="H531" s="476">
        <f t="shared" si="72"/>
        <v>8849.1219999999994</v>
      </c>
      <c r="I531" s="476">
        <f t="shared" si="72"/>
        <v>8849.1219999999994</v>
      </c>
      <c r="J531" s="471"/>
      <c r="K531" s="472"/>
    </row>
    <row r="532" spans="1:11" s="192" customFormat="1" ht="26.25">
      <c r="A532" s="473" t="s">
        <v>616</v>
      </c>
      <c r="B532" s="602" t="s">
        <v>527</v>
      </c>
      <c r="C532" s="1102" t="s">
        <v>621</v>
      </c>
      <c r="D532" s="1103"/>
      <c r="E532" s="475">
        <f t="shared" si="72"/>
        <v>542.15</v>
      </c>
      <c r="F532" s="475">
        <f t="shared" si="72"/>
        <v>542.15</v>
      </c>
      <c r="G532" s="475">
        <f t="shared" si="72"/>
        <v>542.15</v>
      </c>
      <c r="H532" s="475">
        <f t="shared" si="72"/>
        <v>542.15</v>
      </c>
      <c r="I532" s="475">
        <f t="shared" si="72"/>
        <v>542.15</v>
      </c>
      <c r="J532" s="471"/>
      <c r="K532" s="472"/>
    </row>
    <row r="533" spans="1:11" s="192" customFormat="1" ht="23.25">
      <c r="A533" s="477"/>
      <c r="B533" s="1132" t="s">
        <v>622</v>
      </c>
      <c r="C533" s="1133"/>
      <c r="D533" s="478"/>
      <c r="E533" s="478">
        <f>E528-E529-E530-E531-E532</f>
        <v>188985.26208000025</v>
      </c>
      <c r="F533" s="478">
        <f>F528-F529-F530-F531-F532</f>
        <v>216819.92057912995</v>
      </c>
      <c r="G533" s="478">
        <f>G528-G529-G530-G531-G532</f>
        <v>245094.16392783757</v>
      </c>
      <c r="H533" s="478">
        <f>H528-H529-H530-H531-H532</f>
        <v>284294.86128202983</v>
      </c>
      <c r="I533" s="478">
        <f>I528-I529-I530-I531-I532</f>
        <v>316886.93761660211</v>
      </c>
      <c r="J533" s="471"/>
      <c r="K533" s="472"/>
    </row>
    <row r="534" spans="1:11" s="192" customFormat="1" ht="23.25">
      <c r="A534" s="479" t="s">
        <v>616</v>
      </c>
      <c r="B534" s="601" t="s">
        <v>623</v>
      </c>
      <c r="C534" s="603"/>
      <c r="D534" s="470"/>
      <c r="E534" s="470">
        <v>0</v>
      </c>
      <c r="F534" s="470">
        <v>0</v>
      </c>
      <c r="G534" s="470">
        <v>0</v>
      </c>
      <c r="H534" s="470">
        <v>0</v>
      </c>
      <c r="I534" s="603">
        <v>0</v>
      </c>
      <c r="J534" s="471"/>
      <c r="K534" s="472"/>
    </row>
    <row r="535" spans="1:11" s="192" customFormat="1" ht="23.25">
      <c r="A535" s="479" t="s">
        <v>616</v>
      </c>
      <c r="B535" s="1130" t="s">
        <v>624</v>
      </c>
      <c r="C535" s="1131"/>
      <c r="D535" s="470"/>
      <c r="E535" s="470">
        <v>0</v>
      </c>
      <c r="F535" s="470">
        <v>0</v>
      </c>
      <c r="G535" s="470">
        <v>0</v>
      </c>
      <c r="H535" s="470">
        <v>0</v>
      </c>
      <c r="I535" s="603">
        <v>0</v>
      </c>
      <c r="J535" s="197"/>
    </row>
    <row r="536" spans="1:11" s="192" customFormat="1" ht="23.25">
      <c r="A536" s="479"/>
      <c r="B536" s="1102" t="s">
        <v>625</v>
      </c>
      <c r="C536" s="1103"/>
      <c r="D536" s="478"/>
      <c r="E536" s="478">
        <f>E533-E534-E535</f>
        <v>188985.26208000025</v>
      </c>
      <c r="F536" s="478">
        <f>F533-F534-F535</f>
        <v>216819.92057912995</v>
      </c>
      <c r="G536" s="478">
        <f>G533-G534-G535</f>
        <v>245094.16392783757</v>
      </c>
      <c r="H536" s="478">
        <f>H533-H534-H535</f>
        <v>284294.86128202983</v>
      </c>
      <c r="I536" s="478">
        <f>I533-I534-I535</f>
        <v>316886.93761660211</v>
      </c>
      <c r="J536" s="197"/>
    </row>
    <row r="537" spans="1:11" s="192" customFormat="1" ht="23.25">
      <c r="A537" s="479" t="s">
        <v>616</v>
      </c>
      <c r="B537" s="602" t="s">
        <v>626</v>
      </c>
      <c r="C537" s="603"/>
      <c r="D537" s="481">
        <v>0.01</v>
      </c>
      <c r="E537" s="470">
        <f>E528*D537</f>
        <v>12343.597364000003</v>
      </c>
      <c r="F537" s="470">
        <f>F528*$D$537</f>
        <v>13116.57373615134</v>
      </c>
      <c r="G537" s="470">
        <f t="shared" ref="G537:I537" si="73">G528*$D$537</f>
        <v>14019.523394114542</v>
      </c>
      <c r="H537" s="470">
        <f t="shared" si="73"/>
        <v>14999.498138371182</v>
      </c>
      <c r="I537" s="470">
        <f t="shared" si="73"/>
        <v>16025.077011477528</v>
      </c>
      <c r="J537" s="197"/>
    </row>
    <row r="538" spans="1:11" s="192" customFormat="1" ht="116.25">
      <c r="B538" s="1102" t="s">
        <v>627</v>
      </c>
      <c r="C538" s="1103"/>
      <c r="D538" s="287" t="s">
        <v>628</v>
      </c>
      <c r="E538" s="482">
        <f>E536-E537</f>
        <v>176641.66471600023</v>
      </c>
      <c r="F538" s="482">
        <f>F536-F537</f>
        <v>203703.34684297862</v>
      </c>
      <c r="G538" s="482">
        <f>G536-G537</f>
        <v>231074.64053372302</v>
      </c>
      <c r="H538" s="482">
        <f>H536-H537</f>
        <v>269295.36314365867</v>
      </c>
      <c r="I538" s="482">
        <f>I536-I537</f>
        <v>300861.86060512456</v>
      </c>
      <c r="J538" s="197"/>
    </row>
    <row r="539" spans="1:11" s="192" customFormat="1" ht="26.25">
      <c r="A539" s="483" t="s">
        <v>629</v>
      </c>
      <c r="B539" s="484" t="s">
        <v>526</v>
      </c>
      <c r="C539" s="603"/>
      <c r="D539" s="470"/>
      <c r="E539" s="470">
        <f>E531</f>
        <v>8849.1219999999994</v>
      </c>
      <c r="F539" s="470">
        <f t="shared" ref="F539:I540" si="74">F531</f>
        <v>8849.1219999999994</v>
      </c>
      <c r="G539" s="470">
        <f t="shared" si="74"/>
        <v>8849.1219999999994</v>
      </c>
      <c r="H539" s="470">
        <f t="shared" si="74"/>
        <v>8849.1219999999994</v>
      </c>
      <c r="I539" s="470">
        <f t="shared" si="74"/>
        <v>8849.1219999999994</v>
      </c>
      <c r="J539" s="197"/>
    </row>
    <row r="540" spans="1:11" s="192" customFormat="1" ht="26.25">
      <c r="A540" s="483" t="s">
        <v>629</v>
      </c>
      <c r="B540" s="484" t="s">
        <v>527</v>
      </c>
      <c r="C540" s="603"/>
      <c r="D540" s="603"/>
      <c r="E540" s="470">
        <f>E532</f>
        <v>542.15</v>
      </c>
      <c r="F540" s="470">
        <f t="shared" si="74"/>
        <v>542.15</v>
      </c>
      <c r="G540" s="470">
        <f t="shared" si="74"/>
        <v>542.15</v>
      </c>
      <c r="H540" s="470">
        <f t="shared" si="74"/>
        <v>542.15</v>
      </c>
      <c r="I540" s="470">
        <f t="shared" si="74"/>
        <v>542.15</v>
      </c>
      <c r="J540" s="197"/>
    </row>
    <row r="541" spans="1:11" s="192" customFormat="1" ht="26.25">
      <c r="A541" s="483" t="s">
        <v>629</v>
      </c>
      <c r="B541" s="484" t="s">
        <v>623</v>
      </c>
      <c r="C541" s="603"/>
      <c r="D541" s="603"/>
      <c r="E541" s="319">
        <f>E534</f>
        <v>0</v>
      </c>
      <c r="F541" s="319">
        <f t="shared" ref="F541:I542" si="75">F534</f>
        <v>0</v>
      </c>
      <c r="G541" s="319">
        <f t="shared" si="75"/>
        <v>0</v>
      </c>
      <c r="H541" s="319">
        <f t="shared" si="75"/>
        <v>0</v>
      </c>
      <c r="I541" s="319">
        <f t="shared" si="75"/>
        <v>0</v>
      </c>
      <c r="J541" s="197"/>
    </row>
    <row r="542" spans="1:11" s="192" customFormat="1" ht="26.25">
      <c r="A542" s="483" t="s">
        <v>629</v>
      </c>
      <c r="B542" s="484" t="s">
        <v>624</v>
      </c>
      <c r="C542" s="603"/>
      <c r="D542" s="603"/>
      <c r="E542" s="319">
        <f>E535</f>
        <v>0</v>
      </c>
      <c r="F542" s="319">
        <f t="shared" si="75"/>
        <v>0</v>
      </c>
      <c r="G542" s="319">
        <f t="shared" si="75"/>
        <v>0</v>
      </c>
      <c r="H542" s="319">
        <f t="shared" si="75"/>
        <v>0</v>
      </c>
      <c r="I542" s="319">
        <f t="shared" si="75"/>
        <v>0</v>
      </c>
      <c r="J542" s="197"/>
    </row>
    <row r="543" spans="1:11" s="192" customFormat="1" ht="55.5" customHeight="1">
      <c r="A543" s="228"/>
      <c r="B543" s="1102" t="s">
        <v>630</v>
      </c>
      <c r="C543" s="1103"/>
      <c r="D543" s="585">
        <v>2022</v>
      </c>
      <c r="E543" s="485">
        <f>E538+E539+E540+E541+E542</f>
        <v>186032.93671600023</v>
      </c>
      <c r="F543" s="485">
        <f>F538+F539+F540+F541+F542</f>
        <v>213094.61884297861</v>
      </c>
      <c r="G543" s="485">
        <f>G538+G539+G540+G541+G542</f>
        <v>240465.91253372302</v>
      </c>
      <c r="H543" s="485">
        <f>H538+H539+H540+H541+H542</f>
        <v>278686.63514365867</v>
      </c>
      <c r="I543" s="485">
        <f>I538+I539+I540+I541+I542</f>
        <v>310253.13260512456</v>
      </c>
      <c r="J543" s="197"/>
    </row>
    <row r="544" spans="1:11" s="192" customFormat="1" ht="23.25">
      <c r="B544" s="1114" t="s">
        <v>631</v>
      </c>
      <c r="C544" s="1105"/>
      <c r="D544" s="475">
        <f>-D347</f>
        <v>-79471.002999999997</v>
      </c>
      <c r="E544" s="603"/>
      <c r="F544" s="603"/>
      <c r="G544" s="603"/>
      <c r="H544" s="603"/>
      <c r="I544" s="603"/>
      <c r="J544" s="197"/>
    </row>
    <row r="545" spans="1:11" s="192" customFormat="1" ht="23.25">
      <c r="B545" s="302"/>
      <c r="C545" s="197"/>
      <c r="D545" s="486">
        <f>D543</f>
        <v>2022</v>
      </c>
      <c r="E545" s="487">
        <f>D545+1</f>
        <v>2023</v>
      </c>
      <c r="F545" s="487">
        <f>E545+1</f>
        <v>2024</v>
      </c>
      <c r="G545" s="488">
        <f>F545+1</f>
        <v>2025</v>
      </c>
      <c r="H545" s="487">
        <f>G545+1</f>
        <v>2026</v>
      </c>
      <c r="I545" s="487">
        <f>H545+1</f>
        <v>2027</v>
      </c>
      <c r="J545" s="197"/>
    </row>
    <row r="546" spans="1:11" s="192" customFormat="1" ht="65.25" customHeight="1">
      <c r="B546" s="1102" t="s">
        <v>632</v>
      </c>
      <c r="C546" s="1103"/>
      <c r="D546" s="213">
        <f>D544</f>
        <v>-79471.002999999997</v>
      </c>
      <c r="E546" s="213">
        <f>E543</f>
        <v>186032.93671600023</v>
      </c>
      <c r="F546" s="213">
        <f>F543</f>
        <v>213094.61884297861</v>
      </c>
      <c r="G546" s="213">
        <f>G543</f>
        <v>240465.91253372302</v>
      </c>
      <c r="H546" s="213">
        <f>H543</f>
        <v>278686.63514365867</v>
      </c>
      <c r="I546" s="213">
        <f>I543</f>
        <v>310253.13260512456</v>
      </c>
      <c r="J546" s="489">
        <f>SUM(E546:I547)</f>
        <v>1228533.235841485</v>
      </c>
    </row>
    <row r="547" spans="1:11" s="192" customFormat="1" ht="33.75">
      <c r="A547" s="490">
        <v>10.199999999999999</v>
      </c>
      <c r="B547" s="585" t="s">
        <v>633</v>
      </c>
      <c r="C547" s="491">
        <f>E350</f>
        <v>0.26392900000000002</v>
      </c>
      <c r="D547" s="492"/>
      <c r="E547" s="493"/>
      <c r="F547" s="493"/>
      <c r="G547" s="493"/>
      <c r="H547" s="493"/>
      <c r="I547" s="493"/>
    </row>
    <row r="548" spans="1:11" s="192" customFormat="1" ht="69.75">
      <c r="A548" s="1129" t="s">
        <v>634</v>
      </c>
      <c r="B548" s="583" t="s">
        <v>635</v>
      </c>
      <c r="C548" s="494" t="s">
        <v>636</v>
      </c>
      <c r="D548" s="475">
        <f>NPV(C547,E546:I546)+D546</f>
        <v>525583.88862577605</v>
      </c>
      <c r="E548" s="495"/>
      <c r="F548" s="496"/>
      <c r="G548" s="495"/>
      <c r="H548" s="495"/>
      <c r="I548" s="495"/>
      <c r="J548" s="497"/>
    </row>
    <row r="549" spans="1:11" s="192" customFormat="1" ht="69.75">
      <c r="A549" s="1129"/>
      <c r="B549" s="583" t="s">
        <v>637</v>
      </c>
      <c r="C549" s="494" t="s">
        <v>638</v>
      </c>
      <c r="D549" s="498">
        <f>IRR(D546:I546)</f>
        <v>2.4739350428490412</v>
      </c>
      <c r="E549" s="499"/>
      <c r="F549" s="500"/>
      <c r="G549" s="499"/>
      <c r="H549" s="499"/>
      <c r="I549" s="499"/>
    </row>
    <row r="550" spans="1:11" s="192" customFormat="1" ht="67.5" customHeight="1">
      <c r="A550" s="1129"/>
      <c r="B550" s="583" t="s">
        <v>639</v>
      </c>
      <c r="C550" s="494" t="s">
        <v>640</v>
      </c>
      <c r="D550" s="287">
        <f>NPV(C547,E546:I546)/-D544</f>
        <v>7.6135303291160943</v>
      </c>
      <c r="E550" s="1126" t="s">
        <v>641</v>
      </c>
      <c r="F550" s="1126"/>
      <c r="G550" s="1126"/>
      <c r="H550" s="1126"/>
      <c r="I550" s="501">
        <f>D550-1</f>
        <v>6.6135303291160943</v>
      </c>
      <c r="J550" s="604" t="s">
        <v>284</v>
      </c>
    </row>
    <row r="551" spans="1:11" s="192" customFormat="1" ht="116.25">
      <c r="A551" s="1129"/>
      <c r="B551" s="583" t="s">
        <v>642</v>
      </c>
      <c r="C551" s="494" t="s">
        <v>643</v>
      </c>
      <c r="D551" s="312"/>
      <c r="E551" s="585">
        <v>2023</v>
      </c>
      <c r="F551" s="585">
        <f>E551+1</f>
        <v>2024</v>
      </c>
      <c r="G551" s="585">
        <f>F551+1</f>
        <v>2025</v>
      </c>
      <c r="H551" s="585">
        <f>G551+1</f>
        <v>2026</v>
      </c>
      <c r="I551" s="585">
        <f>H551+1</f>
        <v>2027</v>
      </c>
    </row>
    <row r="552" spans="1:11" s="192" customFormat="1" ht="51.75" customHeight="1">
      <c r="B552" s="585" t="s">
        <v>264</v>
      </c>
      <c r="C552" s="585" t="s">
        <v>644</v>
      </c>
      <c r="D552" s="213" t="s">
        <v>645</v>
      </c>
      <c r="E552" s="402" t="s">
        <v>646</v>
      </c>
      <c r="F552" s="1106" t="s">
        <v>647</v>
      </c>
      <c r="G552" s="1128"/>
      <c r="H552" s="1128"/>
      <c r="I552" s="1128"/>
      <c r="J552" s="356"/>
      <c r="K552" s="597"/>
    </row>
    <row r="553" spans="1:11" s="192" customFormat="1" ht="23.25">
      <c r="B553" s="587">
        <v>0</v>
      </c>
      <c r="C553" s="603"/>
      <c r="D553" s="470">
        <f>-D546</f>
        <v>79471.002999999997</v>
      </c>
      <c r="E553" s="502">
        <f>E546/(1+$C$547)^(1)</f>
        <v>147186.22384326984</v>
      </c>
      <c r="F553" s="502">
        <f>F546/(1+$C$547)^(2)</f>
        <v>133391.18348377588</v>
      </c>
      <c r="G553" s="502">
        <f>G546/(1+$C$547)^(3)</f>
        <v>119092.79437377273</v>
      </c>
      <c r="H553" s="502">
        <f>H546/(1+$C$547)^(4)</f>
        <v>109200.70136205677</v>
      </c>
      <c r="I553" s="503">
        <f>I546/(1+$C$547)^(5)</f>
        <v>96183.988562900951</v>
      </c>
      <c r="J553" s="327">
        <f>SUM(E553:I553)</f>
        <v>605054.89162577619</v>
      </c>
      <c r="K553" s="363"/>
    </row>
    <row r="554" spans="1:11" s="192" customFormat="1" ht="23.25">
      <c r="B554" s="587">
        <v>1</v>
      </c>
      <c r="C554" s="319">
        <f>E553</f>
        <v>147186.22384326984</v>
      </c>
      <c r="D554" s="470">
        <f>D553-C554</f>
        <v>-67715.220843269839</v>
      </c>
      <c r="E554" s="499"/>
      <c r="F554" s="499"/>
      <c r="G554" s="499"/>
      <c r="H554" s="499"/>
      <c r="I554" s="499"/>
      <c r="J554" s="504">
        <f>D546</f>
        <v>-79471.002999999997</v>
      </c>
      <c r="K554" s="597"/>
    </row>
    <row r="555" spans="1:11" s="192" customFormat="1" ht="23.25">
      <c r="B555" s="587">
        <v>2</v>
      </c>
      <c r="C555" s="319">
        <f>F553</f>
        <v>133391.18348377588</v>
      </c>
      <c r="D555" s="470">
        <f>D554-C555</f>
        <v>-201106.40432704572</v>
      </c>
      <c r="E555" s="499"/>
      <c r="F555" s="499"/>
      <c r="G555" s="499"/>
      <c r="H555" s="499"/>
      <c r="I555" s="585" t="s">
        <v>648</v>
      </c>
      <c r="J555" s="327">
        <f>SUM(J553:J554)</f>
        <v>525583.88862577616</v>
      </c>
      <c r="K555" s="505"/>
    </row>
    <row r="556" spans="1:11" s="192" customFormat="1" ht="23.25">
      <c r="B556" s="587">
        <v>3</v>
      </c>
      <c r="C556" s="319">
        <f>G553</f>
        <v>119092.79437377273</v>
      </c>
      <c r="D556" s="470">
        <f>D555-C556</f>
        <v>-320199.19870081847</v>
      </c>
      <c r="E556" s="506" t="s">
        <v>567</v>
      </c>
      <c r="F556" s="506" t="s">
        <v>649</v>
      </c>
      <c r="G556" s="506" t="s">
        <v>650</v>
      </c>
      <c r="H556" s="499"/>
      <c r="I556" s="499"/>
    </row>
    <row r="557" spans="1:11" s="192" customFormat="1" ht="23.25">
      <c r="B557" s="587">
        <v>4</v>
      </c>
      <c r="C557" s="319">
        <f>H553</f>
        <v>109200.70136205677</v>
      </c>
      <c r="D557" s="470">
        <f>D556-C557</f>
        <v>-429399.90006287524</v>
      </c>
      <c r="E557" s="506">
        <v>0</v>
      </c>
      <c r="F557" s="506">
        <v>6</v>
      </c>
      <c r="G557" s="506">
        <v>14</v>
      </c>
      <c r="H557" s="499"/>
      <c r="I557" s="499"/>
    </row>
    <row r="558" spans="1:11" s="192" customFormat="1" ht="23.25">
      <c r="A558" s="228"/>
      <c r="B558" s="587">
        <v>5</v>
      </c>
      <c r="C558" s="319">
        <f>I553</f>
        <v>96183.988562900951</v>
      </c>
      <c r="D558" s="470">
        <f>D557-C558</f>
        <v>-525583.88862577616</v>
      </c>
      <c r="E558" s="507"/>
      <c r="F558" s="506">
        <f>(D553/C554)*12</f>
        <v>6.4792207524495593</v>
      </c>
      <c r="G558" s="506">
        <f>(F558-F557)*30</f>
        <v>14.376622573486779</v>
      </c>
      <c r="H558" s="499"/>
      <c r="I558" s="495"/>
    </row>
    <row r="559" spans="1:11" s="192" customFormat="1">
      <c r="B559" s="215"/>
      <c r="C559" s="508"/>
      <c r="D559" s="509"/>
      <c r="E559" s="207"/>
      <c r="F559" s="590"/>
      <c r="G559" s="590"/>
      <c r="H559" s="207"/>
      <c r="I559" s="510"/>
    </row>
    <row r="560" spans="1:11" s="192" customFormat="1" ht="45" customHeight="1">
      <c r="B560" s="511">
        <v>10.5</v>
      </c>
      <c r="C560" s="1127" t="s">
        <v>651</v>
      </c>
      <c r="D560" s="1127"/>
      <c r="E560" s="1127"/>
      <c r="F560" s="1127"/>
      <c r="G560" s="1127"/>
      <c r="H560" s="207"/>
      <c r="I560" s="215"/>
    </row>
    <row r="561" spans="2:11" s="192" customFormat="1">
      <c r="B561" s="215"/>
      <c r="C561" s="508"/>
      <c r="D561" s="509"/>
      <c r="E561" s="207"/>
      <c r="F561" s="590"/>
      <c r="G561" s="590"/>
      <c r="H561" s="207"/>
      <c r="I561" s="215"/>
    </row>
    <row r="562" spans="2:11" s="192" customFormat="1" ht="45.75" customHeight="1">
      <c r="B562" s="1126" t="s">
        <v>652</v>
      </c>
      <c r="C562" s="1126"/>
      <c r="D562" s="1126"/>
      <c r="E562" s="1126"/>
      <c r="F562" s="1126"/>
      <c r="G562" s="1126"/>
      <c r="H562" s="207"/>
      <c r="I562" s="207"/>
      <c r="J562" s="193"/>
      <c r="K562" s="193"/>
    </row>
    <row r="563" spans="2:11" s="192" customFormat="1" ht="55.5" customHeight="1">
      <c r="B563" s="1126" t="s">
        <v>653</v>
      </c>
      <c r="C563" s="1126"/>
      <c r="D563" s="1126"/>
      <c r="E563" s="1126"/>
      <c r="F563" s="1126"/>
      <c r="G563" s="1126"/>
      <c r="H563" s="207"/>
      <c r="I563" s="207"/>
      <c r="J563" s="193"/>
      <c r="K563" s="193"/>
    </row>
    <row r="564" spans="2:11" s="192" customFormat="1" ht="41.25" customHeight="1">
      <c r="B564" s="1126" t="s">
        <v>654</v>
      </c>
      <c r="C564" s="1126"/>
      <c r="D564" s="1126"/>
      <c r="E564" s="1126"/>
      <c r="F564" s="1126"/>
      <c r="G564" s="1126"/>
      <c r="H564" s="207"/>
      <c r="I564" s="207"/>
      <c r="J564" s="193"/>
      <c r="K564" s="193"/>
    </row>
    <row r="565" spans="2:11" s="192" customFormat="1">
      <c r="B565" s="215"/>
      <c r="C565" s="508"/>
      <c r="D565" s="509"/>
      <c r="E565" s="207"/>
      <c r="F565" s="590"/>
      <c r="G565" s="590"/>
      <c r="H565" s="207"/>
      <c r="I565" s="215"/>
    </row>
    <row r="566" spans="2:11" s="192" customFormat="1" ht="78.75">
      <c r="B566" s="512" t="s">
        <v>655</v>
      </c>
      <c r="C566" s="513" t="s">
        <v>248</v>
      </c>
      <c r="D566" s="514">
        <v>10.6</v>
      </c>
      <c r="E566" s="207"/>
      <c r="F566" s="590"/>
      <c r="G566" s="590"/>
      <c r="H566" s="207"/>
      <c r="I566" s="215"/>
    </row>
    <row r="567" spans="2:11" s="192" customFormat="1" ht="26.25">
      <c r="B567" s="512" t="s">
        <v>656</v>
      </c>
      <c r="C567" s="361">
        <f>D351</f>
        <v>31788.4012</v>
      </c>
      <c r="D567" s="509"/>
      <c r="E567" s="207"/>
      <c r="F567" s="590"/>
      <c r="G567" s="590"/>
      <c r="H567" s="207"/>
      <c r="I567" s="215"/>
    </row>
    <row r="568" spans="2:11" s="192" customFormat="1" ht="26.25">
      <c r="B568" s="512" t="s">
        <v>657</v>
      </c>
      <c r="C568" s="512">
        <f>+'8'!G64</f>
        <v>5</v>
      </c>
      <c r="D568" s="515" t="s">
        <v>264</v>
      </c>
      <c r="E568" s="207"/>
      <c r="F568" s="590"/>
      <c r="G568" s="590"/>
      <c r="H568" s="207"/>
      <c r="I568" s="215"/>
    </row>
    <row r="569" spans="2:11" s="192" customFormat="1" ht="26.25">
      <c r="B569" s="512" t="s">
        <v>263</v>
      </c>
      <c r="C569" s="516">
        <f>+'8'!G63</f>
        <v>0.17199999999999999</v>
      </c>
      <c r="D569" s="515"/>
      <c r="E569" s="207"/>
      <c r="F569" s="590"/>
      <c r="G569" s="590"/>
      <c r="H569" s="207"/>
      <c r="I569" s="215"/>
    </row>
    <row r="570" spans="2:11" s="192" customFormat="1" ht="26.25">
      <c r="B570" s="512" t="s">
        <v>269</v>
      </c>
      <c r="C570" s="517">
        <f>+'8'!C71</f>
        <v>1.3313824334185265E-2</v>
      </c>
      <c r="D570" s="515"/>
      <c r="E570" s="207"/>
      <c r="F570" s="590"/>
      <c r="G570" s="590"/>
      <c r="H570" s="207"/>
      <c r="I570" s="215"/>
    </row>
    <row r="571" spans="2:11" s="192" customFormat="1" ht="52.5">
      <c r="B571" s="512" t="s">
        <v>270</v>
      </c>
      <c r="C571" s="512">
        <f>+'8'!G65</f>
        <v>12</v>
      </c>
      <c r="D571" s="515" t="s">
        <v>658</v>
      </c>
      <c r="E571" s="207"/>
      <c r="F571" s="590"/>
      <c r="G571" s="590"/>
      <c r="H571" s="207"/>
      <c r="I571" s="215"/>
    </row>
    <row r="572" spans="2:11" s="192" customFormat="1" ht="52.5">
      <c r="B572" s="512" t="s">
        <v>272</v>
      </c>
      <c r="C572" s="512">
        <f>+'8'!G66</f>
        <v>60</v>
      </c>
      <c r="D572" s="515" t="s">
        <v>659</v>
      </c>
      <c r="E572" s="207"/>
      <c r="F572" s="590"/>
      <c r="G572" s="590"/>
      <c r="H572" s="207"/>
      <c r="I572" s="215"/>
    </row>
    <row r="573" spans="2:11">
      <c r="B573" s="779"/>
      <c r="C573" s="873"/>
      <c r="D573" s="675"/>
      <c r="E573" s="761"/>
      <c r="F573" s="720"/>
      <c r="G573" s="720"/>
      <c r="H573" s="761"/>
      <c r="I573" s="731"/>
    </row>
    <row r="574" spans="2:11" ht="42" customHeight="1">
      <c r="B574" s="1277" t="s">
        <v>660</v>
      </c>
      <c r="C574" s="1277"/>
      <c r="D574" s="694">
        <v>10.6</v>
      </c>
      <c r="E574" s="761"/>
      <c r="F574" s="720"/>
      <c r="G574" s="720"/>
      <c r="H574" s="761"/>
      <c r="I574" s="731"/>
    </row>
    <row r="575" spans="2:11">
      <c r="B575" s="779"/>
      <c r="C575" s="873"/>
      <c r="D575" s="675"/>
      <c r="E575" s="761"/>
      <c r="F575" s="720"/>
      <c r="G575" s="720"/>
      <c r="H575" s="761"/>
      <c r="I575" s="731"/>
    </row>
    <row r="576" spans="2:11" ht="31.5">
      <c r="B576" s="739"/>
      <c r="C576" s="739"/>
      <c r="D576" s="739"/>
      <c r="E576" s="739"/>
      <c r="F576" s="751" t="s">
        <v>661</v>
      </c>
      <c r="G576" s="751" t="s">
        <v>662</v>
      </c>
      <c r="H576" s="875">
        <f>((1+D577)^(D578)-1)</f>
        <v>1.2112510819256475</v>
      </c>
      <c r="I576" s="751">
        <f>H576/H577</f>
        <v>41.142748137327573</v>
      </c>
      <c r="J576" s="693">
        <f>D579/I576</f>
        <v>772.63679844369324</v>
      </c>
    </row>
    <row r="577" spans="2:12" ht="42">
      <c r="B577" s="754" t="s">
        <v>663</v>
      </c>
      <c r="C577" s="876"/>
      <c r="D577" s="752">
        <f>C570</f>
        <v>1.3313824334185265E-2</v>
      </c>
      <c r="E577" s="739"/>
      <c r="F577" s="877">
        <f>C570</f>
        <v>1.3313824334185265E-2</v>
      </c>
      <c r="G577" s="737"/>
      <c r="H577" s="737">
        <f xml:space="preserve"> D577*((1+D577)^(D578))</f>
        <v>2.9440208463535178E-2</v>
      </c>
      <c r="I577" s="751"/>
      <c r="J577" s="742" t="s">
        <v>664</v>
      </c>
    </row>
    <row r="578" spans="2:12">
      <c r="B578" s="739" t="s">
        <v>665</v>
      </c>
      <c r="C578" s="739"/>
      <c r="D578" s="751">
        <f>C572</f>
        <v>60</v>
      </c>
      <c r="E578" s="751" t="s">
        <v>666</v>
      </c>
      <c r="F578" s="739"/>
      <c r="G578" s="739"/>
      <c r="H578" s="739"/>
      <c r="I578" s="739"/>
      <c r="J578" s="739"/>
      <c r="K578" s="761"/>
      <c r="L578" s="761"/>
    </row>
    <row r="579" spans="2:12">
      <c r="B579" s="739" t="s">
        <v>667</v>
      </c>
      <c r="C579" s="739"/>
      <c r="D579" s="668">
        <f>C567</f>
        <v>31788.4012</v>
      </c>
      <c r="E579" s="739"/>
      <c r="F579" s="739"/>
      <c r="G579" s="739"/>
      <c r="H579" s="739"/>
      <c r="I579" s="739"/>
      <c r="J579" s="739"/>
      <c r="K579" s="761"/>
      <c r="L579" s="761"/>
    </row>
    <row r="580" spans="2:12" ht="42">
      <c r="B580" s="739"/>
      <c r="C580" s="739"/>
      <c r="D580" s="739"/>
      <c r="E580" s="739"/>
      <c r="F580" s="739"/>
      <c r="G580" s="737" t="s">
        <v>668</v>
      </c>
      <c r="H580" s="737" t="s">
        <v>669</v>
      </c>
      <c r="I580" s="737" t="s">
        <v>276</v>
      </c>
      <c r="J580" s="751" t="s">
        <v>670</v>
      </c>
      <c r="K580" s="761"/>
      <c r="L580" s="761"/>
    </row>
    <row r="581" spans="2:12">
      <c r="B581" s="739"/>
      <c r="C581" s="739"/>
      <c r="D581" s="739"/>
      <c r="E581" s="739"/>
      <c r="F581" s="739"/>
      <c r="G581" s="739"/>
      <c r="H581" s="751" t="s">
        <v>671</v>
      </c>
      <c r="I581" s="751" t="s">
        <v>672</v>
      </c>
      <c r="J581" s="739"/>
      <c r="K581" s="761"/>
      <c r="L581" s="761"/>
    </row>
    <row r="582" spans="2:12">
      <c r="B582" s="739"/>
      <c r="C582" s="739"/>
      <c r="D582" s="739"/>
      <c r="E582" s="739"/>
      <c r="F582" s="739"/>
      <c r="G582" s="739"/>
      <c r="H582" s="751" t="s">
        <v>673</v>
      </c>
      <c r="I582" s="739"/>
      <c r="J582" s="739"/>
      <c r="K582" s="761"/>
      <c r="L582" s="761"/>
    </row>
    <row r="583" spans="2:12">
      <c r="B583" s="739"/>
      <c r="C583" s="739"/>
      <c r="D583" s="739"/>
      <c r="E583" s="739"/>
      <c r="F583" s="739"/>
      <c r="G583" s="739"/>
      <c r="H583" s="739"/>
      <c r="I583" s="739"/>
      <c r="J583" s="739"/>
      <c r="K583" s="761"/>
      <c r="L583" s="761"/>
    </row>
    <row r="584" spans="2:12" ht="63">
      <c r="B584" s="739"/>
      <c r="C584" s="736" t="s">
        <v>674</v>
      </c>
      <c r="D584" s="736" t="s">
        <v>675</v>
      </c>
      <c r="E584" s="736" t="s">
        <v>676</v>
      </c>
      <c r="F584" s="878" t="s">
        <v>283</v>
      </c>
      <c r="G584" s="736" t="s">
        <v>677</v>
      </c>
      <c r="H584" s="739"/>
      <c r="I584" s="739"/>
      <c r="J584" s="739"/>
      <c r="K584" s="761"/>
      <c r="L584" s="761"/>
    </row>
    <row r="585" spans="2:12">
      <c r="B585" s="739"/>
      <c r="C585" s="739"/>
      <c r="D585" s="739"/>
      <c r="E585" s="739"/>
      <c r="F585" s="739"/>
      <c r="G585" s="739"/>
      <c r="H585" s="751"/>
      <c r="I585" s="739"/>
      <c r="J585" s="739"/>
      <c r="K585" s="761"/>
      <c r="L585" s="761"/>
    </row>
    <row r="586" spans="2:12">
      <c r="B586" s="739"/>
      <c r="C586" s="736" t="s">
        <v>678</v>
      </c>
      <c r="D586" s="736" t="s">
        <v>262</v>
      </c>
      <c r="E586" s="736" t="s">
        <v>679</v>
      </c>
      <c r="F586" s="736" t="s">
        <v>680</v>
      </c>
      <c r="G586" s="736" t="s">
        <v>681</v>
      </c>
      <c r="H586" s="879"/>
      <c r="I586" s="751"/>
      <c r="J586" s="739"/>
      <c r="K586" s="761"/>
      <c r="L586" s="761"/>
    </row>
    <row r="587" spans="2:12">
      <c r="B587" s="739"/>
      <c r="C587" s="880"/>
      <c r="D587" s="880"/>
      <c r="E587" s="880"/>
      <c r="F587" s="880"/>
      <c r="G587" s="880"/>
      <c r="H587" s="739"/>
      <c r="I587" s="739"/>
      <c r="J587" s="739"/>
      <c r="K587" s="761"/>
      <c r="L587" s="761"/>
    </row>
    <row r="588" spans="2:12">
      <c r="B588" s="739"/>
      <c r="C588" s="676">
        <v>1</v>
      </c>
      <c r="D588" s="676">
        <f>D579</f>
        <v>31788.4012</v>
      </c>
      <c r="E588" s="676">
        <f>G588-F588</f>
        <v>349.41160900228914</v>
      </c>
      <c r="F588" s="676">
        <f>D588*$D$577</f>
        <v>423.2251894414041</v>
      </c>
      <c r="G588" s="676">
        <f>J576</f>
        <v>772.63679844369324</v>
      </c>
      <c r="H588" s="647"/>
      <c r="I588" s="647"/>
      <c r="J588" s="739"/>
      <c r="K588" s="761"/>
      <c r="L588" s="761"/>
    </row>
    <row r="589" spans="2:12">
      <c r="B589" s="739"/>
      <c r="C589" s="676">
        <f>+C588+1</f>
        <v>2</v>
      </c>
      <c r="D589" s="676">
        <f>D588-E588</f>
        <v>31438.989590997709</v>
      </c>
      <c r="E589" s="676">
        <f>G589-F589</f>
        <v>354.06361378487071</v>
      </c>
      <c r="F589" s="676">
        <f>D589*$D$577</f>
        <v>418.57318465882253</v>
      </c>
      <c r="G589" s="676">
        <f>G588</f>
        <v>772.63679844369324</v>
      </c>
      <c r="H589" s="647"/>
      <c r="I589" s="647"/>
      <c r="J589" s="739"/>
      <c r="K589" s="761"/>
      <c r="L589" s="761"/>
    </row>
    <row r="590" spans="2:12">
      <c r="B590" s="739"/>
      <c r="C590" s="676">
        <f>+C589+1</f>
        <v>3</v>
      </c>
      <c r="D590" s="676">
        <f>D589-E589</f>
        <v>31084.925977212839</v>
      </c>
      <c r="E590" s="676">
        <f>G590-F590</f>
        <v>358.77755454192925</v>
      </c>
      <c r="F590" s="676">
        <f>D590*$D$577</f>
        <v>413.85924390176399</v>
      </c>
      <c r="G590" s="676">
        <f>G589</f>
        <v>772.63679844369324</v>
      </c>
      <c r="H590" s="647"/>
      <c r="I590" s="647"/>
      <c r="J590" s="739"/>
      <c r="K590" s="761"/>
      <c r="L590" s="761"/>
    </row>
    <row r="591" spans="2:12">
      <c r="B591" s="739"/>
      <c r="C591" s="676">
        <f>+C590+1</f>
        <v>4</v>
      </c>
      <c r="D591" s="676">
        <f>D590-E590</f>
        <v>30726.148422670911</v>
      </c>
      <c r="E591" s="676">
        <f>G591-F591</f>
        <v>363.55425587814909</v>
      </c>
      <c r="F591" s="676">
        <f>D591*$D$577</f>
        <v>409.08254256554414</v>
      </c>
      <c r="G591" s="676">
        <f>G590</f>
        <v>772.63679844369324</v>
      </c>
      <c r="H591" s="647"/>
      <c r="I591" s="647"/>
      <c r="J591" s="739"/>
      <c r="K591" s="761"/>
      <c r="L591" s="761"/>
    </row>
    <row r="592" spans="2:12">
      <c r="B592" s="739"/>
      <c r="C592" s="676">
        <f>+C591+1</f>
        <v>5</v>
      </c>
      <c r="D592" s="676">
        <f>D591-E591</f>
        <v>30362.594166792762</v>
      </c>
      <c r="E592" s="676">
        <f>G592-F592</f>
        <v>368.39455337685621</v>
      </c>
      <c r="F592" s="676">
        <f>D592*$D$577</f>
        <v>404.24224506683703</v>
      </c>
      <c r="G592" s="676">
        <f>G591</f>
        <v>772.63679844369324</v>
      </c>
      <c r="H592" s="647">
        <f>SUM(G588:G592)</f>
        <v>3863.1839922184663</v>
      </c>
      <c r="I592" s="647"/>
      <c r="J592" s="739"/>
      <c r="K592" s="761"/>
      <c r="L592" s="761"/>
    </row>
    <row r="593" spans="2:12">
      <c r="B593" s="881"/>
      <c r="C593" s="676">
        <f t="shared" ref="C593:C647" si="76">+C592+1</f>
        <v>6</v>
      </c>
      <c r="D593" s="676">
        <f t="shared" ref="D593:D647" si="77">D592-E592</f>
        <v>29994.199613415905</v>
      </c>
      <c r="E593" s="676">
        <f t="shared" ref="E593:E647" si="78">G593-F593</f>
        <v>373.29929374618632</v>
      </c>
      <c r="F593" s="676">
        <f t="shared" ref="F593:F647" si="79">D593*$D$577</f>
        <v>399.33750469750692</v>
      </c>
      <c r="G593" s="676">
        <f>G592</f>
        <v>772.63679844369324</v>
      </c>
      <c r="H593" s="683"/>
      <c r="I593" s="683"/>
      <c r="J593" s="881"/>
      <c r="K593" s="761"/>
      <c r="L593" s="761"/>
    </row>
    <row r="594" spans="2:12">
      <c r="B594" s="881"/>
      <c r="C594" s="676">
        <f t="shared" si="76"/>
        <v>7</v>
      </c>
      <c r="D594" s="676">
        <f t="shared" si="77"/>
        <v>29620.900319669719</v>
      </c>
      <c r="E594" s="676">
        <f t="shared" si="78"/>
        <v>378.26933496719846</v>
      </c>
      <c r="F594" s="676">
        <f t="shared" si="79"/>
        <v>394.36746347649478</v>
      </c>
      <c r="G594" s="676">
        <f t="shared" ref="G594:G647" si="80">G593</f>
        <v>772.63679844369324</v>
      </c>
      <c r="H594" s="683"/>
      <c r="I594" s="683"/>
      <c r="J594" s="881"/>
      <c r="K594" s="761"/>
      <c r="L594" s="761"/>
    </row>
    <row r="595" spans="2:12">
      <c r="B595" s="881"/>
      <c r="C595" s="676">
        <f t="shared" si="76"/>
        <v>8</v>
      </c>
      <c r="D595" s="676">
        <f t="shared" si="77"/>
        <v>29242.630984702522</v>
      </c>
      <c r="E595" s="676">
        <f t="shared" si="78"/>
        <v>383.30554644396079</v>
      </c>
      <c r="F595" s="676">
        <f t="shared" si="79"/>
        <v>389.33125199973244</v>
      </c>
      <c r="G595" s="676">
        <f t="shared" si="80"/>
        <v>772.63679844369324</v>
      </c>
      <c r="H595" s="683"/>
      <c r="I595" s="683"/>
      <c r="J595" s="881"/>
      <c r="K595" s="761"/>
      <c r="L595" s="761"/>
    </row>
    <row r="596" spans="2:12">
      <c r="B596" s="881"/>
      <c r="C596" s="676">
        <f t="shared" si="76"/>
        <v>9</v>
      </c>
      <c r="D596" s="676">
        <f t="shared" si="77"/>
        <v>28859.325438258562</v>
      </c>
      <c r="E596" s="676">
        <f t="shared" si="78"/>
        <v>388.40880915563457</v>
      </c>
      <c r="F596" s="676">
        <f t="shared" si="79"/>
        <v>384.22798928805867</v>
      </c>
      <c r="G596" s="676">
        <f t="shared" si="80"/>
        <v>772.63679844369324</v>
      </c>
      <c r="H596" s="683"/>
      <c r="I596" s="683"/>
      <c r="J596" s="881"/>
      <c r="K596" s="761"/>
      <c r="L596" s="761"/>
    </row>
    <row r="597" spans="2:12">
      <c r="B597" s="881"/>
      <c r="C597" s="676">
        <f t="shared" si="76"/>
        <v>10</v>
      </c>
      <c r="D597" s="676">
        <f t="shared" si="77"/>
        <v>28470.916629102929</v>
      </c>
      <c r="E597" s="676">
        <f t="shared" si="78"/>
        <v>393.58001581058278</v>
      </c>
      <c r="F597" s="676">
        <f t="shared" si="79"/>
        <v>379.05678263311046</v>
      </c>
      <c r="G597" s="676">
        <f t="shared" si="80"/>
        <v>772.63679844369324</v>
      </c>
      <c r="H597" s="683"/>
      <c r="I597" s="683"/>
      <c r="J597" s="881"/>
      <c r="K597" s="761"/>
      <c r="L597" s="761"/>
    </row>
    <row r="598" spans="2:12">
      <c r="B598" s="881"/>
      <c r="C598" s="676">
        <f t="shared" si="76"/>
        <v>11</v>
      </c>
      <c r="D598" s="676">
        <f t="shared" si="77"/>
        <v>28077.336613292347</v>
      </c>
      <c r="E598" s="676">
        <f t="shared" si="78"/>
        <v>398.82007100253071</v>
      </c>
      <c r="F598" s="676">
        <f t="shared" si="79"/>
        <v>373.81672744116253</v>
      </c>
      <c r="G598" s="676">
        <f t="shared" si="80"/>
        <v>772.63679844369324</v>
      </c>
      <c r="H598" s="683"/>
      <c r="I598" s="683"/>
      <c r="J598" s="881"/>
      <c r="K598" s="761"/>
      <c r="L598" s="761"/>
    </row>
    <row r="599" spans="2:12">
      <c r="B599" s="881"/>
      <c r="C599" s="676">
        <f t="shared" si="76"/>
        <v>12</v>
      </c>
      <c r="D599" s="676">
        <f t="shared" si="77"/>
        <v>27678.516542289817</v>
      </c>
      <c r="E599" s="676">
        <f t="shared" si="78"/>
        <v>404.12989136880566</v>
      </c>
      <c r="F599" s="676">
        <f t="shared" si="79"/>
        <v>368.50690707488758</v>
      </c>
      <c r="G599" s="676">
        <f t="shared" si="80"/>
        <v>772.63679844369324</v>
      </c>
      <c r="H599" s="683"/>
      <c r="I599" s="683"/>
      <c r="J599" s="881"/>
      <c r="K599" s="761"/>
      <c r="L599" s="761"/>
    </row>
    <row r="600" spans="2:12">
      <c r="B600" s="881"/>
      <c r="C600" s="676">
        <f t="shared" si="76"/>
        <v>13</v>
      </c>
      <c r="D600" s="676">
        <f t="shared" si="77"/>
        <v>27274.386650921013</v>
      </c>
      <c r="E600" s="676">
        <f t="shared" si="78"/>
        <v>409.51040575068333</v>
      </c>
      <c r="F600" s="676">
        <f t="shared" si="79"/>
        <v>363.1263926930099</v>
      </c>
      <c r="G600" s="676">
        <f t="shared" si="80"/>
        <v>772.63679844369324</v>
      </c>
      <c r="H600" s="683"/>
      <c r="I600" s="683"/>
      <c r="J600" s="881"/>
      <c r="K600" s="761"/>
      <c r="L600" s="761"/>
    </row>
    <row r="601" spans="2:12">
      <c r="B601" s="881"/>
      <c r="C601" s="676">
        <f t="shared" si="76"/>
        <v>14</v>
      </c>
      <c r="D601" s="676">
        <f t="shared" si="77"/>
        <v>26864.87624517033</v>
      </c>
      <c r="E601" s="676">
        <f t="shared" si="78"/>
        <v>414.96255535586886</v>
      </c>
      <c r="F601" s="676">
        <f t="shared" si="79"/>
        <v>357.67424308782438</v>
      </c>
      <c r="G601" s="676">
        <f t="shared" si="80"/>
        <v>772.63679844369324</v>
      </c>
      <c r="H601" s="683"/>
      <c r="I601" s="683"/>
      <c r="J601" s="881"/>
      <c r="K601" s="761"/>
      <c r="L601" s="761"/>
    </row>
    <row r="602" spans="2:12">
      <c r="B602" s="881"/>
      <c r="C602" s="676">
        <f t="shared" si="76"/>
        <v>15</v>
      </c>
      <c r="D602" s="676">
        <f t="shared" si="77"/>
        <v>26449.913689814461</v>
      </c>
      <c r="E602" s="676">
        <f t="shared" si="78"/>
        <v>420.48729392314152</v>
      </c>
      <c r="F602" s="676">
        <f t="shared" si="79"/>
        <v>352.14950452055172</v>
      </c>
      <c r="G602" s="676">
        <f t="shared" si="80"/>
        <v>772.63679844369324</v>
      </c>
      <c r="H602" s="683"/>
      <c r="I602" s="683"/>
      <c r="J602" s="881"/>
      <c r="K602" s="761"/>
      <c r="L602" s="761"/>
    </row>
    <row r="603" spans="2:12">
      <c r="B603" s="881"/>
      <c r="C603" s="676">
        <f t="shared" si="76"/>
        <v>16</v>
      </c>
      <c r="D603" s="676">
        <f t="shared" si="77"/>
        <v>26029.426395891318</v>
      </c>
      <c r="E603" s="676">
        <f t="shared" si="78"/>
        <v>426.08558788919117</v>
      </c>
      <c r="F603" s="676">
        <f t="shared" si="79"/>
        <v>346.55121055450206</v>
      </c>
      <c r="G603" s="676">
        <f t="shared" si="80"/>
        <v>772.63679844369324</v>
      </c>
      <c r="H603" s="683"/>
      <c r="I603" s="683"/>
      <c r="J603" s="881"/>
      <c r="K603" s="761"/>
      <c r="L603" s="761"/>
    </row>
    <row r="604" spans="2:12">
      <c r="B604" s="881"/>
      <c r="C604" s="676">
        <f t="shared" si="76"/>
        <v>17</v>
      </c>
      <c r="D604" s="676">
        <f t="shared" si="77"/>
        <v>25603.340808002125</v>
      </c>
      <c r="E604" s="676">
        <f t="shared" si="78"/>
        <v>431.7584165576759</v>
      </c>
      <c r="F604" s="676">
        <f t="shared" si="79"/>
        <v>340.87838188601734</v>
      </c>
      <c r="G604" s="676">
        <f t="shared" si="80"/>
        <v>772.63679844369324</v>
      </c>
      <c r="H604" s="683"/>
      <c r="I604" s="683"/>
      <c r="J604" s="881"/>
      <c r="K604" s="761"/>
      <c r="L604" s="761"/>
    </row>
    <row r="605" spans="2:12">
      <c r="B605" s="881"/>
      <c r="C605" s="676">
        <f t="shared" si="76"/>
        <v>18</v>
      </c>
      <c r="D605" s="676">
        <f t="shared" si="77"/>
        <v>25171.582391444448</v>
      </c>
      <c r="E605" s="676">
        <f t="shared" si="78"/>
        <v>437.5067722705308</v>
      </c>
      <c r="F605" s="676">
        <f t="shared" si="79"/>
        <v>335.13002617316243</v>
      </c>
      <c r="G605" s="676">
        <f t="shared" si="80"/>
        <v>772.63679844369324</v>
      </c>
      <c r="H605" s="683"/>
      <c r="I605" s="683"/>
      <c r="J605" s="881"/>
      <c r="K605" s="761"/>
      <c r="L605" s="761"/>
    </row>
    <row r="606" spans="2:12">
      <c r="B606" s="881"/>
      <c r="C606" s="676">
        <f t="shared" si="76"/>
        <v>19</v>
      </c>
      <c r="D606" s="676">
        <f t="shared" si="77"/>
        <v>24734.075619173916</v>
      </c>
      <c r="E606" s="676">
        <f t="shared" si="78"/>
        <v>443.33166058155706</v>
      </c>
      <c r="F606" s="676">
        <f t="shared" si="79"/>
        <v>329.30513786213618</v>
      </c>
      <c r="G606" s="676">
        <f t="shared" si="80"/>
        <v>772.63679844369324</v>
      </c>
      <c r="H606" s="683"/>
      <c r="I606" s="683"/>
      <c r="J606" s="881"/>
      <c r="K606" s="761"/>
      <c r="L606" s="761"/>
    </row>
    <row r="607" spans="2:12">
      <c r="B607" s="881"/>
      <c r="C607" s="676">
        <f t="shared" si="76"/>
        <v>20</v>
      </c>
      <c r="D607" s="676">
        <f t="shared" si="77"/>
        <v>24290.74395859236</v>
      </c>
      <c r="E607" s="676">
        <f t="shared" si="78"/>
        <v>449.23410043232258</v>
      </c>
      <c r="F607" s="676">
        <f t="shared" si="79"/>
        <v>323.40269801137066</v>
      </c>
      <c r="G607" s="676">
        <f t="shared" si="80"/>
        <v>772.63679844369324</v>
      </c>
      <c r="H607" s="683"/>
      <c r="I607" s="683"/>
      <c r="J607" s="881"/>
      <c r="K607" s="761"/>
      <c r="L607" s="761"/>
    </row>
    <row r="608" spans="2:12">
      <c r="B608" s="881"/>
      <c r="C608" s="676">
        <f t="shared" si="76"/>
        <v>21</v>
      </c>
      <c r="D608" s="676">
        <f t="shared" si="77"/>
        <v>23841.509858160036</v>
      </c>
      <c r="E608" s="676">
        <f t="shared" si="78"/>
        <v>455.21512433040425</v>
      </c>
      <c r="F608" s="676">
        <f t="shared" si="79"/>
        <v>317.42167411328899</v>
      </c>
      <c r="G608" s="676">
        <f t="shared" si="80"/>
        <v>772.63679844369324</v>
      </c>
      <c r="H608" s="683"/>
      <c r="I608" s="683"/>
      <c r="J608" s="881"/>
      <c r="K608" s="761"/>
      <c r="L608" s="761"/>
    </row>
    <row r="609" spans="2:12">
      <c r="B609" s="881"/>
      <c r="C609" s="676">
        <f t="shared" si="76"/>
        <v>22</v>
      </c>
      <c r="D609" s="676">
        <f t="shared" si="77"/>
        <v>23386.294733829633</v>
      </c>
      <c r="E609" s="676">
        <f t="shared" si="78"/>
        <v>461.27577853000355</v>
      </c>
      <c r="F609" s="676">
        <f t="shared" si="79"/>
        <v>311.36101991368969</v>
      </c>
      <c r="G609" s="676">
        <f t="shared" si="80"/>
        <v>772.63679844369324</v>
      </c>
      <c r="H609" s="683"/>
      <c r="I609" s="683"/>
      <c r="J609" s="881"/>
      <c r="K609" s="761"/>
      <c r="L609" s="761"/>
    </row>
    <row r="610" spans="2:12">
      <c r="B610" s="881"/>
      <c r="C610" s="676">
        <f t="shared" si="76"/>
        <v>23</v>
      </c>
      <c r="D610" s="676">
        <f t="shared" si="77"/>
        <v>22925.018955299631</v>
      </c>
      <c r="E610" s="676">
        <f t="shared" si="78"/>
        <v>467.41712321496658</v>
      </c>
      <c r="F610" s="676">
        <f t="shared" si="79"/>
        <v>305.21967522872666</v>
      </c>
      <c r="G610" s="676">
        <f t="shared" si="80"/>
        <v>772.63679844369324</v>
      </c>
      <c r="H610" s="683"/>
      <c r="I610" s="683"/>
      <c r="J610" s="881"/>
      <c r="K610" s="761"/>
      <c r="L610" s="761"/>
    </row>
    <row r="611" spans="2:12">
      <c r="B611" s="881"/>
      <c r="C611" s="676">
        <f t="shared" si="76"/>
        <v>24</v>
      </c>
      <c r="D611" s="676">
        <f t="shared" si="77"/>
        <v>22457.601832084663</v>
      </c>
      <c r="E611" s="676">
        <f t="shared" si="78"/>
        <v>473.64023268424086</v>
      </c>
      <c r="F611" s="676">
        <f t="shared" si="79"/>
        <v>298.99656575945238</v>
      </c>
      <c r="G611" s="676">
        <f t="shared" si="80"/>
        <v>772.63679844369324</v>
      </c>
      <c r="H611" s="683"/>
      <c r="I611" s="683"/>
      <c r="J611" s="881"/>
      <c r="K611" s="761"/>
      <c r="L611" s="761"/>
    </row>
    <row r="612" spans="2:12">
      <c r="B612" s="881"/>
      <c r="C612" s="676">
        <f t="shared" si="76"/>
        <v>25</v>
      </c>
      <c r="D612" s="676">
        <f t="shared" si="77"/>
        <v>21983.961599400423</v>
      </c>
      <c r="E612" s="676">
        <f t="shared" si="78"/>
        <v>479.94619553980147</v>
      </c>
      <c r="F612" s="676">
        <f t="shared" si="79"/>
        <v>292.69060290389177</v>
      </c>
      <c r="G612" s="676">
        <f t="shared" si="80"/>
        <v>772.63679844369324</v>
      </c>
      <c r="H612" s="683"/>
      <c r="I612" s="683"/>
      <c r="J612" s="881"/>
      <c r="K612" s="761"/>
      <c r="L612" s="761"/>
    </row>
    <row r="613" spans="2:12">
      <c r="B613" s="881"/>
      <c r="C613" s="676">
        <f t="shared" si="76"/>
        <v>26</v>
      </c>
      <c r="D613" s="676">
        <f t="shared" si="77"/>
        <v>21504.015403860623</v>
      </c>
      <c r="E613" s="676">
        <f t="shared" si="78"/>
        <v>486.3361148770789</v>
      </c>
      <c r="F613" s="676">
        <f t="shared" si="79"/>
        <v>286.30068356661434</v>
      </c>
      <c r="G613" s="676">
        <f t="shared" si="80"/>
        <v>772.63679844369324</v>
      </c>
      <c r="H613" s="683"/>
      <c r="I613" s="683"/>
      <c r="J613" s="881"/>
      <c r="K613" s="761"/>
      <c r="L613" s="761"/>
    </row>
    <row r="614" spans="2:12">
      <c r="B614" s="881"/>
      <c r="C614" s="676">
        <f t="shared" si="76"/>
        <v>27</v>
      </c>
      <c r="D614" s="676">
        <f t="shared" si="77"/>
        <v>21017.679288983545</v>
      </c>
      <c r="E614" s="676">
        <f t="shared" si="78"/>
        <v>492.81110847792246</v>
      </c>
      <c r="F614" s="676">
        <f t="shared" si="79"/>
        <v>279.82568996577078</v>
      </c>
      <c r="G614" s="676">
        <f t="shared" si="80"/>
        <v>772.63679844369324</v>
      </c>
      <c r="H614" s="683"/>
      <c r="I614" s="683"/>
      <c r="J614" s="881"/>
      <c r="K614" s="761"/>
      <c r="L614" s="761"/>
    </row>
    <row r="615" spans="2:12">
      <c r="B615" s="881"/>
      <c r="C615" s="676">
        <f t="shared" si="76"/>
        <v>28</v>
      </c>
      <c r="D615" s="676">
        <f t="shared" si="77"/>
        <v>20524.868180505622</v>
      </c>
      <c r="E615" s="676">
        <f t="shared" si="78"/>
        <v>499.37230900613264</v>
      </c>
      <c r="F615" s="676">
        <f t="shared" si="79"/>
        <v>273.2644894375606</v>
      </c>
      <c r="G615" s="676">
        <f t="shared" si="80"/>
        <v>772.63679844369324</v>
      </c>
      <c r="H615" s="683"/>
      <c r="I615" s="683"/>
      <c r="J615" s="881"/>
      <c r="K615" s="761"/>
      <c r="L615" s="761"/>
    </row>
    <row r="616" spans="2:12">
      <c r="B616" s="881"/>
      <c r="C616" s="676">
        <f t="shared" si="76"/>
        <v>29</v>
      </c>
      <c r="D616" s="676">
        <f t="shared" si="77"/>
        <v>20025.49587149949</v>
      </c>
      <c r="E616" s="676">
        <f t="shared" si="78"/>
        <v>506.02086420559675</v>
      </c>
      <c r="F616" s="676">
        <f t="shared" si="79"/>
        <v>266.61593423809649</v>
      </c>
      <c r="G616" s="676">
        <f t="shared" si="80"/>
        <v>772.63679844369324</v>
      </c>
      <c r="H616" s="683"/>
      <c r="I616" s="683"/>
      <c r="J616" s="881"/>
      <c r="K616" s="761"/>
      <c r="L616" s="761"/>
    </row>
    <row r="617" spans="2:12">
      <c r="B617" s="881"/>
      <c r="C617" s="676">
        <f t="shared" si="76"/>
        <v>30</v>
      </c>
      <c r="D617" s="676">
        <f t="shared" si="77"/>
        <v>19519.475007293895</v>
      </c>
      <c r="E617" s="676">
        <f t="shared" si="78"/>
        <v>512.75793710106268</v>
      </c>
      <c r="F617" s="676">
        <f t="shared" si="79"/>
        <v>259.87886134263056</v>
      </c>
      <c r="G617" s="676">
        <f t="shared" si="80"/>
        <v>772.63679844369324</v>
      </c>
      <c r="H617" s="683"/>
      <c r="I617" s="683"/>
      <c r="J617" s="881"/>
      <c r="K617" s="761"/>
      <c r="L617" s="761"/>
    </row>
    <row r="618" spans="2:12">
      <c r="B618" s="881"/>
      <c r="C618" s="676">
        <f t="shared" si="76"/>
        <v>31</v>
      </c>
      <c r="D618" s="676">
        <f t="shared" si="77"/>
        <v>19006.717070192833</v>
      </c>
      <c r="E618" s="676">
        <f t="shared" si="78"/>
        <v>519.58470620158539</v>
      </c>
      <c r="F618" s="676">
        <f t="shared" si="79"/>
        <v>253.05209224210782</v>
      </c>
      <c r="G618" s="676">
        <f t="shared" si="80"/>
        <v>772.63679844369324</v>
      </c>
      <c r="H618" s="683"/>
      <c r="I618" s="683"/>
      <c r="J618" s="881"/>
      <c r="K618" s="761"/>
      <c r="L618" s="761"/>
    </row>
    <row r="619" spans="2:12">
      <c r="B619" s="881"/>
      <c r="C619" s="676">
        <f t="shared" si="76"/>
        <v>32</v>
      </c>
      <c r="D619" s="676">
        <f t="shared" si="77"/>
        <v>18487.132363991248</v>
      </c>
      <c r="E619" s="676">
        <f t="shared" si="78"/>
        <v>526.50236570668267</v>
      </c>
      <c r="F619" s="676">
        <f t="shared" si="79"/>
        <v>246.13443273701063</v>
      </c>
      <c r="G619" s="676">
        <f t="shared" si="80"/>
        <v>772.63679844369324</v>
      </c>
      <c r="H619" s="683"/>
      <c r="I619" s="683"/>
      <c r="J619" s="881"/>
      <c r="K619" s="761"/>
      <c r="L619" s="761"/>
    </row>
    <row r="620" spans="2:12">
      <c r="B620" s="881"/>
      <c r="C620" s="676">
        <f t="shared" si="76"/>
        <v>33</v>
      </c>
      <c r="D620" s="676">
        <f t="shared" si="77"/>
        <v>17960.629998284567</v>
      </c>
      <c r="E620" s="676">
        <f t="shared" si="78"/>
        <v>533.51212571523433</v>
      </c>
      <c r="F620" s="676">
        <f t="shared" si="79"/>
        <v>239.1246727284589</v>
      </c>
      <c r="G620" s="676">
        <f t="shared" si="80"/>
        <v>772.63679844369324</v>
      </c>
      <c r="H620" s="683"/>
      <c r="I620" s="683"/>
      <c r="J620" s="881"/>
      <c r="K620" s="761"/>
      <c r="L620" s="761"/>
    </row>
    <row r="621" spans="2:12">
      <c r="B621" s="881"/>
      <c r="C621" s="676">
        <f t="shared" si="76"/>
        <v>34</v>
      </c>
      <c r="D621" s="676">
        <f t="shared" si="77"/>
        <v>17427.117872569332</v>
      </c>
      <c r="E621" s="676">
        <f t="shared" si="78"/>
        <v>540.6152124371647</v>
      </c>
      <c r="F621" s="676">
        <f t="shared" si="79"/>
        <v>232.02158600652851</v>
      </c>
      <c r="G621" s="676">
        <f t="shared" si="80"/>
        <v>772.63679844369324</v>
      </c>
      <c r="H621" s="683"/>
      <c r="I621" s="683"/>
      <c r="J621" s="881"/>
      <c r="K621" s="761"/>
      <c r="L621" s="761"/>
    </row>
    <row r="622" spans="2:12">
      <c r="B622" s="881"/>
      <c r="C622" s="676">
        <f t="shared" si="76"/>
        <v>35</v>
      </c>
      <c r="D622" s="676">
        <f t="shared" si="77"/>
        <v>16886.502660132166</v>
      </c>
      <c r="E622" s="676">
        <f t="shared" si="78"/>
        <v>547.81286840794144</v>
      </c>
      <c r="F622" s="676">
        <f t="shared" si="79"/>
        <v>224.82393003575183</v>
      </c>
      <c r="G622" s="676">
        <f t="shared" si="80"/>
        <v>772.63679844369324</v>
      </c>
      <c r="H622" s="683"/>
      <c r="I622" s="683"/>
      <c r="J622" s="881"/>
      <c r="K622" s="761"/>
      <c r="L622" s="761"/>
    </row>
    <row r="623" spans="2:12">
      <c r="B623" s="881"/>
      <c r="C623" s="676">
        <f t="shared" si="76"/>
        <v>36</v>
      </c>
      <c r="D623" s="676">
        <f t="shared" si="77"/>
        <v>16338.689791724224</v>
      </c>
      <c r="E623" s="676">
        <f t="shared" si="78"/>
        <v>555.10635270593093</v>
      </c>
      <c r="F623" s="676">
        <f t="shared" si="79"/>
        <v>217.53044573776234</v>
      </c>
      <c r="G623" s="676">
        <f t="shared" si="80"/>
        <v>772.63679844369324</v>
      </c>
      <c r="H623" s="683"/>
      <c r="I623" s="683"/>
      <c r="J623" s="881"/>
      <c r="K623" s="761"/>
      <c r="L623" s="761"/>
    </row>
    <row r="624" spans="2:12">
      <c r="B624" s="881"/>
      <c r="C624" s="676">
        <f t="shared" si="76"/>
        <v>37</v>
      </c>
      <c r="D624" s="676">
        <f t="shared" si="77"/>
        <v>15783.583439018294</v>
      </c>
      <c r="E624" s="676">
        <f t="shared" si="78"/>
        <v>562.49694117264789</v>
      </c>
      <c r="F624" s="676">
        <f t="shared" si="79"/>
        <v>210.13985727104532</v>
      </c>
      <c r="G624" s="676">
        <f t="shared" si="80"/>
        <v>772.63679844369324</v>
      </c>
      <c r="H624" s="683"/>
      <c r="I624" s="683"/>
      <c r="J624" s="881"/>
      <c r="K624" s="761"/>
      <c r="L624" s="761"/>
    </row>
    <row r="625" spans="2:12">
      <c r="B625" s="881"/>
      <c r="C625" s="676">
        <f t="shared" si="76"/>
        <v>38</v>
      </c>
      <c r="D625" s="676">
        <f t="shared" si="77"/>
        <v>15221.086497845645</v>
      </c>
      <c r="E625" s="676">
        <f t="shared" si="78"/>
        <v>569.98592663593718</v>
      </c>
      <c r="F625" s="676">
        <f t="shared" si="79"/>
        <v>202.65087180775612</v>
      </c>
      <c r="G625" s="676">
        <f t="shared" si="80"/>
        <v>772.63679844369324</v>
      </c>
      <c r="H625" s="683"/>
      <c r="I625" s="683"/>
      <c r="J625" s="881"/>
      <c r="K625" s="761"/>
      <c r="L625" s="761"/>
    </row>
    <row r="626" spans="2:12">
      <c r="B626" s="881"/>
      <c r="C626" s="676">
        <f t="shared" si="76"/>
        <v>39</v>
      </c>
      <c r="D626" s="676">
        <f t="shared" si="77"/>
        <v>14651.100571209707</v>
      </c>
      <c r="E626" s="676">
        <f t="shared" si="78"/>
        <v>577.57461913612588</v>
      </c>
      <c r="F626" s="676">
        <f t="shared" si="79"/>
        <v>195.06217930756742</v>
      </c>
      <c r="G626" s="676">
        <f t="shared" si="80"/>
        <v>772.63679844369324</v>
      </c>
      <c r="H626" s="683"/>
      <c r="I626" s="683"/>
      <c r="J626" s="881"/>
      <c r="K626" s="761"/>
      <c r="L626" s="761"/>
    </row>
    <row r="627" spans="2:12">
      <c r="B627" s="881"/>
      <c r="C627" s="676">
        <f t="shared" si="76"/>
        <v>40</v>
      </c>
      <c r="D627" s="676">
        <f t="shared" si="77"/>
        <v>14073.525952073582</v>
      </c>
      <c r="E627" s="676">
        <f t="shared" si="78"/>
        <v>585.26434615518815</v>
      </c>
      <c r="F627" s="676">
        <f t="shared" si="79"/>
        <v>187.37245228850509</v>
      </c>
      <c r="G627" s="676">
        <f t="shared" si="80"/>
        <v>772.63679844369324</v>
      </c>
      <c r="H627" s="683"/>
      <c r="I627" s="683"/>
      <c r="J627" s="881"/>
      <c r="K627" s="761"/>
      <c r="L627" s="761"/>
    </row>
    <row r="628" spans="2:12">
      <c r="B628" s="881"/>
      <c r="C628" s="676">
        <f t="shared" si="76"/>
        <v>41</v>
      </c>
      <c r="D628" s="676">
        <f t="shared" si="77"/>
        <v>13488.261605918393</v>
      </c>
      <c r="E628" s="676">
        <f t="shared" si="78"/>
        <v>593.05645284896013</v>
      </c>
      <c r="F628" s="676">
        <f t="shared" si="79"/>
        <v>179.5803455947331</v>
      </c>
      <c r="G628" s="676">
        <f t="shared" si="80"/>
        <v>772.63679844369324</v>
      </c>
      <c r="H628" s="683"/>
      <c r="I628" s="683"/>
      <c r="J628" s="881"/>
      <c r="K628" s="761"/>
      <c r="L628" s="761"/>
    </row>
    <row r="629" spans="2:12">
      <c r="B629" s="881"/>
      <c r="C629" s="676">
        <f t="shared" si="76"/>
        <v>42</v>
      </c>
      <c r="D629" s="676">
        <f t="shared" si="77"/>
        <v>12895.205153069433</v>
      </c>
      <c r="E629" s="676">
        <f t="shared" si="78"/>
        <v>600.95230228244623</v>
      </c>
      <c r="F629" s="676">
        <f t="shared" si="79"/>
        <v>171.68449616124704</v>
      </c>
      <c r="G629" s="676">
        <f t="shared" si="80"/>
        <v>772.63679844369324</v>
      </c>
      <c r="H629" s="683"/>
      <c r="I629" s="683"/>
      <c r="J629" s="881"/>
      <c r="K629" s="761"/>
      <c r="L629" s="761"/>
    </row>
    <row r="630" spans="2:12">
      <c r="B630" s="881"/>
      <c r="C630" s="676">
        <f t="shared" si="76"/>
        <v>43</v>
      </c>
      <c r="D630" s="676">
        <f t="shared" si="77"/>
        <v>12294.252850786987</v>
      </c>
      <c r="E630" s="676">
        <f t="shared" si="78"/>
        <v>608.95327566825893</v>
      </c>
      <c r="F630" s="676">
        <f t="shared" si="79"/>
        <v>163.68352277543434</v>
      </c>
      <c r="G630" s="676">
        <f t="shared" si="80"/>
        <v>772.63679844369324</v>
      </c>
      <c r="H630" s="683"/>
      <c r="I630" s="683"/>
      <c r="J630" s="881"/>
      <c r="K630" s="761"/>
      <c r="L630" s="761"/>
    </row>
    <row r="631" spans="2:12">
      <c r="B631" s="881"/>
      <c r="C631" s="676">
        <f t="shared" si="76"/>
        <v>44</v>
      </c>
      <c r="D631" s="676">
        <f t="shared" si="77"/>
        <v>11685.299575118728</v>
      </c>
      <c r="E631" s="676">
        <f t="shared" si="78"/>
        <v>617.06077260823281</v>
      </c>
      <c r="F631" s="676">
        <f t="shared" si="79"/>
        <v>155.57602583546046</v>
      </c>
      <c r="G631" s="676">
        <f t="shared" si="80"/>
        <v>772.63679844369324</v>
      </c>
      <c r="H631" s="683"/>
      <c r="I631" s="683"/>
      <c r="J631" s="881"/>
      <c r="K631" s="761"/>
      <c r="L631" s="761"/>
    </row>
    <row r="632" spans="2:12">
      <c r="B632" s="881"/>
      <c r="C632" s="676">
        <f t="shared" si="76"/>
        <v>45</v>
      </c>
      <c r="D632" s="676">
        <f t="shared" si="77"/>
        <v>11068.238802510496</v>
      </c>
      <c r="E632" s="676">
        <f t="shared" si="78"/>
        <v>625.27621133825539</v>
      </c>
      <c r="F632" s="676">
        <f t="shared" si="79"/>
        <v>147.36058710543782</v>
      </c>
      <c r="G632" s="676">
        <f t="shared" si="80"/>
        <v>772.63679844369324</v>
      </c>
      <c r="H632" s="683"/>
      <c r="I632" s="683"/>
      <c r="J632" s="881"/>
      <c r="K632" s="761"/>
      <c r="L632" s="761"/>
    </row>
    <row r="633" spans="2:12">
      <c r="B633" s="881"/>
      <c r="C633" s="676">
        <f t="shared" si="76"/>
        <v>46</v>
      </c>
      <c r="D633" s="676">
        <f t="shared" si="77"/>
        <v>10442.96259117224</v>
      </c>
      <c r="E633" s="676">
        <f t="shared" si="78"/>
        <v>633.60102897635784</v>
      </c>
      <c r="F633" s="676">
        <f t="shared" si="79"/>
        <v>139.03576946733537</v>
      </c>
      <c r="G633" s="676">
        <f t="shared" si="80"/>
        <v>772.63679844369324</v>
      </c>
      <c r="H633" s="683"/>
      <c r="I633" s="683"/>
      <c r="J633" s="881"/>
      <c r="K633" s="761"/>
      <c r="L633" s="761"/>
    </row>
    <row r="634" spans="2:12">
      <c r="B634" s="881"/>
      <c r="C634" s="676">
        <f t="shared" si="76"/>
        <v>47</v>
      </c>
      <c r="D634" s="676">
        <f t="shared" si="77"/>
        <v>9809.3615621958816</v>
      </c>
      <c r="E634" s="676">
        <f t="shared" si="78"/>
        <v>642.03668177410816</v>
      </c>
      <c r="F634" s="676">
        <f t="shared" si="79"/>
        <v>130.60011666958511</v>
      </c>
      <c r="G634" s="676">
        <f t="shared" si="80"/>
        <v>772.63679844369324</v>
      </c>
      <c r="H634" s="683"/>
      <c r="I634" s="683"/>
      <c r="J634" s="881"/>
      <c r="K634" s="761"/>
      <c r="L634" s="761"/>
    </row>
    <row r="635" spans="2:12">
      <c r="B635" s="881"/>
      <c r="C635" s="676">
        <f t="shared" si="76"/>
        <v>48</v>
      </c>
      <c r="D635" s="676">
        <f t="shared" si="77"/>
        <v>9167.3248804217728</v>
      </c>
      <c r="E635" s="676">
        <f t="shared" si="78"/>
        <v>650.58464537135183</v>
      </c>
      <c r="F635" s="676">
        <f t="shared" si="79"/>
        <v>122.05215307234143</v>
      </c>
      <c r="G635" s="676">
        <f t="shared" si="80"/>
        <v>772.63679844369324</v>
      </c>
      <c r="H635" s="683"/>
      <c r="I635" s="683"/>
      <c r="J635" s="881"/>
      <c r="K635" s="761"/>
      <c r="L635" s="761"/>
    </row>
    <row r="636" spans="2:12">
      <c r="B636" s="881"/>
      <c r="C636" s="676">
        <f t="shared" si="76"/>
        <v>49</v>
      </c>
      <c r="D636" s="676">
        <f t="shared" si="77"/>
        <v>8516.7402350504217</v>
      </c>
      <c r="E636" s="676">
        <f t="shared" si="78"/>
        <v>659.2464150543442</v>
      </c>
      <c r="F636" s="676">
        <f t="shared" si="79"/>
        <v>113.39038338934904</v>
      </c>
      <c r="G636" s="676">
        <f t="shared" si="80"/>
        <v>772.63679844369324</v>
      </c>
      <c r="H636" s="683"/>
      <c r="I636" s="683"/>
      <c r="J636" s="881"/>
      <c r="K636" s="761"/>
      <c r="L636" s="761"/>
    </row>
    <row r="637" spans="2:12">
      <c r="B637" s="881"/>
      <c r="C637" s="676">
        <f t="shared" si="76"/>
        <v>50</v>
      </c>
      <c r="D637" s="676">
        <f t="shared" si="77"/>
        <v>7857.4938199960779</v>
      </c>
      <c r="E637" s="676">
        <f t="shared" si="78"/>
        <v>668.02350601731916</v>
      </c>
      <c r="F637" s="676">
        <f t="shared" si="79"/>
        <v>104.61329242637412</v>
      </c>
      <c r="G637" s="676">
        <f t="shared" si="80"/>
        <v>772.63679844369324</v>
      </c>
      <c r="H637" s="683"/>
      <c r="I637" s="683"/>
      <c r="J637" s="881"/>
      <c r="K637" s="761"/>
      <c r="L637" s="761"/>
    </row>
    <row r="638" spans="2:12">
      <c r="B638" s="881"/>
      <c r="C638" s="676">
        <f t="shared" si="76"/>
        <v>51</v>
      </c>
      <c r="D638" s="676">
        <f t="shared" si="77"/>
        <v>7189.4703139787589</v>
      </c>
      <c r="E638" s="676">
        <f t="shared" si="78"/>
        <v>676.91745362754023</v>
      </c>
      <c r="F638" s="676">
        <f t="shared" si="79"/>
        <v>95.719344816152969</v>
      </c>
      <c r="G638" s="676">
        <f t="shared" si="80"/>
        <v>772.63679844369324</v>
      </c>
      <c r="H638" s="683"/>
      <c r="I638" s="683"/>
      <c r="J638" s="881"/>
      <c r="K638" s="761"/>
      <c r="L638" s="761"/>
    </row>
    <row r="639" spans="2:12">
      <c r="B639" s="881"/>
      <c r="C639" s="676">
        <f t="shared" si="76"/>
        <v>52</v>
      </c>
      <c r="D639" s="676">
        <f t="shared" si="77"/>
        <v>6512.5528603512184</v>
      </c>
      <c r="E639" s="676">
        <f t="shared" si="78"/>
        <v>685.92981369388133</v>
      </c>
      <c r="F639" s="676">
        <f t="shared" si="79"/>
        <v>86.706984749811909</v>
      </c>
      <c r="G639" s="676">
        <f t="shared" si="80"/>
        <v>772.63679844369324</v>
      </c>
      <c r="H639" s="683"/>
      <c r="I639" s="683"/>
      <c r="J639" s="881"/>
      <c r="K639" s="761"/>
      <c r="L639" s="761"/>
    </row>
    <row r="640" spans="2:12">
      <c r="B640" s="881"/>
      <c r="C640" s="676">
        <f t="shared" si="76"/>
        <v>53</v>
      </c>
      <c r="D640" s="676">
        <f t="shared" si="77"/>
        <v>5826.623046657337</v>
      </c>
      <c r="E640" s="676">
        <f t="shared" si="78"/>
        <v>695.06216273898212</v>
      </c>
      <c r="F640" s="676">
        <f t="shared" si="79"/>
        <v>77.574635704711142</v>
      </c>
      <c r="G640" s="676">
        <f t="shared" si="80"/>
        <v>772.63679844369324</v>
      </c>
      <c r="H640" s="683"/>
      <c r="I640" s="683"/>
      <c r="J640" s="881"/>
      <c r="K640" s="761"/>
      <c r="L640" s="761"/>
    </row>
    <row r="641" spans="2:12">
      <c r="B641" s="881"/>
      <c r="C641" s="676">
        <f t="shared" si="76"/>
        <v>54</v>
      </c>
      <c r="D641" s="676">
        <f t="shared" si="77"/>
        <v>5131.5608839183551</v>
      </c>
      <c r="E641" s="676">
        <f t="shared" si="78"/>
        <v>704.3160982750278</v>
      </c>
      <c r="F641" s="676">
        <f t="shared" si="79"/>
        <v>68.320700168665439</v>
      </c>
      <c r="G641" s="676">
        <f t="shared" si="80"/>
        <v>772.63679844369324</v>
      </c>
      <c r="H641" s="683"/>
      <c r="I641" s="683"/>
      <c r="J641" s="881"/>
      <c r="K641" s="761"/>
      <c r="L641" s="761"/>
    </row>
    <row r="642" spans="2:12">
      <c r="B642" s="881"/>
      <c r="C642" s="676">
        <f t="shared" si="76"/>
        <v>55</v>
      </c>
      <c r="D642" s="676">
        <f t="shared" si="77"/>
        <v>4427.2447856433273</v>
      </c>
      <c r="E642" s="676">
        <f t="shared" si="78"/>
        <v>713.6932390832003</v>
      </c>
      <c r="F642" s="676">
        <f t="shared" si="79"/>
        <v>58.943559360492955</v>
      </c>
      <c r="G642" s="676">
        <f t="shared" si="80"/>
        <v>772.63679844369324</v>
      </c>
      <c r="H642" s="683"/>
      <c r="I642" s="683"/>
      <c r="J642" s="881"/>
      <c r="K642" s="761"/>
      <c r="L642" s="761"/>
    </row>
    <row r="643" spans="2:12">
      <c r="B643" s="881"/>
      <c r="C643" s="676">
        <f t="shared" si="76"/>
        <v>56</v>
      </c>
      <c r="D643" s="676">
        <f t="shared" si="77"/>
        <v>3713.551546560127</v>
      </c>
      <c r="E643" s="676">
        <f t="shared" si="78"/>
        <v>723.19522549684973</v>
      </c>
      <c r="F643" s="676">
        <f t="shared" si="79"/>
        <v>49.441572946843543</v>
      </c>
      <c r="G643" s="676">
        <f t="shared" si="80"/>
        <v>772.63679844369324</v>
      </c>
      <c r="H643" s="683"/>
      <c r="I643" s="683"/>
      <c r="J643" s="881"/>
      <c r="K643" s="761"/>
      <c r="L643" s="761"/>
    </row>
    <row r="644" spans="2:12">
      <c r="B644" s="881"/>
      <c r="C644" s="676">
        <f t="shared" si="76"/>
        <v>57</v>
      </c>
      <c r="D644" s="676">
        <f t="shared" si="77"/>
        <v>2990.3563210632774</v>
      </c>
      <c r="E644" s="676">
        <f t="shared" si="78"/>
        <v>732.8237196884362</v>
      </c>
      <c r="F644" s="676">
        <f t="shared" si="79"/>
        <v>39.813078755256988</v>
      </c>
      <c r="G644" s="676">
        <f t="shared" si="80"/>
        <v>772.63679844369324</v>
      </c>
      <c r="H644" s="683"/>
      <c r="I644" s="683"/>
      <c r="J644" s="881"/>
      <c r="K644" s="761"/>
      <c r="L644" s="761"/>
    </row>
    <row r="645" spans="2:12">
      <c r="B645" s="881"/>
      <c r="C645" s="676">
        <f t="shared" si="76"/>
        <v>58</v>
      </c>
      <c r="D645" s="676">
        <f t="shared" si="77"/>
        <v>2257.5326013748413</v>
      </c>
      <c r="E645" s="676">
        <f t="shared" si="78"/>
        <v>742.5804059602923</v>
      </c>
      <c r="F645" s="676">
        <f t="shared" si="79"/>
        <v>30.056392483400924</v>
      </c>
      <c r="G645" s="676">
        <f t="shared" si="80"/>
        <v>772.63679844369324</v>
      </c>
      <c r="H645" s="683"/>
      <c r="I645" s="683"/>
      <c r="J645" s="881"/>
      <c r="K645" s="761"/>
      <c r="L645" s="761"/>
    </row>
    <row r="646" spans="2:12">
      <c r="B646" s="881"/>
      <c r="C646" s="676">
        <f t="shared" si="76"/>
        <v>59</v>
      </c>
      <c r="D646" s="676">
        <f t="shared" si="77"/>
        <v>1514.9521954145489</v>
      </c>
      <c r="E646" s="676">
        <f t="shared" si="78"/>
        <v>752.46699103925562</v>
      </c>
      <c r="F646" s="676">
        <f t="shared" si="79"/>
        <v>20.169807404437613</v>
      </c>
      <c r="G646" s="676">
        <f t="shared" si="80"/>
        <v>772.63679844369324</v>
      </c>
      <c r="H646" s="683"/>
      <c r="I646" s="683"/>
      <c r="J646" s="881"/>
      <c r="K646" s="761"/>
      <c r="L646" s="761"/>
    </row>
    <row r="647" spans="2:12" ht="26.25">
      <c r="B647" s="881"/>
      <c r="C647" s="676">
        <f t="shared" si="76"/>
        <v>60</v>
      </c>
      <c r="D647" s="684">
        <f t="shared" si="77"/>
        <v>762.48520437529328</v>
      </c>
      <c r="E647" s="684">
        <f t="shared" si="78"/>
        <v>762.48520437522518</v>
      </c>
      <c r="F647" s="676">
        <f t="shared" si="79"/>
        <v>10.151594068468004</v>
      </c>
      <c r="G647" s="676">
        <f t="shared" si="80"/>
        <v>772.63679844369324</v>
      </c>
      <c r="H647" s="683"/>
      <c r="I647" s="683"/>
      <c r="J647" s="881"/>
      <c r="K647" s="761"/>
      <c r="L647" s="761"/>
    </row>
    <row r="649" spans="2:12" ht="33.75">
      <c r="B649" s="882">
        <v>10.7</v>
      </c>
    </row>
    <row r="650" spans="2:12" ht="47.25" customHeight="1">
      <c r="B650" s="1288" t="s">
        <v>823</v>
      </c>
      <c r="C650" s="1288"/>
      <c r="D650" s="1288"/>
      <c r="E650" s="1288"/>
      <c r="F650" s="714"/>
      <c r="G650" s="745" t="s">
        <v>683</v>
      </c>
      <c r="H650" s="714"/>
      <c r="I650" s="714"/>
      <c r="J650" s="714"/>
    </row>
    <row r="651" spans="2:12" ht="23.25">
      <c r="B651" s="714"/>
      <c r="C651" s="714"/>
      <c r="D651" s="714"/>
      <c r="E651" s="714"/>
      <c r="F651" s="714"/>
      <c r="G651" s="883">
        <v>0</v>
      </c>
      <c r="H651" s="714"/>
      <c r="I651" s="714"/>
      <c r="J651" s="714"/>
    </row>
    <row r="652" spans="2:12" ht="69.75">
      <c r="B652" s="841" t="s">
        <v>684</v>
      </c>
      <c r="C652" s="724" t="s">
        <v>784</v>
      </c>
      <c r="D652" s="724" t="s">
        <v>685</v>
      </c>
      <c r="E652" s="724" t="s">
        <v>686</v>
      </c>
      <c r="F652" s="724" t="s">
        <v>687</v>
      </c>
      <c r="G652" s="724" t="s">
        <v>688</v>
      </c>
      <c r="H652" s="724" t="s">
        <v>689</v>
      </c>
      <c r="I652" s="724" t="s">
        <v>690</v>
      </c>
      <c r="J652" s="714"/>
    </row>
    <row r="653" spans="2:12" ht="23.25">
      <c r="B653" s="784" t="s">
        <v>691</v>
      </c>
      <c r="C653" s="884">
        <f>C350</f>
        <v>0.6</v>
      </c>
      <c r="D653" s="677">
        <f>D350</f>
        <v>47682.601799999997</v>
      </c>
      <c r="E653" s="883">
        <f>E350</f>
        <v>0.26392900000000002</v>
      </c>
      <c r="F653" s="884">
        <f>C653*E653</f>
        <v>0.15835740000000001</v>
      </c>
      <c r="G653" s="724" t="s">
        <v>692</v>
      </c>
      <c r="H653" s="724" t="s">
        <v>693</v>
      </c>
      <c r="I653" s="688">
        <f>F653</f>
        <v>0.15835740000000001</v>
      </c>
      <c r="J653" s="714"/>
    </row>
    <row r="654" spans="2:12" ht="23.25">
      <c r="B654" s="784" t="s">
        <v>694</v>
      </c>
      <c r="C654" s="884">
        <f>C351</f>
        <v>0.4</v>
      </c>
      <c r="D654" s="677">
        <f>D351</f>
        <v>31788.4012</v>
      </c>
      <c r="E654" s="883">
        <f>F351</f>
        <v>0.17199999999999999</v>
      </c>
      <c r="F654" s="884">
        <f>C654*E654</f>
        <v>6.88E-2</v>
      </c>
      <c r="G654" s="692" t="s">
        <v>692</v>
      </c>
      <c r="H654" s="883" t="s">
        <v>693</v>
      </c>
      <c r="I654" s="688">
        <f>F654</f>
        <v>6.88E-2</v>
      </c>
      <c r="J654" s="714"/>
    </row>
    <row r="655" spans="2:12" ht="23.25">
      <c r="B655" s="784"/>
      <c r="C655" s="885"/>
      <c r="D655" s="677"/>
      <c r="E655" s="886"/>
      <c r="F655" s="885">
        <f>C655*E655</f>
        <v>0</v>
      </c>
      <c r="G655" s="887"/>
      <c r="H655" s="746"/>
      <c r="I655" s="688">
        <f>F655*G655</f>
        <v>0</v>
      </c>
      <c r="J655" s="714"/>
    </row>
    <row r="656" spans="2:12" ht="69.75">
      <c r="B656" s="724" t="s">
        <v>183</v>
      </c>
      <c r="C656" s="888">
        <f>SUM(C653:C655)</f>
        <v>1</v>
      </c>
      <c r="D656" s="794">
        <f>SUM(D653:D655)</f>
        <v>79471.002999999997</v>
      </c>
      <c r="E656" s="724"/>
      <c r="F656" s="888">
        <f>SUM(F653:F655)</f>
        <v>0.22715740000000001</v>
      </c>
      <c r="G656" s="784"/>
      <c r="H656" s="746"/>
      <c r="I656" s="889">
        <f>SUM(I653:I655)</f>
        <v>0.22715740000000001</v>
      </c>
      <c r="J656" s="814" t="s">
        <v>695</v>
      </c>
    </row>
    <row r="657" spans="2:10" ht="23.25">
      <c r="B657" s="714"/>
      <c r="C657" s="714"/>
      <c r="D657" s="714"/>
      <c r="E657" s="714"/>
      <c r="F657" s="714"/>
      <c r="G657" s="714"/>
      <c r="H657" s="714"/>
      <c r="I657" s="871" t="s">
        <v>696</v>
      </c>
      <c r="J657" s="714"/>
    </row>
    <row r="658" spans="2:10">
      <c r="B658" s="761"/>
      <c r="C658" s="761"/>
      <c r="D658" s="761"/>
    </row>
    <row r="659" spans="2:10" ht="34.5" thickBot="1">
      <c r="B659" s="874">
        <v>10.8</v>
      </c>
      <c r="C659" s="761"/>
      <c r="D659" s="761"/>
    </row>
    <row r="660" spans="2:10" ht="27" thickBot="1">
      <c r="B660" s="1328" t="s">
        <v>785</v>
      </c>
      <c r="C660" s="1329"/>
      <c r="D660" s="1329"/>
      <c r="E660" s="1330"/>
    </row>
    <row r="662" spans="2:10" ht="26.25">
      <c r="B662" s="1331" t="s">
        <v>698</v>
      </c>
      <c r="C662" s="1332"/>
      <c r="D662" s="1267" t="s">
        <v>699</v>
      </c>
      <c r="E662" s="1269"/>
    </row>
    <row r="663" spans="2:10" ht="69.75">
      <c r="B663" s="724" t="s">
        <v>786</v>
      </c>
      <c r="C663" s="840">
        <f>D346</f>
        <v>10365.782999999999</v>
      </c>
      <c r="D663" s="724" t="s">
        <v>701</v>
      </c>
      <c r="E663" s="639">
        <f>(D654+D655)/5</f>
        <v>6357.6802399999997</v>
      </c>
      <c r="F663" s="776" t="s">
        <v>702</v>
      </c>
    </row>
    <row r="664" spans="2:10" ht="42">
      <c r="B664" s="724" t="s">
        <v>703</v>
      </c>
      <c r="C664" s="724"/>
      <c r="D664" s="724" t="s">
        <v>704</v>
      </c>
      <c r="E664" s="639">
        <f>((D654+D655)/5)*4</f>
        <v>25430.720959999999</v>
      </c>
      <c r="F664" s="777" t="s">
        <v>705</v>
      </c>
    </row>
    <row r="665" spans="2:10" ht="46.5">
      <c r="B665" s="724" t="s">
        <v>706</v>
      </c>
      <c r="C665" s="840">
        <f>D344+D345</f>
        <v>69105.22</v>
      </c>
      <c r="D665" s="890" t="s">
        <v>707</v>
      </c>
      <c r="E665" s="891">
        <f>SUM(E663:E664)</f>
        <v>31788.4012</v>
      </c>
      <c r="F665" s="776"/>
    </row>
    <row r="666" spans="2:10" ht="23.25">
      <c r="B666" s="841"/>
      <c r="C666" s="841"/>
      <c r="D666" s="814" t="s">
        <v>708</v>
      </c>
      <c r="E666" s="841"/>
      <c r="F666" s="776"/>
    </row>
    <row r="667" spans="2:10" ht="23.25">
      <c r="B667" s="841"/>
      <c r="C667" s="840"/>
      <c r="D667" s="814" t="s">
        <v>709</v>
      </c>
      <c r="E667" s="844">
        <f>D653</f>
        <v>47682.601799999997</v>
      </c>
      <c r="F667" s="777" t="s">
        <v>710</v>
      </c>
    </row>
    <row r="668" spans="2:10" ht="23.25">
      <c r="B668" s="890" t="s">
        <v>711</v>
      </c>
      <c r="C668" s="892">
        <f>SUM(C663:C667)</f>
        <v>79471.002999999997</v>
      </c>
      <c r="D668" s="890" t="s">
        <v>712</v>
      </c>
      <c r="E668" s="892">
        <f>E665+E667</f>
        <v>79471.002999999997</v>
      </c>
      <c r="F668" s="777" t="s">
        <v>713</v>
      </c>
    </row>
    <row r="669" spans="2:10" ht="23.25">
      <c r="B669" s="893"/>
      <c r="C669" s="893"/>
      <c r="D669" s="893"/>
      <c r="E669" s="893"/>
    </row>
    <row r="672" spans="2:10" ht="26.25">
      <c r="B672" s="1336" t="s">
        <v>714</v>
      </c>
      <c r="C672" s="1336"/>
      <c r="D672" s="1336"/>
      <c r="E672" s="1336"/>
      <c r="F672" s="1336"/>
      <c r="G672" s="1336"/>
      <c r="H672" s="1336"/>
      <c r="I672" s="634"/>
      <c r="J672" s="634"/>
    </row>
    <row r="673" spans="1:13" ht="26.25">
      <c r="A673" s="634"/>
      <c r="B673" s="894"/>
      <c r="C673" s="894"/>
      <c r="D673" s="894"/>
      <c r="E673" s="894"/>
      <c r="F673" s="895"/>
      <c r="G673" s="895"/>
      <c r="H673" s="895"/>
      <c r="I673" s="634"/>
      <c r="J673" s="634"/>
      <c r="K673" s="634"/>
    </row>
    <row r="674" spans="1:13" ht="57.75" customHeight="1">
      <c r="B674" s="1278" t="s">
        <v>715</v>
      </c>
      <c r="C674" s="1279"/>
      <c r="D674" s="1279"/>
      <c r="E674" s="1279"/>
      <c r="F674" s="1279"/>
      <c r="G674" s="1279"/>
      <c r="H674" s="1279"/>
      <c r="I674" s="728"/>
      <c r="J674" s="772"/>
    </row>
    <row r="675" spans="1:13">
      <c r="A675" s="772"/>
      <c r="B675" s="728"/>
      <c r="C675" s="728"/>
      <c r="D675" s="666"/>
      <c r="E675" s="728"/>
      <c r="F675" s="728"/>
      <c r="G675" s="728"/>
      <c r="H675" s="728"/>
      <c r="I675" s="728"/>
      <c r="J675" s="772"/>
      <c r="K675" s="634"/>
    </row>
    <row r="676" spans="1:13">
      <c r="A676" s="772"/>
      <c r="B676" s="728"/>
      <c r="C676" s="728"/>
      <c r="D676" s="666"/>
      <c r="E676" s="728"/>
      <c r="F676" s="728"/>
      <c r="G676" s="728"/>
      <c r="H676" s="728"/>
      <c r="I676" s="728"/>
      <c r="J676" s="772"/>
      <c r="K676" s="634"/>
      <c r="L676" s="634"/>
      <c r="M676" s="634"/>
    </row>
    <row r="677" spans="1:13" ht="23.25">
      <c r="A677" s="772"/>
      <c r="B677" s="745">
        <v>10.9</v>
      </c>
      <c r="C677" s="714"/>
      <c r="D677" s="714"/>
      <c r="E677" s="1288" t="s">
        <v>716</v>
      </c>
      <c r="F677" s="1288"/>
      <c r="G677" s="1288"/>
      <c r="H677" s="1288"/>
      <c r="I677" s="1288"/>
      <c r="J677" s="718"/>
      <c r="K677" s="715"/>
      <c r="L677" s="634"/>
      <c r="M677" s="634"/>
    </row>
    <row r="678" spans="1:13" ht="51.75" customHeight="1">
      <c r="A678" s="772"/>
      <c r="B678" s="1288" t="s">
        <v>717</v>
      </c>
      <c r="C678" s="1288"/>
      <c r="D678" s="724">
        <f t="shared" ref="D678:I678" si="81">D526</f>
        <v>2022</v>
      </c>
      <c r="E678" s="724">
        <f t="shared" si="81"/>
        <v>2023</v>
      </c>
      <c r="F678" s="724">
        <f t="shared" si="81"/>
        <v>2024</v>
      </c>
      <c r="G678" s="724">
        <f t="shared" si="81"/>
        <v>2025</v>
      </c>
      <c r="H678" s="724">
        <f t="shared" si="81"/>
        <v>2026</v>
      </c>
      <c r="I678" s="724">
        <f t="shared" si="81"/>
        <v>2027</v>
      </c>
      <c r="J678" s="718"/>
      <c r="K678" s="715"/>
      <c r="L678" s="634"/>
      <c r="M678" s="634"/>
    </row>
    <row r="679" spans="1:13" ht="23.25">
      <c r="A679" s="772"/>
      <c r="B679" s="896" t="s">
        <v>613</v>
      </c>
      <c r="C679" s="896"/>
      <c r="D679" s="862">
        <v>0</v>
      </c>
      <c r="E679" s="862">
        <v>1</v>
      </c>
      <c r="F679" s="862">
        <v>2</v>
      </c>
      <c r="G679" s="862">
        <v>3</v>
      </c>
      <c r="H679" s="862">
        <v>4</v>
      </c>
      <c r="I679" s="862">
        <v>5</v>
      </c>
      <c r="J679" s="718"/>
      <c r="K679" s="715"/>
      <c r="L679" s="634"/>
      <c r="M679" s="634"/>
    </row>
    <row r="680" spans="1:13" ht="23.25">
      <c r="A680" s="772"/>
      <c r="B680" s="866" t="s">
        <v>718</v>
      </c>
      <c r="C680" s="866"/>
      <c r="D680" s="682"/>
      <c r="E680" s="682">
        <f t="shared" ref="E680:I684" si="82">E528</f>
        <v>1234359.7364000003</v>
      </c>
      <c r="F680" s="682">
        <f t="shared" si="82"/>
        <v>1311657.373615134</v>
      </c>
      <c r="G680" s="682">
        <f t="shared" si="82"/>
        <v>1401952.339411454</v>
      </c>
      <c r="H680" s="682">
        <f t="shared" si="82"/>
        <v>1499949.8138371182</v>
      </c>
      <c r="I680" s="682">
        <f t="shared" si="82"/>
        <v>1602507.7011477528</v>
      </c>
      <c r="J680" s="718"/>
      <c r="K680" s="715"/>
      <c r="L680" s="634"/>
      <c r="M680" s="634"/>
    </row>
    <row r="681" spans="1:13" ht="23.25">
      <c r="A681" s="772"/>
      <c r="B681" s="1337" t="s">
        <v>617</v>
      </c>
      <c r="C681" s="1337"/>
      <c r="D681" s="682"/>
      <c r="E681" s="682">
        <f t="shared" si="82"/>
        <v>684119.41512000002</v>
      </c>
      <c r="F681" s="682">
        <f t="shared" si="82"/>
        <v>728371.67127760407</v>
      </c>
      <c r="G681" s="682">
        <f t="shared" si="82"/>
        <v>776632.57306355168</v>
      </c>
      <c r="H681" s="682">
        <f t="shared" si="82"/>
        <v>828511.28411933442</v>
      </c>
      <c r="I681" s="682">
        <f t="shared" si="82"/>
        <v>883874.14385532844</v>
      </c>
      <c r="J681" s="718"/>
      <c r="K681" s="715"/>
      <c r="L681" s="634"/>
      <c r="M681" s="634"/>
    </row>
    <row r="682" spans="1:13" ht="23.25">
      <c r="A682" s="772"/>
      <c r="B682" s="1338" t="s">
        <v>618</v>
      </c>
      <c r="C682" s="1338"/>
      <c r="D682" s="682"/>
      <c r="E682" s="682">
        <f t="shared" si="82"/>
        <v>351863.78720000002</v>
      </c>
      <c r="F682" s="682">
        <f t="shared" si="82"/>
        <v>357074.50975840003</v>
      </c>
      <c r="G682" s="682">
        <f t="shared" si="82"/>
        <v>370834.3304200648</v>
      </c>
      <c r="H682" s="682">
        <f t="shared" si="82"/>
        <v>377752.39643575397</v>
      </c>
      <c r="I682" s="682">
        <f t="shared" si="82"/>
        <v>392355.34767582227</v>
      </c>
      <c r="J682" s="718"/>
      <c r="K682" s="715"/>
      <c r="L682" s="634"/>
      <c r="M682" s="634"/>
    </row>
    <row r="683" spans="1:13" ht="23.25">
      <c r="A683" s="772"/>
      <c r="B683" s="864" t="s">
        <v>526</v>
      </c>
      <c r="C683" s="897"/>
      <c r="D683" s="897"/>
      <c r="E683" s="682">
        <f t="shared" si="82"/>
        <v>8849.1219999999994</v>
      </c>
      <c r="F683" s="682">
        <f t="shared" si="82"/>
        <v>8849.1219999999994</v>
      </c>
      <c r="G683" s="682">
        <f t="shared" si="82"/>
        <v>8849.1219999999994</v>
      </c>
      <c r="H683" s="682">
        <f t="shared" si="82"/>
        <v>8849.1219999999994</v>
      </c>
      <c r="I683" s="682">
        <f t="shared" si="82"/>
        <v>8849.1219999999994</v>
      </c>
      <c r="J683" s="718"/>
      <c r="K683" s="715"/>
      <c r="L683" s="634"/>
      <c r="M683" s="634"/>
    </row>
    <row r="684" spans="1:13" ht="23.25">
      <c r="A684" s="772"/>
      <c r="B684" s="866" t="s">
        <v>527</v>
      </c>
      <c r="C684" s="866"/>
      <c r="D684" s="682"/>
      <c r="E684" s="682">
        <f t="shared" si="82"/>
        <v>542.15</v>
      </c>
      <c r="F684" s="682">
        <f t="shared" si="82"/>
        <v>542.15</v>
      </c>
      <c r="G684" s="682">
        <f t="shared" si="82"/>
        <v>542.15</v>
      </c>
      <c r="H684" s="682">
        <f t="shared" si="82"/>
        <v>542.15</v>
      </c>
      <c r="I684" s="682">
        <f t="shared" si="82"/>
        <v>542.15</v>
      </c>
      <c r="J684" s="718"/>
      <c r="K684" s="715"/>
      <c r="L684" s="634"/>
      <c r="M684" s="634"/>
    </row>
    <row r="685" spans="1:13" ht="23.25">
      <c r="A685" s="772"/>
      <c r="B685" s="1268" t="s">
        <v>719</v>
      </c>
      <c r="C685" s="1269"/>
      <c r="D685" s="638"/>
      <c r="E685" s="689">
        <f>E680-E681-E682-E683-E684</f>
        <v>188985.26208000025</v>
      </c>
      <c r="F685" s="689">
        <f>F680-F681-F682-F683-F684</f>
        <v>216819.92057912995</v>
      </c>
      <c r="G685" s="689">
        <f>G680-G681-G682-G683-G684</f>
        <v>245094.16392783757</v>
      </c>
      <c r="H685" s="689">
        <f>H680-H681-H682-H683-H684</f>
        <v>284294.86128202983</v>
      </c>
      <c r="I685" s="689">
        <f>I680-I681-I682-I683-I684</f>
        <v>316886.93761660211</v>
      </c>
      <c r="J685" s="718"/>
      <c r="K685" s="715"/>
      <c r="L685" s="634"/>
      <c r="M685" s="634"/>
    </row>
    <row r="686" spans="1:13" ht="37.5" customHeight="1">
      <c r="A686" s="772"/>
      <c r="B686" s="1333" t="s">
        <v>623</v>
      </c>
      <c r="C686" s="1334"/>
      <c r="D686" s="682"/>
      <c r="E686" s="685">
        <f>SUM(F588:F599)</f>
        <v>4757.6270322453256</v>
      </c>
      <c r="F686" s="685">
        <f>SUM(F600:F611)</f>
        <v>3981.2165298037335</v>
      </c>
      <c r="G686" s="685">
        <f>SUM(F612:F623)</f>
        <v>3071.2634209421849</v>
      </c>
      <c r="H686" s="685">
        <f>SUM(F624:F635)</f>
        <v>2004.7983773564488</v>
      </c>
      <c r="I686" s="898">
        <f>SUM(F636:F647)</f>
        <v>754.90134627396469</v>
      </c>
      <c r="J686" s="718"/>
      <c r="K686" s="715"/>
      <c r="L686" s="634"/>
      <c r="M686" s="634"/>
    </row>
    <row r="687" spans="1:13" ht="23.25">
      <c r="A687" s="772"/>
      <c r="B687" s="1335" t="s">
        <v>624</v>
      </c>
      <c r="C687" s="1335"/>
      <c r="D687" s="682"/>
      <c r="E687" s="682">
        <v>0</v>
      </c>
      <c r="F687" s="682">
        <v>0</v>
      </c>
      <c r="G687" s="682">
        <v>0</v>
      </c>
      <c r="H687" s="682">
        <v>0</v>
      </c>
      <c r="I687" s="682">
        <v>0</v>
      </c>
      <c r="J687" s="718"/>
      <c r="K687" s="715"/>
      <c r="L687" s="634"/>
      <c r="M687" s="634"/>
    </row>
    <row r="688" spans="1:13" ht="23.25">
      <c r="A688" s="772"/>
      <c r="B688" s="1267" t="s">
        <v>625</v>
      </c>
      <c r="C688" s="1269"/>
      <c r="D688" s="638"/>
      <c r="E688" s="638">
        <f>E685-E686-E687</f>
        <v>184227.63504775491</v>
      </c>
      <c r="F688" s="638">
        <f>F685-F686-F687</f>
        <v>212838.70404932622</v>
      </c>
      <c r="G688" s="638">
        <f>G685-G686-G687</f>
        <v>242022.90050689538</v>
      </c>
      <c r="H688" s="638">
        <f>H685-H686-H687</f>
        <v>282290.0629046734</v>
      </c>
      <c r="I688" s="638">
        <f>I685-I686-I687</f>
        <v>316132.03627032816</v>
      </c>
      <c r="J688" s="718"/>
      <c r="K688" s="715"/>
      <c r="L688" s="634"/>
      <c r="M688" s="634"/>
    </row>
    <row r="689" spans="1:13" ht="23.25">
      <c r="A689" s="772"/>
      <c r="B689" s="1335" t="s">
        <v>626</v>
      </c>
      <c r="C689" s="1335"/>
      <c r="D689" s="708">
        <v>0.01</v>
      </c>
      <c r="E689" s="682">
        <f>E680*$D$689</f>
        <v>12343.597364000003</v>
      </c>
      <c r="F689" s="682">
        <f t="shared" ref="F689:I689" si="83">F680*$D$689</f>
        <v>13116.57373615134</v>
      </c>
      <c r="G689" s="682">
        <f t="shared" si="83"/>
        <v>14019.523394114542</v>
      </c>
      <c r="H689" s="682">
        <f t="shared" si="83"/>
        <v>14999.498138371182</v>
      </c>
      <c r="I689" s="682">
        <f t="shared" si="83"/>
        <v>16025.077011477528</v>
      </c>
      <c r="J689" s="718"/>
      <c r="K689" s="715"/>
      <c r="L689" s="634"/>
      <c r="M689" s="634"/>
    </row>
    <row r="690" spans="1:13" ht="93">
      <c r="A690" s="772"/>
      <c r="B690" s="1267" t="s">
        <v>627</v>
      </c>
      <c r="C690" s="1269"/>
      <c r="D690" s="690" t="s">
        <v>720</v>
      </c>
      <c r="E690" s="689">
        <f>E688-E689</f>
        <v>171884.0376837549</v>
      </c>
      <c r="F690" s="689">
        <f>F688-F689</f>
        <v>199722.13031317489</v>
      </c>
      <c r="G690" s="689">
        <f>G688-G689</f>
        <v>228003.37711278084</v>
      </c>
      <c r="H690" s="689">
        <f>H688-H689</f>
        <v>267290.56476630224</v>
      </c>
      <c r="I690" s="689">
        <f>I688-I689</f>
        <v>300106.95925885061</v>
      </c>
      <c r="J690" s="718"/>
      <c r="K690" s="715"/>
      <c r="L690" s="634"/>
      <c r="M690" s="634"/>
    </row>
    <row r="691" spans="1:13" ht="23.25">
      <c r="A691" s="825" t="s">
        <v>721</v>
      </c>
      <c r="B691" s="867" t="s">
        <v>526</v>
      </c>
      <c r="C691" s="866"/>
      <c r="D691" s="682"/>
      <c r="E691" s="682">
        <f t="shared" ref="E691:I692" si="84">E683</f>
        <v>8849.1219999999994</v>
      </c>
      <c r="F691" s="682">
        <f t="shared" si="84"/>
        <v>8849.1219999999994</v>
      </c>
      <c r="G691" s="682">
        <f t="shared" si="84"/>
        <v>8849.1219999999994</v>
      </c>
      <c r="H691" s="682">
        <f t="shared" si="84"/>
        <v>8849.1219999999994</v>
      </c>
      <c r="I691" s="682">
        <f t="shared" si="84"/>
        <v>8849.1219999999994</v>
      </c>
      <c r="J691" s="718"/>
      <c r="K691" s="715"/>
      <c r="L691" s="634"/>
      <c r="M691" s="634"/>
    </row>
    <row r="692" spans="1:13" ht="23.25">
      <c r="A692" s="825" t="s">
        <v>721</v>
      </c>
      <c r="B692" s="867" t="s">
        <v>527</v>
      </c>
      <c r="C692" s="866"/>
      <c r="D692" s="866"/>
      <c r="E692" s="682">
        <f t="shared" si="84"/>
        <v>542.15</v>
      </c>
      <c r="F692" s="682">
        <f t="shared" si="84"/>
        <v>542.15</v>
      </c>
      <c r="G692" s="682">
        <f t="shared" si="84"/>
        <v>542.15</v>
      </c>
      <c r="H692" s="682">
        <f t="shared" si="84"/>
        <v>542.15</v>
      </c>
      <c r="I692" s="682">
        <f t="shared" si="84"/>
        <v>542.15</v>
      </c>
      <c r="J692" s="718"/>
      <c r="K692" s="715"/>
      <c r="L692" s="634"/>
      <c r="M692" s="634"/>
    </row>
    <row r="693" spans="1:13" ht="23.25">
      <c r="A693" s="899" t="s">
        <v>721</v>
      </c>
      <c r="B693" s="863" t="s">
        <v>623</v>
      </c>
      <c r="C693" s="864"/>
      <c r="D693" s="864"/>
      <c r="E693" s="865">
        <f>E686</f>
        <v>4757.6270322453256</v>
      </c>
      <c r="F693" s="865">
        <f t="shared" ref="F693:I693" si="85">F686</f>
        <v>3981.2165298037335</v>
      </c>
      <c r="G693" s="865">
        <f t="shared" si="85"/>
        <v>3071.2634209421849</v>
      </c>
      <c r="H693" s="865">
        <f t="shared" si="85"/>
        <v>2004.7983773564488</v>
      </c>
      <c r="I693" s="865">
        <f t="shared" si="85"/>
        <v>754.90134627396469</v>
      </c>
      <c r="J693" s="718"/>
      <c r="K693" s="715"/>
      <c r="L693" s="634"/>
      <c r="M693" s="634"/>
    </row>
    <row r="694" spans="1:13" ht="23.25">
      <c r="A694" s="899" t="s">
        <v>721</v>
      </c>
      <c r="B694" s="863" t="s">
        <v>624</v>
      </c>
      <c r="C694" s="864"/>
      <c r="D694" s="864"/>
      <c r="E694" s="865">
        <f t="shared" ref="E694:I694" si="86">E687</f>
        <v>0</v>
      </c>
      <c r="F694" s="865">
        <f t="shared" si="86"/>
        <v>0</v>
      </c>
      <c r="G694" s="865">
        <f t="shared" si="86"/>
        <v>0</v>
      </c>
      <c r="H694" s="865">
        <f t="shared" si="86"/>
        <v>0</v>
      </c>
      <c r="I694" s="865">
        <f t="shared" si="86"/>
        <v>0</v>
      </c>
      <c r="J694" s="718"/>
      <c r="K694" s="715"/>
      <c r="L694" s="634"/>
      <c r="M694" s="634"/>
    </row>
    <row r="695" spans="1:13" ht="45.75" customHeight="1">
      <c r="A695" s="772"/>
      <c r="B695" s="1267" t="s">
        <v>630</v>
      </c>
      <c r="C695" s="1269"/>
      <c r="D695" s="724" t="s">
        <v>722</v>
      </c>
      <c r="E695" s="868">
        <f>E690+E691+E692+E693+E694</f>
        <v>186032.93671600023</v>
      </c>
      <c r="F695" s="868">
        <f>F690+F691+F692+F693+F694</f>
        <v>213094.61884297861</v>
      </c>
      <c r="G695" s="868">
        <f>G690+G691+G692+G693+G694</f>
        <v>240465.91253372302</v>
      </c>
      <c r="H695" s="868">
        <f>H690+H691+H692+H693+H694</f>
        <v>278686.63514365867</v>
      </c>
      <c r="I695" s="868">
        <f>I690+I691+I692+I693+I694</f>
        <v>310253.13260512456</v>
      </c>
      <c r="J695" s="718"/>
      <c r="K695" s="715"/>
      <c r="L695" s="634"/>
      <c r="M695" s="634"/>
    </row>
    <row r="696" spans="1:13" ht="23.25">
      <c r="A696" s="772"/>
      <c r="B696" s="1346" t="s">
        <v>631</v>
      </c>
      <c r="C696" s="1347"/>
      <c r="D696" s="695">
        <f>D544</f>
        <v>-79471.002999999997</v>
      </c>
      <c r="E696" s="872"/>
      <c r="F696" s="872"/>
      <c r="G696" s="872"/>
      <c r="H696" s="872"/>
      <c r="I696" s="872"/>
      <c r="J696" s="718"/>
      <c r="K696" s="715"/>
      <c r="L696" s="634"/>
      <c r="M696" s="634"/>
    </row>
    <row r="697" spans="1:13" ht="69.75" customHeight="1">
      <c r="A697" s="772"/>
      <c r="B697" s="1333" t="s">
        <v>723</v>
      </c>
      <c r="C697" s="1334"/>
      <c r="D697" s="707">
        <f>D654</f>
        <v>31788.4012</v>
      </c>
      <c r="E697" s="872"/>
      <c r="F697" s="872"/>
      <c r="G697" s="872"/>
      <c r="H697" s="872"/>
      <c r="I697" s="872"/>
      <c r="J697" s="718"/>
      <c r="K697" s="715"/>
      <c r="L697" s="634"/>
      <c r="M697" s="634"/>
    </row>
    <row r="698" spans="1:13" ht="46.5" customHeight="1">
      <c r="A698" s="772"/>
      <c r="B698" s="1333" t="s">
        <v>724</v>
      </c>
      <c r="C698" s="1334"/>
      <c r="D698" s="695"/>
      <c r="E698" s="900">
        <f>SUM(E588:E599)</f>
        <v>4514.0145490789937</v>
      </c>
      <c r="F698" s="900">
        <f>SUM(E600:E611)</f>
        <v>5290.4250515205867</v>
      </c>
      <c r="G698" s="900">
        <f>SUM(E612:E623)</f>
        <v>6200.3781603821335</v>
      </c>
      <c r="H698" s="900">
        <f>SUM(E624:E635)</f>
        <v>7266.8432039678701</v>
      </c>
      <c r="I698" s="900">
        <f>SUM(E636:E647)</f>
        <v>8516.7402350503544</v>
      </c>
      <c r="J698" s="901" t="s">
        <v>725</v>
      </c>
      <c r="K698" s="715"/>
      <c r="L698" s="634"/>
      <c r="M698" s="634"/>
    </row>
    <row r="699" spans="1:13" ht="46.5" customHeight="1">
      <c r="A699" s="772"/>
      <c r="B699" s="1333" t="s">
        <v>726</v>
      </c>
      <c r="C699" s="1334"/>
      <c r="D699" s="695"/>
      <c r="E699" s="900">
        <f>E693</f>
        <v>4757.6270322453256</v>
      </c>
      <c r="F699" s="900">
        <f t="shared" ref="F699:I699" si="87">F693</f>
        <v>3981.2165298037335</v>
      </c>
      <c r="G699" s="900">
        <f t="shared" si="87"/>
        <v>3071.2634209421849</v>
      </c>
      <c r="H699" s="900">
        <f t="shared" si="87"/>
        <v>2004.7983773564488</v>
      </c>
      <c r="I699" s="900">
        <f t="shared" si="87"/>
        <v>754.90134627396469</v>
      </c>
      <c r="J699" s="901" t="s">
        <v>725</v>
      </c>
      <c r="K699" s="715"/>
      <c r="L699" s="634"/>
      <c r="M699" s="634"/>
    </row>
    <row r="700" spans="1:13" ht="52.5" customHeight="1">
      <c r="A700" s="772"/>
      <c r="B700" s="1348" t="s">
        <v>727</v>
      </c>
      <c r="C700" s="1349"/>
      <c r="D700" s="689">
        <f>D696+D697</f>
        <v>-47682.601799999997</v>
      </c>
      <c r="E700" s="689">
        <f>E695-E698-E699</f>
        <v>176761.29513467589</v>
      </c>
      <c r="F700" s="689">
        <f>F695-F698-F699</f>
        <v>203822.97726165431</v>
      </c>
      <c r="G700" s="689">
        <f>G695-G698-G699</f>
        <v>231194.27095239871</v>
      </c>
      <c r="H700" s="689">
        <f>H695-H698-H699</f>
        <v>269414.99356233439</v>
      </c>
      <c r="I700" s="689">
        <f>I695-I698-I699</f>
        <v>300981.49102380022</v>
      </c>
      <c r="J700" s="902">
        <f>SUM(E700:I700)</f>
        <v>1182175.0279348637</v>
      </c>
      <c r="K700" s="715"/>
      <c r="L700" s="634"/>
      <c r="M700" s="634"/>
    </row>
    <row r="701" spans="1:13" ht="23.25">
      <c r="A701" s="772"/>
      <c r="B701" s="784" t="s">
        <v>728</v>
      </c>
      <c r="C701" s="903">
        <f>I656</f>
        <v>0.22715740000000001</v>
      </c>
      <c r="D701" s="704"/>
      <c r="E701" s="705"/>
      <c r="F701" s="705"/>
      <c r="G701" s="705"/>
      <c r="H701" s="705"/>
      <c r="I701" s="705"/>
      <c r="J701" s="718"/>
      <c r="K701" s="715"/>
      <c r="L701" s="634"/>
      <c r="M701" s="634"/>
    </row>
    <row r="702" spans="1:13" ht="23.25">
      <c r="A702" s="772"/>
      <c r="B702" s="904"/>
      <c r="C702" s="905"/>
      <c r="D702" s="704"/>
      <c r="E702" s="705"/>
      <c r="F702" s="705"/>
      <c r="G702" s="705"/>
      <c r="H702" s="705"/>
      <c r="I702" s="705"/>
      <c r="J702" s="718"/>
      <c r="K702" s="715"/>
      <c r="L702" s="634"/>
      <c r="M702" s="634"/>
    </row>
    <row r="703" spans="1:13" ht="23.25">
      <c r="A703" s="772"/>
      <c r="B703" s="1339">
        <v>10.11</v>
      </c>
      <c r="C703" s="906" t="s">
        <v>729</v>
      </c>
      <c r="D703" s="710">
        <f>NPV(C701,E700:I700)+D700</f>
        <v>583766.4754259293</v>
      </c>
      <c r="E703" s="706"/>
      <c r="F703" s="706"/>
      <c r="G703" s="706"/>
      <c r="H703" s="706"/>
      <c r="I703" s="706"/>
      <c r="J703" s="718"/>
      <c r="K703" s="715"/>
      <c r="L703" s="634"/>
      <c r="M703" s="634"/>
    </row>
    <row r="704" spans="1:13" ht="23.25">
      <c r="A704" s="772"/>
      <c r="B704" s="1339"/>
      <c r="C704" s="906" t="s">
        <v>730</v>
      </c>
      <c r="D704" s="907">
        <f>IRR(D700:I700)</f>
        <v>3.8541768189013714</v>
      </c>
      <c r="E704" s="870"/>
      <c r="F704" s="870"/>
      <c r="G704" s="870"/>
      <c r="H704" s="870"/>
      <c r="I704" s="870"/>
      <c r="J704" s="718"/>
      <c r="K704" s="715"/>
      <c r="L704" s="634"/>
      <c r="M704" s="634"/>
    </row>
    <row r="705" spans="1:13" ht="36.75" customHeight="1">
      <c r="A705" s="772"/>
      <c r="B705" s="1339"/>
      <c r="C705" s="890" t="s">
        <v>731</v>
      </c>
      <c r="D705" s="681">
        <f>NPV(C701,E700:I700)/-D700</f>
        <v>13.242756338558884</v>
      </c>
      <c r="E705" s="1340" t="s">
        <v>732</v>
      </c>
      <c r="F705" s="1341"/>
      <c r="G705" s="1341"/>
      <c r="H705" s="1341"/>
      <c r="I705" s="908">
        <f>D705-1</f>
        <v>12.242756338558884</v>
      </c>
      <c r="J705" s="716" t="s">
        <v>284</v>
      </c>
      <c r="K705" s="715"/>
      <c r="L705" s="634"/>
      <c r="M705" s="634"/>
    </row>
    <row r="706" spans="1:13" ht="23.25">
      <c r="A706" s="772"/>
      <c r="B706" s="1339"/>
      <c r="C706" s="906" t="s">
        <v>733</v>
      </c>
      <c r="D706" s="680"/>
      <c r="E706" s="870"/>
      <c r="F706" s="870"/>
      <c r="G706" s="870"/>
      <c r="H706" s="870"/>
      <c r="I706" s="870"/>
      <c r="J706" s="718"/>
      <c r="K706" s="715"/>
      <c r="L706" s="634"/>
      <c r="M706" s="634"/>
    </row>
    <row r="707" spans="1:13" ht="52.5" customHeight="1">
      <c r="A707" s="772"/>
      <c r="B707" s="724" t="s">
        <v>264</v>
      </c>
      <c r="C707" s="724" t="s">
        <v>644</v>
      </c>
      <c r="D707" s="637" t="s">
        <v>645</v>
      </c>
      <c r="E707" s="909">
        <v>10.1</v>
      </c>
      <c r="F707" s="1342" t="s">
        <v>647</v>
      </c>
      <c r="G707" s="1343"/>
      <c r="H707" s="1343"/>
      <c r="I707" s="1343"/>
      <c r="J707" s="841"/>
      <c r="K707" s="715"/>
      <c r="L707" s="634"/>
      <c r="M707" s="634"/>
    </row>
    <row r="708" spans="1:13" ht="23.25">
      <c r="A708" s="772"/>
      <c r="B708" s="726">
        <v>0</v>
      </c>
      <c r="C708" s="866"/>
      <c r="D708" s="682">
        <f>-D700</f>
        <v>47682.601799999997</v>
      </c>
      <c r="E708" s="686">
        <f>E700/(1+$C$701)^(1)</f>
        <v>144041.25757191039</v>
      </c>
      <c r="F708" s="686">
        <f>F700/(1+$C$701)^(2)</f>
        <v>135348.23597084309</v>
      </c>
      <c r="G708" s="686">
        <f>G700/(1+$C$701)^(3)</f>
        <v>125105.45770915861</v>
      </c>
      <c r="H708" s="686">
        <f>H700/(1+$C$701)^(4)</f>
        <v>118801.15942824731</v>
      </c>
      <c r="I708" s="687">
        <f>I700/(1+$C$701)^(5)</f>
        <v>108152.9665457699</v>
      </c>
      <c r="J708" s="740">
        <f>SUM(E708:I709)</f>
        <v>631449.07722592936</v>
      </c>
      <c r="K708" s="715"/>
      <c r="L708" s="634"/>
      <c r="M708" s="634"/>
    </row>
    <row r="709" spans="1:13" ht="23.25">
      <c r="A709" s="772"/>
      <c r="B709" s="726">
        <v>1</v>
      </c>
      <c r="C709" s="791">
        <f>E708</f>
        <v>144041.25757191039</v>
      </c>
      <c r="D709" s="682">
        <f>D708-C709</f>
        <v>-96358.655771910388</v>
      </c>
      <c r="E709" s="870"/>
      <c r="F709" s="870"/>
      <c r="G709" s="870"/>
      <c r="H709" s="870"/>
      <c r="I709" s="870"/>
      <c r="J709" s="740">
        <f>D700</f>
        <v>-47682.601799999997</v>
      </c>
      <c r="K709" s="715"/>
      <c r="L709" s="634"/>
      <c r="M709" s="634"/>
    </row>
    <row r="710" spans="1:13" ht="23.25">
      <c r="A710" s="772"/>
      <c r="B710" s="726">
        <v>2</v>
      </c>
      <c r="C710" s="791">
        <f>F708</f>
        <v>135348.23597084309</v>
      </c>
      <c r="D710" s="682">
        <f>D709-C710</f>
        <v>-231706.89174275348</v>
      </c>
      <c r="E710" s="870"/>
      <c r="F710" s="870"/>
      <c r="G710" s="870"/>
      <c r="H710" s="870"/>
      <c r="I710" s="870"/>
      <c r="J710" s="910">
        <f>SUM(J708:J709)</f>
        <v>583766.47542592941</v>
      </c>
      <c r="K710" s="715"/>
      <c r="L710" s="634"/>
      <c r="M710" s="634"/>
    </row>
    <row r="711" spans="1:13" ht="23.25">
      <c r="A711" s="772"/>
      <c r="B711" s="726">
        <v>3</v>
      </c>
      <c r="C711" s="791">
        <f>G708</f>
        <v>125105.45770915861</v>
      </c>
      <c r="D711" s="682">
        <f>D710-C711</f>
        <v>-356812.3494519121</v>
      </c>
      <c r="E711" s="911" t="s">
        <v>567</v>
      </c>
      <c r="F711" s="911" t="s">
        <v>649</v>
      </c>
      <c r="G711" s="911" t="s">
        <v>650</v>
      </c>
      <c r="H711" s="870"/>
      <c r="I711" s="870"/>
      <c r="J711" s="871" t="s">
        <v>734</v>
      </c>
      <c r="K711" s="715"/>
      <c r="L711" s="634"/>
      <c r="M711" s="634"/>
    </row>
    <row r="712" spans="1:13" ht="23.25">
      <c r="A712" s="772"/>
      <c r="B712" s="726">
        <v>4</v>
      </c>
      <c r="C712" s="791">
        <f>H708</f>
        <v>118801.15942824731</v>
      </c>
      <c r="D712" s="682">
        <f>D711-C712</f>
        <v>-475613.50888015941</v>
      </c>
      <c r="E712" s="911">
        <v>0</v>
      </c>
      <c r="F712" s="911">
        <v>3</v>
      </c>
      <c r="G712" s="911">
        <v>29</v>
      </c>
      <c r="H712" s="870"/>
      <c r="I712" s="870"/>
      <c r="J712" s="718"/>
      <c r="K712" s="715"/>
      <c r="L712" s="634"/>
      <c r="M712" s="634"/>
    </row>
    <row r="713" spans="1:13" ht="23.25">
      <c r="A713" s="772"/>
      <c r="B713" s="726">
        <v>5</v>
      </c>
      <c r="C713" s="791">
        <f>I708</f>
        <v>108152.9665457699</v>
      </c>
      <c r="D713" s="710">
        <f>D712-C713</f>
        <v>-583766.4754259293</v>
      </c>
      <c r="E713" s="866"/>
      <c r="F713" s="869">
        <f>(D708/C709)*12</f>
        <v>3.9724120105959377</v>
      </c>
      <c r="G713" s="869">
        <f>(F713-F712)*30</f>
        <v>29.17236031787813</v>
      </c>
      <c r="H713" s="870"/>
      <c r="I713" s="870"/>
      <c r="J713" s="718"/>
      <c r="K713" s="715"/>
      <c r="L713" s="634"/>
      <c r="M713" s="634"/>
    </row>
    <row r="714" spans="1:13" ht="23.25">
      <c r="A714" s="772"/>
      <c r="B714" s="722"/>
      <c r="C714" s="722"/>
      <c r="D714" s="709"/>
      <c r="E714" s="722"/>
      <c r="F714" s="722"/>
      <c r="G714" s="722"/>
      <c r="H714" s="722"/>
      <c r="I714" s="722"/>
      <c r="J714" s="718"/>
      <c r="K714" s="715"/>
      <c r="L714" s="634"/>
      <c r="M714" s="634"/>
    </row>
    <row r="715" spans="1:13" ht="23.25">
      <c r="A715" s="772"/>
      <c r="B715" s="722"/>
      <c r="C715" s="722"/>
      <c r="D715" s="722"/>
      <c r="E715" s="722"/>
      <c r="F715" s="722"/>
      <c r="G715" s="722"/>
      <c r="H715" s="722"/>
      <c r="I715" s="722"/>
      <c r="J715" s="718"/>
      <c r="K715" s="715"/>
      <c r="L715" s="634"/>
      <c r="M715" s="634"/>
    </row>
    <row r="716" spans="1:13" ht="23.25">
      <c r="A716" s="772"/>
      <c r="B716" s="722"/>
      <c r="C716" s="722"/>
      <c r="D716" s="709"/>
      <c r="E716" s="722"/>
      <c r="F716" s="722"/>
      <c r="G716" s="912"/>
      <c r="H716" s="722"/>
      <c r="I716" s="722"/>
      <c r="J716" s="718"/>
      <c r="K716" s="715"/>
      <c r="L716" s="634"/>
      <c r="M716" s="634"/>
    </row>
    <row r="717" spans="1:13" ht="23.25">
      <c r="A717" s="772"/>
      <c r="B717" s="912"/>
      <c r="C717" s="722"/>
      <c r="D717" s="709"/>
      <c r="E717" s="722"/>
      <c r="F717" s="722"/>
      <c r="G717" s="722"/>
      <c r="H717" s="722"/>
      <c r="I717" s="722"/>
      <c r="J717" s="718"/>
      <c r="K717" s="715"/>
      <c r="L717" s="634"/>
      <c r="M717" s="634"/>
    </row>
    <row r="718" spans="1:13" ht="23.25">
      <c r="A718" s="772"/>
      <c r="B718" s="912"/>
      <c r="C718" s="714"/>
      <c r="D718" s="709"/>
      <c r="E718" s="722"/>
      <c r="F718" s="722"/>
      <c r="G718" s="722"/>
      <c r="H718" s="722"/>
      <c r="I718" s="722"/>
      <c r="J718" s="718"/>
      <c r="K718" s="715"/>
      <c r="L718" s="634"/>
      <c r="M718" s="634"/>
    </row>
    <row r="719" spans="1:13" ht="23.25">
      <c r="A719" s="772"/>
      <c r="B719" s="722"/>
      <c r="C719" s="722"/>
      <c r="D719" s="709"/>
      <c r="E719" s="722"/>
      <c r="F719" s="722"/>
      <c r="G719" s="722"/>
      <c r="H719" s="722"/>
      <c r="I719" s="722"/>
      <c r="J719" s="718"/>
      <c r="K719" s="715"/>
      <c r="L719" s="634"/>
      <c r="M719" s="634"/>
    </row>
    <row r="720" spans="1:13">
      <c r="A720" s="772"/>
      <c r="B720" s="728"/>
      <c r="C720" s="728"/>
      <c r="D720" s="666"/>
      <c r="E720" s="728"/>
      <c r="F720" s="728"/>
      <c r="G720" s="728"/>
      <c r="H720" s="728"/>
      <c r="I720" s="728"/>
      <c r="J720" s="772"/>
      <c r="K720" s="634"/>
      <c r="L720" s="634"/>
      <c r="M720" s="634"/>
    </row>
    <row r="721" spans="1:13">
      <c r="A721" s="772"/>
      <c r="B721" s="728"/>
      <c r="C721" s="728"/>
      <c r="D721" s="666"/>
      <c r="E721" s="728"/>
      <c r="F721" s="728"/>
      <c r="G721" s="728"/>
      <c r="H721" s="728"/>
      <c r="I721" s="728"/>
      <c r="J721" s="772"/>
      <c r="K721" s="634"/>
      <c r="L721" s="634"/>
      <c r="M721" s="634"/>
    </row>
    <row r="722" spans="1:13">
      <c r="A722" s="772"/>
      <c r="B722" s="728"/>
      <c r="C722" s="728"/>
      <c r="D722" s="666"/>
      <c r="E722" s="728"/>
      <c r="F722" s="728"/>
      <c r="G722" s="728"/>
      <c r="H722" s="728"/>
      <c r="I722" s="728"/>
      <c r="J722" s="772"/>
      <c r="K722" s="634"/>
      <c r="L722" s="634"/>
      <c r="M722" s="634"/>
    </row>
  </sheetData>
  <mergeCells count="216">
    <mergeCell ref="B442:E442"/>
    <mergeCell ref="B443:E443"/>
    <mergeCell ref="B448:J448"/>
    <mergeCell ref="B453:E453"/>
    <mergeCell ref="B454:E454"/>
    <mergeCell ref="B457:E457"/>
    <mergeCell ref="A372:B372"/>
    <mergeCell ref="A382:B382"/>
    <mergeCell ref="I383:J383"/>
    <mergeCell ref="I386:J386"/>
    <mergeCell ref="B419:E419"/>
    <mergeCell ref="B420:E420"/>
    <mergeCell ref="B423:D423"/>
    <mergeCell ref="B424:D424"/>
    <mergeCell ref="B425:D425"/>
    <mergeCell ref="B431:E431"/>
    <mergeCell ref="B435:D435"/>
    <mergeCell ref="B441:E441"/>
    <mergeCell ref="B455:E455"/>
    <mergeCell ref="A404:C404"/>
    <mergeCell ref="B409:H409"/>
    <mergeCell ref="B413:D413"/>
    <mergeCell ref="B415:E415"/>
    <mergeCell ref="B416:E416"/>
    <mergeCell ref="B703:B706"/>
    <mergeCell ref="E705:H705"/>
    <mergeCell ref="F707:I707"/>
    <mergeCell ref="B695:C695"/>
    <mergeCell ref="B696:C696"/>
    <mergeCell ref="B697:C697"/>
    <mergeCell ref="B698:C698"/>
    <mergeCell ref="B699:C699"/>
    <mergeCell ref="B700:C700"/>
    <mergeCell ref="B685:C685"/>
    <mergeCell ref="B686:C686"/>
    <mergeCell ref="B687:C687"/>
    <mergeCell ref="B688:C688"/>
    <mergeCell ref="B689:C689"/>
    <mergeCell ref="B690:C690"/>
    <mergeCell ref="B672:H672"/>
    <mergeCell ref="B674:H674"/>
    <mergeCell ref="E677:I677"/>
    <mergeCell ref="B678:C678"/>
    <mergeCell ref="B681:C681"/>
    <mergeCell ref="B682:C682"/>
    <mergeCell ref="B563:G563"/>
    <mergeCell ref="B564:G564"/>
    <mergeCell ref="B574:C574"/>
    <mergeCell ref="B650:E650"/>
    <mergeCell ref="B660:E660"/>
    <mergeCell ref="B662:C662"/>
    <mergeCell ref="D662:E662"/>
    <mergeCell ref="B546:C546"/>
    <mergeCell ref="A548:A551"/>
    <mergeCell ref="E550:H550"/>
    <mergeCell ref="F552:I552"/>
    <mergeCell ref="C560:G560"/>
    <mergeCell ref="B562:G562"/>
    <mergeCell ref="B533:C533"/>
    <mergeCell ref="B535:C535"/>
    <mergeCell ref="B536:C536"/>
    <mergeCell ref="B538:C538"/>
    <mergeCell ref="B543:C543"/>
    <mergeCell ref="B544:C544"/>
    <mergeCell ref="E525:I525"/>
    <mergeCell ref="B526:C526"/>
    <mergeCell ref="B529:C529"/>
    <mergeCell ref="B530:C530"/>
    <mergeCell ref="C531:D531"/>
    <mergeCell ref="C532:D532"/>
    <mergeCell ref="B505:I505"/>
    <mergeCell ref="B507:D507"/>
    <mergeCell ref="B513:D513"/>
    <mergeCell ref="D514:D518"/>
    <mergeCell ref="B519:D519"/>
    <mergeCell ref="B523:C523"/>
    <mergeCell ref="E523:I523"/>
    <mergeCell ref="B469:E469"/>
    <mergeCell ref="B471:E471"/>
    <mergeCell ref="B477:I477"/>
    <mergeCell ref="B483:D483"/>
    <mergeCell ref="B497:D497"/>
    <mergeCell ref="B502:D502"/>
    <mergeCell ref="B461:E461"/>
    <mergeCell ref="B465:E465"/>
    <mergeCell ref="B470:E470"/>
    <mergeCell ref="B459:E459"/>
    <mergeCell ref="B460:E460"/>
    <mergeCell ref="B463:E463"/>
    <mergeCell ref="B464:E464"/>
    <mergeCell ref="B467:E467"/>
    <mergeCell ref="B468:E468"/>
    <mergeCell ref="B434:D434"/>
    <mergeCell ref="B437:J437"/>
    <mergeCell ref="B439:E439"/>
    <mergeCell ref="B440:E440"/>
    <mergeCell ref="B418:E418"/>
    <mergeCell ref="B422:C422"/>
    <mergeCell ref="B427:D427"/>
    <mergeCell ref="B429:E429"/>
    <mergeCell ref="D391:H391"/>
    <mergeCell ref="A392:C392"/>
    <mergeCell ref="A393:C393"/>
    <mergeCell ref="A394:C394"/>
    <mergeCell ref="B417:E417"/>
    <mergeCell ref="A395:C395"/>
    <mergeCell ref="A397:C397"/>
    <mergeCell ref="A398:C398"/>
    <mergeCell ref="A400:C400"/>
    <mergeCell ref="A401:C401"/>
    <mergeCell ref="A403:C403"/>
    <mergeCell ref="B430:E430"/>
    <mergeCell ref="B433:D433"/>
    <mergeCell ref="A374:H374"/>
    <mergeCell ref="A378:B378"/>
    <mergeCell ref="I378:J378"/>
    <mergeCell ref="I379:J379"/>
    <mergeCell ref="A380:B380"/>
    <mergeCell ref="I380:J380"/>
    <mergeCell ref="A359:C359"/>
    <mergeCell ref="A360:C360"/>
    <mergeCell ref="A361:C361"/>
    <mergeCell ref="A365:F365"/>
    <mergeCell ref="A368:B368"/>
    <mergeCell ref="A370:B370"/>
    <mergeCell ref="A349:B349"/>
    <mergeCell ref="A350:B350"/>
    <mergeCell ref="A351:B351"/>
    <mergeCell ref="A353:C353"/>
    <mergeCell ref="A354:C354"/>
    <mergeCell ref="A355:C355"/>
    <mergeCell ref="A338:C338"/>
    <mergeCell ref="A343:C343"/>
    <mergeCell ref="A344:C344"/>
    <mergeCell ref="A345:C345"/>
    <mergeCell ref="A346:C346"/>
    <mergeCell ref="A347:C347"/>
    <mergeCell ref="B331:C331"/>
    <mergeCell ref="A332:H332"/>
    <mergeCell ref="I332:J332"/>
    <mergeCell ref="A334:C334"/>
    <mergeCell ref="A335:C335"/>
    <mergeCell ref="A337:C337"/>
    <mergeCell ref="A340:C340"/>
    <mergeCell ref="A341:C341"/>
    <mergeCell ref="B322:D322"/>
    <mergeCell ref="A325:A326"/>
    <mergeCell ref="B325:B326"/>
    <mergeCell ref="C325:H325"/>
    <mergeCell ref="C326:H326"/>
    <mergeCell ref="B329:F329"/>
    <mergeCell ref="B278:F278"/>
    <mergeCell ref="B295:D295"/>
    <mergeCell ref="B300:D300"/>
    <mergeCell ref="B304:G304"/>
    <mergeCell ref="A316:A320"/>
    <mergeCell ref="D316:D320"/>
    <mergeCell ref="B255:C255"/>
    <mergeCell ref="B256:C256"/>
    <mergeCell ref="B259:C259"/>
    <mergeCell ref="C264:D264"/>
    <mergeCell ref="G264:G273"/>
    <mergeCell ref="C269:D269"/>
    <mergeCell ref="B226:F226"/>
    <mergeCell ref="A229:F229"/>
    <mergeCell ref="A230:F230"/>
    <mergeCell ref="D232:E232"/>
    <mergeCell ref="B250:C250"/>
    <mergeCell ref="A246:E247"/>
    <mergeCell ref="B257:C257"/>
    <mergeCell ref="B207:C207"/>
    <mergeCell ref="B208:C208"/>
    <mergeCell ref="B209:C209"/>
    <mergeCell ref="C212:D212"/>
    <mergeCell ref="G212:G221"/>
    <mergeCell ref="C217:D217"/>
    <mergeCell ref="F189:G189"/>
    <mergeCell ref="H190:I190"/>
    <mergeCell ref="B195:F195"/>
    <mergeCell ref="B198:C198"/>
    <mergeCell ref="B203:C203"/>
    <mergeCell ref="B204:C204"/>
    <mergeCell ref="B205:C205"/>
    <mergeCell ref="B210:C210"/>
    <mergeCell ref="B176:F176"/>
    <mergeCell ref="B177:F177"/>
    <mergeCell ref="B180:G180"/>
    <mergeCell ref="B182:E182"/>
    <mergeCell ref="B183:E183"/>
    <mergeCell ref="B184:E184"/>
    <mergeCell ref="B168:F168"/>
    <mergeCell ref="B172:G172"/>
    <mergeCell ref="B173:G173"/>
    <mergeCell ref="B174:F174"/>
    <mergeCell ref="B175:F175"/>
    <mergeCell ref="E95:F97"/>
    <mergeCell ref="C79:F79"/>
    <mergeCell ref="G79:H79"/>
    <mergeCell ref="C81:D81"/>
    <mergeCell ref="C86:F86"/>
    <mergeCell ref="F67:H67"/>
    <mergeCell ref="A69:H69"/>
    <mergeCell ref="A70:H70"/>
    <mergeCell ref="A71:H71"/>
    <mergeCell ref="C73:D73"/>
    <mergeCell ref="C74:D74"/>
    <mergeCell ref="A4:G4"/>
    <mergeCell ref="A9:E9"/>
    <mergeCell ref="A11:E11"/>
    <mergeCell ref="D26:E26"/>
    <mergeCell ref="B28:E28"/>
    <mergeCell ref="A30:E30"/>
    <mergeCell ref="F30:H30"/>
    <mergeCell ref="C75:D75"/>
    <mergeCell ref="C76:D76"/>
    <mergeCell ref="F27:G2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020F-62B6-4B2D-A19C-715F1F445486}">
  <dimension ref="A2:S722"/>
  <sheetViews>
    <sheetView topLeftCell="A692" zoomScale="66" zoomScaleNormal="66" workbookViewId="0">
      <selection activeCell="D705" sqref="D705"/>
    </sheetView>
  </sheetViews>
  <sheetFormatPr baseColWidth="10" defaultRowHeight="21"/>
  <cols>
    <col min="1" max="1" width="24.85546875" style="635" customWidth="1"/>
    <col min="2" max="2" width="31.28515625" style="635" customWidth="1"/>
    <col min="3" max="3" width="29" style="635" customWidth="1"/>
    <col min="4" max="4" width="35.42578125" style="635" customWidth="1"/>
    <col min="5" max="5" width="37.5703125" style="635" customWidth="1"/>
    <col min="6" max="6" width="34.140625" style="635" customWidth="1"/>
    <col min="7" max="7" width="36.140625" style="635" customWidth="1"/>
    <col min="8" max="8" width="39.42578125" style="635" customWidth="1"/>
    <col min="9" max="9" width="31.85546875" style="635" customWidth="1"/>
    <col min="10" max="10" width="36" style="635" customWidth="1"/>
    <col min="11" max="11" width="33.7109375" style="635" customWidth="1"/>
    <col min="12" max="12" width="30.42578125" style="635" customWidth="1"/>
    <col min="13" max="13" width="31.7109375" style="635" customWidth="1"/>
    <col min="14" max="14" width="29.7109375" style="635" customWidth="1"/>
    <col min="15" max="15" width="29.85546875" style="635" customWidth="1"/>
    <col min="16" max="16" width="29.28515625" style="635" customWidth="1"/>
    <col min="17" max="17" width="34" style="635" customWidth="1"/>
    <col min="18" max="18" width="40.140625" style="635" customWidth="1"/>
    <col min="19" max="16384" width="11.42578125" style="635"/>
  </cols>
  <sheetData>
    <row r="2" spans="1:11">
      <c r="H2" s="636"/>
      <c r="I2" s="636"/>
      <c r="J2" s="636"/>
      <c r="K2" s="636"/>
    </row>
    <row r="3" spans="1:11">
      <c r="A3" s="634"/>
      <c r="B3" s="711"/>
      <c r="C3" s="634"/>
    </row>
    <row r="4" spans="1:11" ht="26.25" customHeight="1">
      <c r="A4" s="1239" t="s">
        <v>787</v>
      </c>
      <c r="B4" s="1239"/>
      <c r="C4" s="1239"/>
      <c r="D4" s="1239"/>
      <c r="E4" s="1239"/>
      <c r="F4" s="1239"/>
      <c r="G4" s="1239"/>
      <c r="H4" s="712"/>
      <c r="I4" s="634"/>
      <c r="J4" s="634"/>
    </row>
    <row r="5" spans="1:11" ht="23.25">
      <c r="A5" s="713"/>
      <c r="B5" s="714"/>
      <c r="C5" s="713"/>
      <c r="D5" s="713"/>
      <c r="E5" s="713"/>
      <c r="F5" s="715"/>
      <c r="G5" s="716"/>
      <c r="H5" s="712"/>
      <c r="I5" s="634"/>
      <c r="J5" s="634"/>
    </row>
    <row r="6" spans="1:11" ht="23.25">
      <c r="A6" s="714"/>
      <c r="B6" s="714"/>
      <c r="C6" s="717"/>
      <c r="D6" s="718"/>
      <c r="E6" s="716"/>
      <c r="F6" s="716"/>
      <c r="G6" s="716"/>
      <c r="H6" s="641"/>
      <c r="I6" s="712"/>
      <c r="J6" s="642"/>
    </row>
    <row r="7" spans="1:11" ht="23.25">
      <c r="A7" s="714"/>
      <c r="B7" s="714"/>
      <c r="C7" s="717"/>
      <c r="D7" s="718"/>
      <c r="E7" s="716"/>
      <c r="F7" s="716"/>
      <c r="G7" s="716"/>
      <c r="H7" s="641"/>
      <c r="I7" s="712"/>
      <c r="J7" s="642"/>
    </row>
    <row r="8" spans="1:11" ht="23.25">
      <c r="A8" s="714"/>
      <c r="B8" s="714"/>
      <c r="C8" s="714"/>
      <c r="D8" s="717"/>
      <c r="E8" s="717"/>
      <c r="F8" s="719"/>
      <c r="G8" s="714"/>
    </row>
    <row r="9" spans="1:11" ht="39" customHeight="1">
      <c r="A9" s="1240"/>
      <c r="B9" s="1240"/>
      <c r="C9" s="1240"/>
      <c r="D9" s="1240"/>
      <c r="E9" s="1240"/>
      <c r="F9" s="714"/>
      <c r="G9" s="696"/>
      <c r="H9" s="979"/>
      <c r="I9" s="634"/>
    </row>
    <row r="10" spans="1:11" ht="23.25">
      <c r="A10" s="714"/>
      <c r="B10" s="714"/>
      <c r="C10" s="717"/>
      <c r="D10" s="717"/>
      <c r="E10" s="719"/>
      <c r="F10" s="714"/>
      <c r="G10" s="696"/>
      <c r="H10" s="979"/>
      <c r="I10" s="634"/>
    </row>
    <row r="11" spans="1:11" ht="34.5" customHeight="1">
      <c r="A11" s="1240" t="s">
        <v>788</v>
      </c>
      <c r="B11" s="1240"/>
      <c r="C11" s="1240"/>
      <c r="D11" s="1240"/>
      <c r="E11" s="1240"/>
      <c r="F11" s="717"/>
      <c r="G11" s="714"/>
      <c r="I11" s="634"/>
    </row>
    <row r="12" spans="1:11" ht="23.25">
      <c r="A12" s="721"/>
      <c r="B12" s="721"/>
      <c r="C12" s="722"/>
      <c r="D12" s="722"/>
      <c r="E12" s="723"/>
      <c r="F12" s="718"/>
      <c r="G12" s="714"/>
      <c r="I12" s="634"/>
    </row>
    <row r="13" spans="1:11" ht="69.75">
      <c r="A13" s="969" t="s">
        <v>778</v>
      </c>
      <c r="B13" s="969" t="s">
        <v>791</v>
      </c>
      <c r="C13" s="968" t="s">
        <v>789</v>
      </c>
      <c r="D13" s="968" t="s">
        <v>790</v>
      </c>
      <c r="E13" s="714"/>
      <c r="F13" s="969" t="s">
        <v>792</v>
      </c>
      <c r="G13" s="968" t="s">
        <v>777</v>
      </c>
      <c r="I13" s="634"/>
    </row>
    <row r="14" spans="1:11" ht="23.25">
      <c r="A14" s="714"/>
      <c r="B14" s="726" t="s">
        <v>134</v>
      </c>
      <c r="C14" s="726" t="s">
        <v>248</v>
      </c>
      <c r="D14" s="679" t="s">
        <v>248</v>
      </c>
      <c r="E14" s="714"/>
      <c r="F14" s="95" t="s">
        <v>134</v>
      </c>
      <c r="G14" s="96" t="s">
        <v>248</v>
      </c>
      <c r="I14" s="634"/>
    </row>
    <row r="15" spans="1:11" ht="23.25">
      <c r="A15" s="714"/>
      <c r="B15" s="55" t="s">
        <v>136</v>
      </c>
      <c r="C15" s="57">
        <v>2304</v>
      </c>
      <c r="D15" s="58">
        <v>1344</v>
      </c>
      <c r="E15" s="714"/>
      <c r="F15" s="95" t="s">
        <v>176</v>
      </c>
      <c r="G15" s="97">
        <v>500</v>
      </c>
      <c r="I15" s="634"/>
    </row>
    <row r="16" spans="1:11" ht="23.25">
      <c r="A16" s="714"/>
      <c r="B16" s="55" t="s">
        <v>137</v>
      </c>
      <c r="C16" s="57">
        <v>2000</v>
      </c>
      <c r="D16" s="57">
        <v>1300</v>
      </c>
      <c r="E16" s="714"/>
      <c r="F16" s="95" t="s">
        <v>177</v>
      </c>
      <c r="G16" s="98">
        <v>750</v>
      </c>
      <c r="I16" s="634"/>
    </row>
    <row r="17" spans="1:9" ht="23.25">
      <c r="A17" s="714"/>
      <c r="B17" s="55" t="s">
        <v>138</v>
      </c>
      <c r="C17" s="57">
        <v>2090</v>
      </c>
      <c r="D17" s="57">
        <v>1500</v>
      </c>
      <c r="E17" s="714"/>
      <c r="F17" s="95" t="s">
        <v>178</v>
      </c>
      <c r="G17" s="98">
        <v>1100</v>
      </c>
      <c r="I17" s="634"/>
    </row>
    <row r="18" spans="1:9" ht="23.25">
      <c r="A18" s="714"/>
      <c r="B18" s="59" t="s">
        <v>139</v>
      </c>
      <c r="C18" s="60">
        <v>1800</v>
      </c>
      <c r="D18" s="60">
        <v>1100</v>
      </c>
      <c r="E18" s="714"/>
      <c r="F18" s="914"/>
      <c r="G18" s="915"/>
      <c r="I18" s="634"/>
    </row>
    <row r="19" spans="1:9" ht="64.5" customHeight="1">
      <c r="A19" s="714"/>
      <c r="B19" s="727" t="s">
        <v>793</v>
      </c>
      <c r="C19" s="697">
        <v>2048.5</v>
      </c>
      <c r="D19" s="697">
        <v>1311</v>
      </c>
      <c r="E19" s="714"/>
      <c r="F19" s="727" t="s">
        <v>793</v>
      </c>
      <c r="G19" s="697">
        <v>783.33333333333337</v>
      </c>
      <c r="I19" s="634"/>
    </row>
    <row r="20" spans="1:9">
      <c r="I20" s="634"/>
    </row>
    <row r="21" spans="1:9" ht="0.75" customHeight="1">
      <c r="I21" s="634"/>
    </row>
    <row r="23" spans="1:9">
      <c r="A23" s="728"/>
      <c r="B23" s="729"/>
      <c r="C23" s="730"/>
      <c r="D23" s="729"/>
      <c r="E23" s="642"/>
      <c r="F23" s="649"/>
      <c r="G23" s="649"/>
      <c r="H23" s="979"/>
      <c r="I23" s="634"/>
    </row>
    <row r="24" spans="1:9">
      <c r="A24" s="728"/>
      <c r="B24" s="729"/>
      <c r="C24" s="730"/>
      <c r="D24" s="729"/>
      <c r="E24" s="642"/>
      <c r="F24" s="649"/>
      <c r="G24" s="649"/>
      <c r="H24" s="979"/>
      <c r="I24" s="634"/>
    </row>
    <row r="25" spans="1:9" ht="21.75" thickBot="1">
      <c r="B25" s="712"/>
      <c r="C25" s="728"/>
      <c r="D25" s="648"/>
      <c r="E25" s="648"/>
      <c r="F25" s="648"/>
      <c r="G25" s="643"/>
      <c r="H25" s="979"/>
      <c r="I25" s="634"/>
    </row>
    <row r="26" spans="1:9" ht="129.75" customHeight="1" thickBot="1">
      <c r="B26" s="712"/>
      <c r="C26" s="650" t="s">
        <v>202</v>
      </c>
      <c r="D26" s="1241" t="s">
        <v>779</v>
      </c>
      <c r="E26" s="1242"/>
      <c r="F26" s="648"/>
      <c r="G26" s="643"/>
      <c r="H26" s="979"/>
      <c r="I26" s="634"/>
    </row>
    <row r="27" spans="1:9" ht="21.75">
      <c r="F27" s="1090" t="s">
        <v>203</v>
      </c>
      <c r="G27" s="1082"/>
    </row>
    <row r="28" spans="1:9" ht="26.25">
      <c r="B28" s="1243" t="s">
        <v>794</v>
      </c>
      <c r="C28" s="1244"/>
      <c r="D28" s="1244"/>
      <c r="E28" s="1245"/>
      <c r="F28" s="132" t="s">
        <v>204</v>
      </c>
      <c r="G28" s="133">
        <v>3.84</v>
      </c>
    </row>
    <row r="29" spans="1:9" ht="26.25">
      <c r="F29" s="132" t="s">
        <v>205</v>
      </c>
      <c r="G29" s="133">
        <v>4.38</v>
      </c>
    </row>
    <row r="30" spans="1:9">
      <c r="A30" s="1246" t="s">
        <v>206</v>
      </c>
      <c r="B30" s="1247"/>
      <c r="C30" s="1247"/>
      <c r="D30" s="1247"/>
      <c r="E30" s="1248"/>
      <c r="F30" s="1249" t="s">
        <v>207</v>
      </c>
      <c r="G30" s="1250"/>
      <c r="H30" s="1251"/>
    </row>
    <row r="31" spans="1:9" ht="42">
      <c r="A31" s="644" t="s">
        <v>208</v>
      </c>
      <c r="B31" s="646" t="s">
        <v>135</v>
      </c>
      <c r="C31" s="646" t="s">
        <v>209</v>
      </c>
      <c r="D31" s="646" t="s">
        <v>210</v>
      </c>
      <c r="E31" s="646" t="s">
        <v>211</v>
      </c>
      <c r="F31" s="651" t="s">
        <v>212</v>
      </c>
      <c r="G31" s="651" t="s">
        <v>213</v>
      </c>
      <c r="H31" s="651" t="s">
        <v>214</v>
      </c>
    </row>
    <row r="32" spans="1:9">
      <c r="A32" s="916"/>
      <c r="B32" s="646"/>
      <c r="C32" s="646"/>
      <c r="D32" s="646"/>
      <c r="E32" s="646"/>
      <c r="F32" s="651"/>
      <c r="G32" s="651"/>
      <c r="H32" s="651"/>
    </row>
    <row r="33" spans="1:8" ht="26.25">
      <c r="A33" s="135" t="s">
        <v>362</v>
      </c>
      <c r="B33" s="136">
        <f>2250*3</f>
        <v>6750</v>
      </c>
      <c r="C33" s="647"/>
      <c r="D33" s="647"/>
      <c r="E33" s="136">
        <f>B33</f>
        <v>6750</v>
      </c>
      <c r="F33" s="138">
        <v>0.25</v>
      </c>
      <c r="G33" s="139">
        <f>E33*F33</f>
        <v>1687.5</v>
      </c>
      <c r="H33" s="139">
        <f>G33/12</f>
        <v>140.625</v>
      </c>
    </row>
    <row r="34" spans="1:8" ht="26.25">
      <c r="A34" s="135" t="s">
        <v>223</v>
      </c>
      <c r="B34" s="136">
        <f>3800*2</f>
        <v>7600</v>
      </c>
      <c r="C34" s="639"/>
      <c r="D34" s="639"/>
      <c r="E34" s="136">
        <f t="shared" ref="E34:E51" si="0">B34</f>
        <v>7600</v>
      </c>
      <c r="F34" s="138">
        <v>0.25</v>
      </c>
      <c r="G34" s="139">
        <f t="shared" ref="G34:G51" si="1">E34*F34</f>
        <v>1900</v>
      </c>
      <c r="H34" s="139">
        <f t="shared" ref="H34:H51" si="2">G34/12</f>
        <v>158.33333333333334</v>
      </c>
    </row>
    <row r="35" spans="1:8" ht="39" customHeight="1">
      <c r="A35" s="135" t="s">
        <v>215</v>
      </c>
      <c r="B35" s="136">
        <f>529*4</f>
        <v>2116</v>
      </c>
      <c r="C35" s="639"/>
      <c r="D35" s="639"/>
      <c r="E35" s="136">
        <f t="shared" si="0"/>
        <v>2116</v>
      </c>
      <c r="F35" s="138">
        <v>0.25</v>
      </c>
      <c r="G35" s="139">
        <f t="shared" si="1"/>
        <v>529</v>
      </c>
      <c r="H35" s="139">
        <f t="shared" si="2"/>
        <v>44.083333333333336</v>
      </c>
    </row>
    <row r="36" spans="1:8" ht="67.5" customHeight="1">
      <c r="A36" s="135" t="s">
        <v>363</v>
      </c>
      <c r="B36" s="136">
        <f>37.9*24</f>
        <v>909.59999999999991</v>
      </c>
      <c r="C36" s="639"/>
      <c r="D36" s="639"/>
      <c r="E36" s="136">
        <f t="shared" si="0"/>
        <v>909.59999999999991</v>
      </c>
      <c r="F36" s="138">
        <v>0.1</v>
      </c>
      <c r="G36" s="139">
        <f t="shared" si="1"/>
        <v>90.96</v>
      </c>
      <c r="H36" s="139">
        <f t="shared" si="2"/>
        <v>7.5799999999999992</v>
      </c>
    </row>
    <row r="37" spans="1:8" ht="54.75" customHeight="1">
      <c r="A37" s="135" t="s">
        <v>216</v>
      </c>
      <c r="B37" s="136">
        <f>1591*2</f>
        <v>3182</v>
      </c>
      <c r="C37" s="639"/>
      <c r="D37" s="639"/>
      <c r="E37" s="136">
        <f t="shared" si="0"/>
        <v>3182</v>
      </c>
      <c r="F37" s="138">
        <v>0.1</v>
      </c>
      <c r="G37" s="139">
        <f t="shared" si="1"/>
        <v>318.20000000000005</v>
      </c>
      <c r="H37" s="139">
        <f t="shared" si="2"/>
        <v>26.516666666666669</v>
      </c>
    </row>
    <row r="38" spans="1:8" ht="56.25" customHeight="1">
      <c r="A38" s="135" t="s">
        <v>217</v>
      </c>
      <c r="B38" s="136">
        <v>2499</v>
      </c>
      <c r="C38" s="639"/>
      <c r="D38" s="639"/>
      <c r="E38" s="136">
        <f t="shared" si="0"/>
        <v>2499</v>
      </c>
      <c r="F38" s="138">
        <v>0.25</v>
      </c>
      <c r="G38" s="139">
        <f t="shared" si="1"/>
        <v>624.75</v>
      </c>
      <c r="H38" s="139">
        <f t="shared" si="2"/>
        <v>52.0625</v>
      </c>
    </row>
    <row r="39" spans="1:8" ht="76.5" customHeight="1">
      <c r="A39" s="135" t="s">
        <v>364</v>
      </c>
      <c r="B39" s="136">
        <f>299*2</f>
        <v>598</v>
      </c>
      <c r="C39" s="639"/>
      <c r="D39" s="639"/>
      <c r="E39" s="136">
        <f t="shared" si="0"/>
        <v>598</v>
      </c>
      <c r="F39" s="138">
        <v>0.1</v>
      </c>
      <c r="G39" s="139">
        <f t="shared" si="1"/>
        <v>59.800000000000004</v>
      </c>
      <c r="H39" s="139">
        <f t="shared" si="2"/>
        <v>4.9833333333333334</v>
      </c>
    </row>
    <row r="40" spans="1:8" ht="59.25" customHeight="1">
      <c r="A40" s="135" t="s">
        <v>365</v>
      </c>
      <c r="B40" s="136">
        <v>509</v>
      </c>
      <c r="C40" s="639"/>
      <c r="D40" s="639"/>
      <c r="E40" s="136">
        <f t="shared" si="0"/>
        <v>509</v>
      </c>
      <c r="F40" s="138">
        <v>0.1</v>
      </c>
      <c r="G40" s="139">
        <f t="shared" si="1"/>
        <v>50.900000000000006</v>
      </c>
      <c r="H40" s="139">
        <f t="shared" si="2"/>
        <v>4.2416666666666671</v>
      </c>
    </row>
    <row r="41" spans="1:8" ht="45.75" customHeight="1">
      <c r="A41" s="135" t="s">
        <v>218</v>
      </c>
      <c r="B41" s="136">
        <f>499*3</f>
        <v>1497</v>
      </c>
      <c r="C41" s="639"/>
      <c r="D41" s="639"/>
      <c r="E41" s="136">
        <f t="shared" si="0"/>
        <v>1497</v>
      </c>
      <c r="F41" s="138">
        <v>0.1</v>
      </c>
      <c r="G41" s="139">
        <f t="shared" si="1"/>
        <v>149.70000000000002</v>
      </c>
      <c r="H41" s="139">
        <f t="shared" si="2"/>
        <v>12.475000000000001</v>
      </c>
    </row>
    <row r="42" spans="1:8" ht="54.75" customHeight="1">
      <c r="A42" s="135" t="s">
        <v>366</v>
      </c>
      <c r="B42" s="136">
        <f>299*3</f>
        <v>897</v>
      </c>
      <c r="C42" s="639"/>
      <c r="D42" s="639"/>
      <c r="E42" s="136">
        <f t="shared" si="0"/>
        <v>897</v>
      </c>
      <c r="F42" s="138">
        <v>0.1</v>
      </c>
      <c r="G42" s="139">
        <f t="shared" si="1"/>
        <v>89.7</v>
      </c>
      <c r="H42" s="139">
        <f t="shared" si="2"/>
        <v>7.4750000000000005</v>
      </c>
    </row>
    <row r="43" spans="1:8" ht="64.5" customHeight="1">
      <c r="A43" s="135" t="s">
        <v>367</v>
      </c>
      <c r="B43" s="136">
        <f>199*5</f>
        <v>995</v>
      </c>
      <c r="C43" s="639"/>
      <c r="D43" s="639"/>
      <c r="E43" s="136">
        <f t="shared" si="0"/>
        <v>995</v>
      </c>
      <c r="F43" s="138">
        <v>0.1</v>
      </c>
      <c r="G43" s="139">
        <f t="shared" si="1"/>
        <v>99.5</v>
      </c>
      <c r="H43" s="139">
        <f t="shared" si="2"/>
        <v>8.2916666666666661</v>
      </c>
    </row>
    <row r="44" spans="1:8" ht="42" customHeight="1">
      <c r="A44" s="135" t="s">
        <v>368</v>
      </c>
      <c r="B44" s="136">
        <v>249</v>
      </c>
      <c r="C44" s="639"/>
      <c r="D44" s="639"/>
      <c r="E44" s="136">
        <f t="shared" si="0"/>
        <v>249</v>
      </c>
      <c r="F44" s="138">
        <v>0.1</v>
      </c>
      <c r="G44" s="139">
        <f t="shared" si="1"/>
        <v>24.900000000000002</v>
      </c>
      <c r="H44" s="139">
        <f t="shared" si="2"/>
        <v>2.0750000000000002</v>
      </c>
    </row>
    <row r="45" spans="1:8" ht="72.75" customHeight="1">
      <c r="A45" s="135" t="s">
        <v>219</v>
      </c>
      <c r="B45" s="136">
        <v>2332</v>
      </c>
      <c r="C45" s="639"/>
      <c r="D45" s="639"/>
      <c r="E45" s="136">
        <f t="shared" si="0"/>
        <v>2332</v>
      </c>
      <c r="F45" s="138">
        <v>0.1</v>
      </c>
      <c r="G45" s="139">
        <f t="shared" si="1"/>
        <v>233.20000000000002</v>
      </c>
      <c r="H45" s="139">
        <f t="shared" si="2"/>
        <v>19.433333333333334</v>
      </c>
    </row>
    <row r="46" spans="1:8" ht="67.5" customHeight="1">
      <c r="A46" s="135" t="s">
        <v>220</v>
      </c>
      <c r="B46" s="136">
        <f>1987.5*8</f>
        <v>15900</v>
      </c>
      <c r="C46" s="639"/>
      <c r="D46" s="639"/>
      <c r="E46" s="136">
        <f t="shared" si="0"/>
        <v>15900</v>
      </c>
      <c r="F46" s="138">
        <v>0.1</v>
      </c>
      <c r="G46" s="139">
        <f t="shared" si="1"/>
        <v>1590</v>
      </c>
      <c r="H46" s="139">
        <f t="shared" si="2"/>
        <v>132.5</v>
      </c>
    </row>
    <row r="47" spans="1:8" ht="69" customHeight="1">
      <c r="A47" s="135" t="s">
        <v>369</v>
      </c>
      <c r="B47" s="136">
        <f>3*480</f>
        <v>1440</v>
      </c>
      <c r="C47" s="639"/>
      <c r="D47" s="639"/>
      <c r="E47" s="136">
        <f t="shared" si="0"/>
        <v>1440</v>
      </c>
      <c r="F47" s="138">
        <v>0.25</v>
      </c>
      <c r="G47" s="139">
        <f t="shared" si="1"/>
        <v>360</v>
      </c>
      <c r="H47" s="139">
        <f t="shared" si="2"/>
        <v>30</v>
      </c>
    </row>
    <row r="48" spans="1:8" ht="70.5" customHeight="1">
      <c r="A48" s="135" t="s">
        <v>370</v>
      </c>
      <c r="B48" s="136">
        <v>570</v>
      </c>
      <c r="C48" s="639"/>
      <c r="D48" s="639"/>
      <c r="E48" s="136">
        <f t="shared" si="0"/>
        <v>570</v>
      </c>
      <c r="F48" s="138">
        <v>0.1</v>
      </c>
      <c r="G48" s="139">
        <f t="shared" si="1"/>
        <v>57</v>
      </c>
      <c r="H48" s="139">
        <f t="shared" si="2"/>
        <v>4.75</v>
      </c>
    </row>
    <row r="49" spans="1:8" ht="72.75" customHeight="1">
      <c r="A49" s="135" t="s">
        <v>224</v>
      </c>
      <c r="B49" s="136">
        <v>10000</v>
      </c>
      <c r="C49" s="639"/>
      <c r="D49" s="639"/>
      <c r="E49" s="136">
        <f t="shared" si="0"/>
        <v>10000</v>
      </c>
      <c r="F49" s="138">
        <v>0.05</v>
      </c>
      <c r="G49" s="139">
        <f t="shared" si="1"/>
        <v>500</v>
      </c>
      <c r="H49" s="139">
        <f t="shared" si="2"/>
        <v>41.666666666666664</v>
      </c>
    </row>
    <row r="50" spans="1:8" ht="76.5" customHeight="1">
      <c r="A50" s="135" t="s">
        <v>222</v>
      </c>
      <c r="B50" s="136">
        <f>121.28*2+121.28*2</f>
        <v>485.12</v>
      </c>
      <c r="C50" s="639"/>
      <c r="D50" s="639"/>
      <c r="E50" s="136">
        <f t="shared" si="0"/>
        <v>485.12</v>
      </c>
      <c r="F50" s="138">
        <v>0.1</v>
      </c>
      <c r="G50" s="139">
        <f t="shared" si="1"/>
        <v>48.512</v>
      </c>
      <c r="H50" s="139">
        <f t="shared" si="2"/>
        <v>4.0426666666666664</v>
      </c>
    </row>
    <row r="51" spans="1:8" ht="75.75" customHeight="1">
      <c r="A51" s="135" t="s">
        <v>225</v>
      </c>
      <c r="B51" s="136">
        <f>299*2+174*5+195*2+45*4+5.8*10+158*10+120*4+19.9*10</f>
        <v>4355</v>
      </c>
      <c r="C51" s="639"/>
      <c r="D51" s="639"/>
      <c r="E51" s="136">
        <f t="shared" si="0"/>
        <v>4355</v>
      </c>
      <c r="F51" s="138">
        <v>0.1</v>
      </c>
      <c r="G51" s="139">
        <f t="shared" si="1"/>
        <v>435.5</v>
      </c>
      <c r="H51" s="139">
        <f t="shared" si="2"/>
        <v>36.291666666666664</v>
      </c>
    </row>
    <row r="52" spans="1:8" ht="26.25">
      <c r="A52" s="647"/>
      <c r="B52" s="639"/>
      <c r="C52" s="639"/>
      <c r="D52" s="639"/>
      <c r="E52" s="639"/>
      <c r="F52" s="142"/>
      <c r="G52" s="143"/>
      <c r="H52" s="143"/>
    </row>
    <row r="53" spans="1:8" ht="23.25">
      <c r="A53" s="647"/>
      <c r="B53" s="639"/>
      <c r="C53" s="697" t="s">
        <v>226</v>
      </c>
      <c r="D53" s="697"/>
      <c r="E53" s="697">
        <f>SUM(E33:E52)</f>
        <v>62883.72</v>
      </c>
      <c r="F53" s="654" t="s">
        <v>227</v>
      </c>
      <c r="G53" s="644">
        <f>SUM(G33:G51)</f>
        <v>8849.1219999999994</v>
      </c>
      <c r="H53" s="644">
        <f>SUM(H33:H51)</f>
        <v>737.42683333333343</v>
      </c>
    </row>
    <row r="54" spans="1:8" ht="23.25">
      <c r="A54" s="647"/>
      <c r="B54" s="639"/>
      <c r="C54" s="639"/>
      <c r="D54" s="639"/>
      <c r="E54" s="639"/>
      <c r="F54" s="655"/>
      <c r="G54" s="656"/>
      <c r="H54" s="656"/>
    </row>
    <row r="55" spans="1:8" ht="23.25">
      <c r="A55" s="647"/>
      <c r="B55" s="639"/>
      <c r="C55" s="639"/>
      <c r="D55" s="639"/>
      <c r="E55" s="639"/>
      <c r="F55" s="655"/>
      <c r="G55" s="656"/>
      <c r="H55" s="656"/>
    </row>
    <row r="56" spans="1:8" ht="42">
      <c r="A56" s="657" t="s">
        <v>228</v>
      </c>
      <c r="B56" s="637"/>
      <c r="C56" s="639"/>
      <c r="D56" s="639"/>
      <c r="E56" s="639"/>
      <c r="F56" s="658" t="s">
        <v>229</v>
      </c>
      <c r="G56" s="651" t="s">
        <v>230</v>
      </c>
      <c r="H56" s="651" t="s">
        <v>231</v>
      </c>
    </row>
    <row r="57" spans="1:8" ht="46.5">
      <c r="A57" s="647"/>
      <c r="B57" s="637" t="str">
        <f>B31</f>
        <v>Soles</v>
      </c>
      <c r="C57" s="637" t="str">
        <f>C31</f>
        <v>Dólares</v>
      </c>
      <c r="D57" s="637" t="str">
        <f>D31</f>
        <v>Euros</v>
      </c>
      <c r="E57" s="637" t="str">
        <f>E31</f>
        <v>Toda la inversión convertida a Soles</v>
      </c>
      <c r="F57" s="660"/>
      <c r="G57" s="661"/>
      <c r="H57" s="661"/>
    </row>
    <row r="58" spans="1:8" ht="52.5">
      <c r="A58" s="135" t="s">
        <v>232</v>
      </c>
      <c r="B58" s="136">
        <v>535</v>
      </c>
      <c r="C58" s="639"/>
      <c r="D58" s="639"/>
      <c r="E58" s="136">
        <v>535</v>
      </c>
      <c r="F58" s="138">
        <v>0.1</v>
      </c>
      <c r="G58" s="653">
        <f t="shared" ref="G58:G62" si="3">E58*F58</f>
        <v>53.5</v>
      </c>
      <c r="H58" s="662">
        <f t="shared" ref="H58:H62" si="4">G58/12</f>
        <v>4.458333333333333</v>
      </c>
    </row>
    <row r="59" spans="1:8" ht="52.5">
      <c r="A59" s="135" t="s">
        <v>233</v>
      </c>
      <c r="B59" s="136">
        <f>22+28+5+4.5*7+250</f>
        <v>336.5</v>
      </c>
      <c r="C59" s="639"/>
      <c r="D59" s="639"/>
      <c r="E59" s="136">
        <f>22+28+5+4.5*7+250</f>
        <v>336.5</v>
      </c>
      <c r="F59" s="138">
        <v>0.1</v>
      </c>
      <c r="G59" s="653">
        <f t="shared" si="3"/>
        <v>33.65</v>
      </c>
      <c r="H59" s="662">
        <f t="shared" si="4"/>
        <v>2.8041666666666667</v>
      </c>
    </row>
    <row r="60" spans="1:8" ht="52.5">
      <c r="A60" s="135" t="s">
        <v>234</v>
      </c>
      <c r="B60" s="136">
        <v>800</v>
      </c>
      <c r="C60" s="639"/>
      <c r="D60" s="639"/>
      <c r="E60" s="136">
        <v>800</v>
      </c>
      <c r="F60" s="138">
        <v>0.1</v>
      </c>
      <c r="G60" s="653"/>
      <c r="H60" s="662">
        <f t="shared" si="4"/>
        <v>0</v>
      </c>
    </row>
    <row r="61" spans="1:8" ht="52.5">
      <c r="A61" s="135" t="s">
        <v>235</v>
      </c>
      <c r="B61" s="136">
        <v>1400</v>
      </c>
      <c r="C61" s="639"/>
      <c r="D61" s="639"/>
      <c r="E61" s="136">
        <v>1400</v>
      </c>
      <c r="F61" s="138">
        <v>0.1</v>
      </c>
      <c r="G61" s="653">
        <f t="shared" si="3"/>
        <v>140</v>
      </c>
      <c r="H61" s="662">
        <f t="shared" si="4"/>
        <v>11.666666666666666</v>
      </c>
    </row>
    <row r="62" spans="1:8" ht="52.5">
      <c r="A62" s="135" t="s">
        <v>236</v>
      </c>
      <c r="B62" s="136">
        <v>3150</v>
      </c>
      <c r="C62" s="639"/>
      <c r="D62" s="639"/>
      <c r="E62" s="136">
        <v>3150</v>
      </c>
      <c r="F62" s="138">
        <v>0.1</v>
      </c>
      <c r="G62" s="653">
        <f t="shared" si="3"/>
        <v>315</v>
      </c>
      <c r="H62" s="662">
        <f t="shared" si="4"/>
        <v>26.25</v>
      </c>
    </row>
    <row r="63" spans="1:8" ht="23.25">
      <c r="A63" s="663"/>
      <c r="B63" s="639"/>
      <c r="C63" s="699" t="s">
        <v>237</v>
      </c>
      <c r="D63" s="699"/>
      <c r="E63" s="699">
        <f>SUM(E58:E62)</f>
        <v>6221.5</v>
      </c>
      <c r="F63" s="651" t="s">
        <v>238</v>
      </c>
      <c r="G63" s="664">
        <f>SUM(G58:G62)</f>
        <v>542.15</v>
      </c>
      <c r="H63" s="664">
        <f>SUM(H58:H62)</f>
        <v>45.179166666666667</v>
      </c>
    </row>
    <row r="64" spans="1:8" ht="23.25">
      <c r="A64" s="663"/>
      <c r="B64" s="639"/>
      <c r="C64" s="637"/>
      <c r="D64" s="637"/>
      <c r="E64" s="637"/>
      <c r="F64" s="659"/>
      <c r="G64" s="664"/>
      <c r="H64" s="664"/>
    </row>
    <row r="65" spans="1:8" ht="42">
      <c r="A65" s="644" t="s">
        <v>239</v>
      </c>
      <c r="B65" s="700">
        <v>0.15</v>
      </c>
      <c r="C65" s="699" t="s">
        <v>240</v>
      </c>
      <c r="D65" s="701" t="s">
        <v>241</v>
      </c>
      <c r="E65" s="699">
        <f>(E53+E63)*B65</f>
        <v>10365.782999999999</v>
      </c>
      <c r="F65" s="665"/>
      <c r="G65" s="665"/>
      <c r="H65" s="665"/>
    </row>
    <row r="66" spans="1:8" ht="23.25">
      <c r="A66" s="666"/>
      <c r="B66" s="702"/>
      <c r="C66" s="698"/>
      <c r="D66" s="639"/>
      <c r="E66" s="639"/>
      <c r="F66" s="665"/>
      <c r="G66" s="665"/>
      <c r="H66" s="665"/>
    </row>
    <row r="67" spans="1:8" ht="46.5">
      <c r="A67" s="731"/>
      <c r="B67" s="732"/>
      <c r="C67" s="733" t="s">
        <v>242</v>
      </c>
      <c r="D67" s="734"/>
      <c r="E67" s="735">
        <f>E53+E63+E65</f>
        <v>79471.002999999997</v>
      </c>
      <c r="F67" s="1270" t="s">
        <v>243</v>
      </c>
      <c r="G67" s="1271"/>
      <c r="H67" s="1272"/>
    </row>
    <row r="69" spans="1:8">
      <c r="A69" s="1273" t="s">
        <v>244</v>
      </c>
      <c r="B69" s="1274"/>
      <c r="C69" s="1274"/>
      <c r="D69" s="1274"/>
      <c r="E69" s="1274"/>
      <c r="F69" s="1274"/>
      <c r="G69" s="1274"/>
      <c r="H69" s="1274"/>
    </row>
    <row r="70" spans="1:8">
      <c r="A70" s="1275" t="s">
        <v>245</v>
      </c>
      <c r="B70" s="1276"/>
      <c r="C70" s="1276"/>
      <c r="D70" s="1276"/>
      <c r="E70" s="1276"/>
      <c r="F70" s="1276"/>
      <c r="G70" s="1276"/>
      <c r="H70" s="1276"/>
    </row>
    <row r="71" spans="1:8">
      <c r="A71" s="1275" t="s">
        <v>780</v>
      </c>
      <c r="B71" s="1276"/>
      <c r="C71" s="1276"/>
      <c r="D71" s="1276"/>
      <c r="E71" s="1276"/>
      <c r="F71" s="1276"/>
      <c r="G71" s="1276"/>
      <c r="H71" s="1276"/>
    </row>
    <row r="72" spans="1:8">
      <c r="A72" s="728"/>
      <c r="B72" s="728"/>
      <c r="C72" s="728"/>
      <c r="D72" s="728"/>
      <c r="E72" s="728"/>
      <c r="F72" s="634"/>
    </row>
    <row r="73" spans="1:8" ht="63" customHeight="1">
      <c r="A73" s="728"/>
      <c r="B73" s="736" t="s">
        <v>246</v>
      </c>
      <c r="C73" s="1270" t="s">
        <v>247</v>
      </c>
      <c r="D73" s="1272"/>
      <c r="E73" s="972" t="s">
        <v>248</v>
      </c>
      <c r="F73" s="634"/>
    </row>
    <row r="74" spans="1:8" ht="42" customHeight="1">
      <c r="A74" s="728"/>
      <c r="B74" s="728"/>
      <c r="C74" s="1252" t="s">
        <v>249</v>
      </c>
      <c r="D74" s="1253"/>
      <c r="E74" s="738">
        <f>E53</f>
        <v>62883.72</v>
      </c>
      <c r="F74" s="634"/>
    </row>
    <row r="75" spans="1:8" ht="42" customHeight="1">
      <c r="A75" s="728"/>
      <c r="B75" s="728"/>
      <c r="C75" s="1252" t="s">
        <v>250</v>
      </c>
      <c r="D75" s="1253"/>
      <c r="E75" s="738">
        <f>E63</f>
        <v>6221.5</v>
      </c>
      <c r="F75" s="634"/>
    </row>
    <row r="76" spans="1:8" ht="42" customHeight="1">
      <c r="A76" s="728"/>
      <c r="B76" s="728"/>
      <c r="C76" s="1252" t="s">
        <v>251</v>
      </c>
      <c r="D76" s="1253"/>
      <c r="E76" s="738">
        <f>E65</f>
        <v>10365.782999999999</v>
      </c>
      <c r="F76" s="634"/>
    </row>
    <row r="77" spans="1:8" ht="23.25">
      <c r="A77" s="728"/>
      <c r="B77" s="728"/>
      <c r="C77" s="739" t="s">
        <v>183</v>
      </c>
      <c r="D77" s="739"/>
      <c r="E77" s="740">
        <f>SUM(E74:E76)</f>
        <v>79471.002999999997</v>
      </c>
      <c r="F77" s="634"/>
    </row>
    <row r="78" spans="1:8" ht="21.75" thickBot="1">
      <c r="A78" s="728"/>
      <c r="B78" s="728"/>
      <c r="C78" s="728"/>
      <c r="D78" s="728"/>
      <c r="E78" s="729"/>
      <c r="F78" s="634"/>
    </row>
    <row r="79" spans="1:8" ht="89.25" customHeight="1" thickBot="1">
      <c r="A79" s="728"/>
      <c r="B79" s="981" t="s">
        <v>252</v>
      </c>
      <c r="C79" s="1260" t="s">
        <v>253</v>
      </c>
      <c r="D79" s="1261"/>
      <c r="E79" s="1261"/>
      <c r="F79" s="1262"/>
      <c r="G79" s="1263" t="s">
        <v>781</v>
      </c>
      <c r="H79" s="1264"/>
    </row>
    <row r="80" spans="1:8">
      <c r="A80" s="728"/>
      <c r="B80" s="728"/>
      <c r="C80" s="728"/>
      <c r="D80" s="728"/>
      <c r="E80" s="728"/>
      <c r="F80" s="634"/>
    </row>
    <row r="81" spans="1:9" ht="63">
      <c r="A81" s="728"/>
      <c r="B81" s="736" t="s">
        <v>254</v>
      </c>
      <c r="C81" s="1265" t="s">
        <v>255</v>
      </c>
      <c r="D81" s="1266"/>
      <c r="E81" s="728"/>
      <c r="F81" s="634"/>
      <c r="G81" s="975" t="s">
        <v>256</v>
      </c>
      <c r="H81" s="975" t="s">
        <v>257</v>
      </c>
      <c r="I81" s="975" t="s">
        <v>258</v>
      </c>
    </row>
    <row r="82" spans="1:9" ht="46.5">
      <c r="A82" s="728"/>
      <c r="B82" s="728"/>
      <c r="C82" s="969" t="s">
        <v>259</v>
      </c>
      <c r="D82" s="743">
        <v>0.6</v>
      </c>
      <c r="E82" s="744">
        <f>E67*D82</f>
        <v>47682.601799999997</v>
      </c>
      <c r="F82" s="966" t="s">
        <v>260</v>
      </c>
      <c r="G82" s="168">
        <v>8.2857E-2</v>
      </c>
      <c r="H82" s="678">
        <v>0.18107100000000001</v>
      </c>
      <c r="I82" s="168">
        <v>0.26392900000000002</v>
      </c>
    </row>
    <row r="83" spans="1:9" ht="26.25">
      <c r="A83" s="728"/>
      <c r="B83" s="728"/>
      <c r="C83" s="746" t="s">
        <v>261</v>
      </c>
      <c r="D83" s="747">
        <v>0.4</v>
      </c>
      <c r="E83" s="748">
        <f>E67*D83</f>
        <v>31788.4012</v>
      </c>
      <c r="F83" s="749" t="s">
        <v>262</v>
      </c>
      <c r="G83" s="173">
        <v>0.17199999999999999</v>
      </c>
      <c r="H83" s="174" t="s">
        <v>263</v>
      </c>
    </row>
    <row r="84" spans="1:9" ht="26.25">
      <c r="A84" s="728"/>
      <c r="B84" s="728"/>
      <c r="C84" s="746" t="s">
        <v>183</v>
      </c>
      <c r="D84" s="747">
        <f>SUM(D82:D83)</f>
        <v>1</v>
      </c>
      <c r="E84" s="748">
        <f>SUM(E82:E83)</f>
        <v>79471.002999999997</v>
      </c>
      <c r="F84" s="715"/>
      <c r="G84" s="174">
        <v>5</v>
      </c>
      <c r="H84" s="174" t="s">
        <v>264</v>
      </c>
    </row>
    <row r="85" spans="1:9" ht="26.25">
      <c r="A85" s="728"/>
      <c r="B85" s="728"/>
      <c r="C85" s="728"/>
      <c r="D85" s="728"/>
      <c r="E85" s="728"/>
      <c r="F85" s="634"/>
      <c r="G85" s="174">
        <v>12</v>
      </c>
      <c r="H85" s="174" t="s">
        <v>265</v>
      </c>
    </row>
    <row r="86" spans="1:9" ht="23.25">
      <c r="A86" s="728"/>
      <c r="B86" s="728"/>
      <c r="C86" s="1267" t="s">
        <v>782</v>
      </c>
      <c r="D86" s="1268"/>
      <c r="E86" s="1268"/>
      <c r="F86" s="1269"/>
      <c r="G86" s="158">
        <f>G84*G85</f>
        <v>60</v>
      </c>
      <c r="H86" s="158" t="s">
        <v>266</v>
      </c>
    </row>
    <row r="88" spans="1:9">
      <c r="B88" s="750" t="s">
        <v>267</v>
      </c>
    </row>
    <row r="89" spans="1:9" ht="42">
      <c r="B89" s="972" t="s">
        <v>268</v>
      </c>
      <c r="C89" s="744">
        <f>E83</f>
        <v>31788.4012</v>
      </c>
      <c r="D89" s="739"/>
    </row>
    <row r="90" spans="1:9">
      <c r="B90" s="978" t="s">
        <v>263</v>
      </c>
      <c r="C90" s="752">
        <f>G83</f>
        <v>0.17199999999999999</v>
      </c>
      <c r="D90" s="739"/>
    </row>
    <row r="91" spans="1:9">
      <c r="B91" s="978" t="s">
        <v>269</v>
      </c>
      <c r="C91" s="667">
        <f>(((1+C90)^(30/360))-1)</f>
        <v>1.3313824334185265E-2</v>
      </c>
      <c r="D91" s="739"/>
    </row>
    <row r="92" spans="1:9">
      <c r="B92" s="972" t="s">
        <v>270</v>
      </c>
      <c r="C92" s="972" t="s">
        <v>143</v>
      </c>
      <c r="D92" s="972" t="s">
        <v>271</v>
      </c>
    </row>
    <row r="93" spans="1:9">
      <c r="B93" s="739" t="s">
        <v>272</v>
      </c>
      <c r="C93" s="978">
        <f>G86</f>
        <v>60</v>
      </c>
      <c r="D93" s="978" t="s">
        <v>273</v>
      </c>
    </row>
    <row r="95" spans="1:9" ht="21" customHeight="1">
      <c r="A95" s="731"/>
      <c r="B95" s="753" t="s">
        <v>274</v>
      </c>
      <c r="C95" s="753" t="s">
        <v>275</v>
      </c>
      <c r="D95" s="753" t="s">
        <v>276</v>
      </c>
      <c r="E95" s="1254" t="s">
        <v>795</v>
      </c>
      <c r="F95" s="1255"/>
      <c r="G95" s="731"/>
    </row>
    <row r="96" spans="1:9">
      <c r="A96" s="731"/>
      <c r="B96" s="731"/>
      <c r="C96" s="731"/>
      <c r="D96" s="753" t="s">
        <v>278</v>
      </c>
      <c r="E96" s="1256"/>
      <c r="F96" s="1257"/>
      <c r="G96" s="731"/>
    </row>
    <row r="97" spans="1:7">
      <c r="A97" s="731"/>
      <c r="B97" s="731"/>
      <c r="C97" s="731"/>
      <c r="D97" s="753" t="s">
        <v>279</v>
      </c>
      <c r="E97" s="1258"/>
      <c r="F97" s="1259"/>
      <c r="G97" s="731"/>
    </row>
    <row r="98" spans="1:7">
      <c r="A98" s="731"/>
      <c r="B98" s="731"/>
      <c r="C98" s="731"/>
      <c r="E98" s="731"/>
      <c r="F98" s="731"/>
      <c r="G98" s="731"/>
    </row>
    <row r="99" spans="1:7">
      <c r="A99" s="731"/>
      <c r="B99" s="731"/>
      <c r="C99" s="731"/>
      <c r="D99" s="731"/>
      <c r="E99" s="731"/>
      <c r="F99" s="731"/>
      <c r="G99" s="731"/>
    </row>
    <row r="100" spans="1:7">
      <c r="A100" s="731"/>
      <c r="B100" s="731"/>
      <c r="C100" s="976" t="s">
        <v>280</v>
      </c>
      <c r="D100" s="755">
        <f>C89</f>
        <v>31788.4012</v>
      </c>
      <c r="E100" s="756">
        <f>D100</f>
        <v>31788.4012</v>
      </c>
      <c r="F100" s="757">
        <f>E100/E101</f>
        <v>772.63679844369324</v>
      </c>
      <c r="G100" s="978" t="s">
        <v>274</v>
      </c>
    </row>
    <row r="101" spans="1:7">
      <c r="A101" s="731"/>
      <c r="B101" s="731"/>
      <c r="C101" s="731"/>
      <c r="D101" s="978">
        <f>(((1+C91)^(C93))-1)</f>
        <v>1.2112510819256475</v>
      </c>
      <c r="E101" s="739">
        <f>D101/D102</f>
        <v>41.142748137327573</v>
      </c>
      <c r="F101" s="731"/>
      <c r="G101" s="731"/>
    </row>
    <row r="102" spans="1:7">
      <c r="A102" s="731"/>
      <c r="B102" s="731"/>
      <c r="C102" s="731"/>
      <c r="D102" s="978">
        <f>C91*((1+C91)^(C93))</f>
        <v>2.9440208463535178E-2</v>
      </c>
      <c r="E102" s="731"/>
      <c r="F102" s="731"/>
      <c r="G102" s="731"/>
    </row>
    <row r="103" spans="1:7">
      <c r="A103" s="731"/>
      <c r="B103" s="750" t="s">
        <v>267</v>
      </c>
      <c r="C103" s="731"/>
      <c r="D103" s="758"/>
      <c r="E103" s="731"/>
      <c r="F103" s="731"/>
      <c r="G103" s="731"/>
    </row>
    <row r="104" spans="1:7" ht="42">
      <c r="A104" s="731"/>
      <c r="B104" s="759" t="s">
        <v>272</v>
      </c>
      <c r="C104" s="759" t="s">
        <v>281</v>
      </c>
      <c r="D104" s="759" t="s">
        <v>282</v>
      </c>
      <c r="E104" s="759" t="s">
        <v>283</v>
      </c>
      <c r="F104" s="759" t="s">
        <v>274</v>
      </c>
      <c r="G104" s="731"/>
    </row>
    <row r="105" spans="1:7">
      <c r="A105" s="731"/>
      <c r="B105" s="978">
        <v>1</v>
      </c>
      <c r="C105" s="755">
        <f>C89</f>
        <v>31788.4012</v>
      </c>
      <c r="D105" s="755">
        <f>F105-E105</f>
        <v>349.41160900228914</v>
      </c>
      <c r="E105" s="755">
        <f>C105*C91</f>
        <v>423.2251894414041</v>
      </c>
      <c r="F105" s="755">
        <f>F100</f>
        <v>772.63679844369324</v>
      </c>
      <c r="G105" s="731"/>
    </row>
    <row r="106" spans="1:7">
      <c r="A106" s="731"/>
      <c r="B106" s="978">
        <v>2</v>
      </c>
      <c r="C106" s="755">
        <f>C105-D105</f>
        <v>31438.989590997709</v>
      </c>
      <c r="D106" s="755">
        <f>F106-E106</f>
        <v>354.06361378487071</v>
      </c>
      <c r="E106" s="755">
        <f>C106*$C$91</f>
        <v>418.57318465882253</v>
      </c>
      <c r="F106" s="755">
        <f>F105</f>
        <v>772.63679844369324</v>
      </c>
      <c r="G106" s="731"/>
    </row>
    <row r="107" spans="1:7">
      <c r="A107" s="731"/>
      <c r="B107" s="978">
        <v>3</v>
      </c>
      <c r="C107" s="755">
        <f>C106-D106</f>
        <v>31084.925977212839</v>
      </c>
      <c r="D107" s="755">
        <f>F107-E107</f>
        <v>358.77755454192925</v>
      </c>
      <c r="E107" s="755">
        <f>C107*$C$91</f>
        <v>413.85924390176399</v>
      </c>
      <c r="F107" s="755">
        <f>F106</f>
        <v>772.63679844369324</v>
      </c>
      <c r="G107" s="731"/>
    </row>
    <row r="108" spans="1:7">
      <c r="A108" s="731"/>
      <c r="B108" s="978">
        <v>4</v>
      </c>
      <c r="C108" s="755">
        <f>C107-D107</f>
        <v>30726.148422670911</v>
      </c>
      <c r="D108" s="755">
        <f>F108-E108</f>
        <v>363.55425587814909</v>
      </c>
      <c r="E108" s="755">
        <f>C108*$C$91</f>
        <v>409.08254256554414</v>
      </c>
      <c r="F108" s="755">
        <f>F107</f>
        <v>772.63679844369324</v>
      </c>
      <c r="G108" s="731"/>
    </row>
    <row r="109" spans="1:7">
      <c r="A109" s="731"/>
      <c r="B109" s="978">
        <v>5</v>
      </c>
      <c r="C109" s="760">
        <f>C108-D108</f>
        <v>30362.594166792762</v>
      </c>
      <c r="D109" s="760">
        <f>F109-E109</f>
        <v>368.39455337685621</v>
      </c>
      <c r="E109" s="755">
        <f>C109*$C$91</f>
        <v>404.24224506683703</v>
      </c>
      <c r="F109" s="755">
        <f>F108</f>
        <v>772.63679844369324</v>
      </c>
      <c r="G109" s="731"/>
    </row>
    <row r="110" spans="1:7">
      <c r="A110" s="731"/>
      <c r="B110" s="978">
        <v>6</v>
      </c>
      <c r="C110" s="760">
        <f t="shared" ref="C110:C164" si="5">C109-D109</f>
        <v>29994.199613415905</v>
      </c>
      <c r="D110" s="760">
        <f t="shared" ref="D110:D164" si="6">F110-E110</f>
        <v>373.29929374618632</v>
      </c>
      <c r="E110" s="755">
        <f t="shared" ref="E110:E164" si="7">C110*$C$91</f>
        <v>399.33750469750692</v>
      </c>
      <c r="F110" s="755">
        <f t="shared" ref="F110:F164" si="8">F109</f>
        <v>772.63679844369324</v>
      </c>
      <c r="G110" s="731"/>
    </row>
    <row r="111" spans="1:7">
      <c r="A111" s="731"/>
      <c r="B111" s="978">
        <v>7</v>
      </c>
      <c r="C111" s="760">
        <f t="shared" si="5"/>
        <v>29620.900319669719</v>
      </c>
      <c r="D111" s="760">
        <f t="shared" si="6"/>
        <v>378.26933496719846</v>
      </c>
      <c r="E111" s="755">
        <f t="shared" si="7"/>
        <v>394.36746347649478</v>
      </c>
      <c r="F111" s="755">
        <f t="shared" si="8"/>
        <v>772.63679844369324</v>
      </c>
      <c r="G111" s="731"/>
    </row>
    <row r="112" spans="1:7">
      <c r="A112" s="731"/>
      <c r="B112" s="978">
        <v>8</v>
      </c>
      <c r="C112" s="760">
        <f t="shared" si="5"/>
        <v>29242.630984702522</v>
      </c>
      <c r="D112" s="760">
        <f t="shared" si="6"/>
        <v>383.30554644396079</v>
      </c>
      <c r="E112" s="755">
        <f t="shared" si="7"/>
        <v>389.33125199973244</v>
      </c>
      <c r="F112" s="755">
        <f t="shared" si="8"/>
        <v>772.63679844369324</v>
      </c>
      <c r="G112" s="731"/>
    </row>
    <row r="113" spans="1:7">
      <c r="A113" s="731"/>
      <c r="B113" s="978">
        <v>9</v>
      </c>
      <c r="C113" s="760">
        <f t="shared" si="5"/>
        <v>28859.325438258562</v>
      </c>
      <c r="D113" s="760">
        <f t="shared" si="6"/>
        <v>388.40880915563457</v>
      </c>
      <c r="E113" s="755">
        <f t="shared" si="7"/>
        <v>384.22798928805867</v>
      </c>
      <c r="F113" s="755">
        <f t="shared" si="8"/>
        <v>772.63679844369324</v>
      </c>
      <c r="G113" s="731"/>
    </row>
    <row r="114" spans="1:7">
      <c r="A114" s="731"/>
      <c r="B114" s="978">
        <v>10</v>
      </c>
      <c r="C114" s="760">
        <f t="shared" si="5"/>
        <v>28470.916629102929</v>
      </c>
      <c r="D114" s="760">
        <f t="shared" si="6"/>
        <v>393.58001581058278</v>
      </c>
      <c r="E114" s="755">
        <f t="shared" si="7"/>
        <v>379.05678263311046</v>
      </c>
      <c r="F114" s="755">
        <f t="shared" si="8"/>
        <v>772.63679844369324</v>
      </c>
      <c r="G114" s="731"/>
    </row>
    <row r="115" spans="1:7">
      <c r="A115" s="731"/>
      <c r="B115" s="978">
        <v>11</v>
      </c>
      <c r="C115" s="760">
        <f t="shared" si="5"/>
        <v>28077.336613292347</v>
      </c>
      <c r="D115" s="760">
        <f t="shared" si="6"/>
        <v>398.82007100253071</v>
      </c>
      <c r="E115" s="755">
        <f t="shared" si="7"/>
        <v>373.81672744116253</v>
      </c>
      <c r="F115" s="755">
        <f t="shared" si="8"/>
        <v>772.63679844369324</v>
      </c>
      <c r="G115" s="731"/>
    </row>
    <row r="116" spans="1:7">
      <c r="A116" s="731"/>
      <c r="B116" s="978">
        <v>12</v>
      </c>
      <c r="C116" s="760">
        <f t="shared" si="5"/>
        <v>27678.516542289817</v>
      </c>
      <c r="D116" s="760">
        <f t="shared" si="6"/>
        <v>404.12989136880566</v>
      </c>
      <c r="E116" s="755">
        <f t="shared" si="7"/>
        <v>368.50690707488758</v>
      </c>
      <c r="F116" s="755">
        <f t="shared" si="8"/>
        <v>772.63679844369324</v>
      </c>
      <c r="G116" s="731"/>
    </row>
    <row r="117" spans="1:7">
      <c r="A117" s="731"/>
      <c r="B117" s="978">
        <v>13</v>
      </c>
      <c r="C117" s="760">
        <f t="shared" si="5"/>
        <v>27274.386650921013</v>
      </c>
      <c r="D117" s="760">
        <f t="shared" si="6"/>
        <v>409.51040575068333</v>
      </c>
      <c r="E117" s="755">
        <f t="shared" si="7"/>
        <v>363.1263926930099</v>
      </c>
      <c r="F117" s="755">
        <f t="shared" si="8"/>
        <v>772.63679844369324</v>
      </c>
      <c r="G117" s="731"/>
    </row>
    <row r="118" spans="1:7">
      <c r="A118" s="731"/>
      <c r="B118" s="978">
        <v>14</v>
      </c>
      <c r="C118" s="760">
        <f t="shared" si="5"/>
        <v>26864.87624517033</v>
      </c>
      <c r="D118" s="760">
        <f t="shared" si="6"/>
        <v>414.96255535586886</v>
      </c>
      <c r="E118" s="755">
        <f t="shared" si="7"/>
        <v>357.67424308782438</v>
      </c>
      <c r="F118" s="755">
        <f t="shared" si="8"/>
        <v>772.63679844369324</v>
      </c>
      <c r="G118" s="731"/>
    </row>
    <row r="119" spans="1:7">
      <c r="A119" s="731"/>
      <c r="B119" s="978">
        <v>15</v>
      </c>
      <c r="C119" s="760">
        <f t="shared" si="5"/>
        <v>26449.913689814461</v>
      </c>
      <c r="D119" s="760">
        <f t="shared" si="6"/>
        <v>420.48729392314152</v>
      </c>
      <c r="E119" s="755">
        <f t="shared" si="7"/>
        <v>352.14950452055172</v>
      </c>
      <c r="F119" s="755">
        <f t="shared" si="8"/>
        <v>772.63679844369324</v>
      </c>
      <c r="G119" s="731"/>
    </row>
    <row r="120" spans="1:7">
      <c r="A120" s="731"/>
      <c r="B120" s="978">
        <v>16</v>
      </c>
      <c r="C120" s="760">
        <f t="shared" si="5"/>
        <v>26029.426395891318</v>
      </c>
      <c r="D120" s="760">
        <f t="shared" si="6"/>
        <v>426.08558788919117</v>
      </c>
      <c r="E120" s="755">
        <f t="shared" si="7"/>
        <v>346.55121055450206</v>
      </c>
      <c r="F120" s="755">
        <f t="shared" si="8"/>
        <v>772.63679844369324</v>
      </c>
      <c r="G120" s="731"/>
    </row>
    <row r="121" spans="1:7">
      <c r="A121" s="731"/>
      <c r="B121" s="978">
        <v>17</v>
      </c>
      <c r="C121" s="760">
        <f t="shared" si="5"/>
        <v>25603.340808002125</v>
      </c>
      <c r="D121" s="760">
        <f t="shared" si="6"/>
        <v>431.7584165576759</v>
      </c>
      <c r="E121" s="755">
        <f t="shared" si="7"/>
        <v>340.87838188601734</v>
      </c>
      <c r="F121" s="755">
        <f t="shared" si="8"/>
        <v>772.63679844369324</v>
      </c>
      <c r="G121" s="731"/>
    </row>
    <row r="122" spans="1:7">
      <c r="A122" s="731"/>
      <c r="B122" s="978">
        <v>18</v>
      </c>
      <c r="C122" s="760">
        <f t="shared" si="5"/>
        <v>25171.582391444448</v>
      </c>
      <c r="D122" s="760">
        <f t="shared" si="6"/>
        <v>437.5067722705308</v>
      </c>
      <c r="E122" s="755">
        <f t="shared" si="7"/>
        <v>335.13002617316243</v>
      </c>
      <c r="F122" s="755">
        <f t="shared" si="8"/>
        <v>772.63679844369324</v>
      </c>
      <c r="G122" s="731"/>
    </row>
    <row r="123" spans="1:7">
      <c r="A123" s="731"/>
      <c r="B123" s="978">
        <v>19</v>
      </c>
      <c r="C123" s="760">
        <f t="shared" si="5"/>
        <v>24734.075619173916</v>
      </c>
      <c r="D123" s="760">
        <f t="shared" si="6"/>
        <v>443.33166058155706</v>
      </c>
      <c r="E123" s="755">
        <f t="shared" si="7"/>
        <v>329.30513786213618</v>
      </c>
      <c r="F123" s="755">
        <f t="shared" si="8"/>
        <v>772.63679844369324</v>
      </c>
      <c r="G123" s="731"/>
    </row>
    <row r="124" spans="1:7">
      <c r="A124" s="731"/>
      <c r="B124" s="978">
        <v>20</v>
      </c>
      <c r="C124" s="760">
        <f t="shared" si="5"/>
        <v>24290.74395859236</v>
      </c>
      <c r="D124" s="760">
        <f t="shared" si="6"/>
        <v>449.23410043232258</v>
      </c>
      <c r="E124" s="755">
        <f t="shared" si="7"/>
        <v>323.40269801137066</v>
      </c>
      <c r="F124" s="755">
        <f t="shared" si="8"/>
        <v>772.63679844369324</v>
      </c>
      <c r="G124" s="731"/>
    </row>
    <row r="125" spans="1:7">
      <c r="A125" s="731"/>
      <c r="B125" s="978">
        <v>21</v>
      </c>
      <c r="C125" s="760">
        <f t="shared" si="5"/>
        <v>23841.509858160036</v>
      </c>
      <c r="D125" s="760">
        <f t="shared" si="6"/>
        <v>455.21512433040425</v>
      </c>
      <c r="E125" s="755">
        <f t="shared" si="7"/>
        <v>317.42167411328899</v>
      </c>
      <c r="F125" s="755">
        <f t="shared" si="8"/>
        <v>772.63679844369324</v>
      </c>
      <c r="G125" s="731"/>
    </row>
    <row r="126" spans="1:7">
      <c r="A126" s="731"/>
      <c r="B126" s="978">
        <v>22</v>
      </c>
      <c r="C126" s="760">
        <f t="shared" si="5"/>
        <v>23386.294733829633</v>
      </c>
      <c r="D126" s="760">
        <f t="shared" si="6"/>
        <v>461.27577853000355</v>
      </c>
      <c r="E126" s="755">
        <f t="shared" si="7"/>
        <v>311.36101991368969</v>
      </c>
      <c r="F126" s="755">
        <f t="shared" si="8"/>
        <v>772.63679844369324</v>
      </c>
      <c r="G126" s="731"/>
    </row>
    <row r="127" spans="1:7">
      <c r="A127" s="731"/>
      <c r="B127" s="978">
        <v>23</v>
      </c>
      <c r="C127" s="760">
        <f t="shared" si="5"/>
        <v>22925.018955299631</v>
      </c>
      <c r="D127" s="760">
        <f t="shared" si="6"/>
        <v>467.41712321496658</v>
      </c>
      <c r="E127" s="755">
        <f t="shared" si="7"/>
        <v>305.21967522872666</v>
      </c>
      <c r="F127" s="755">
        <f t="shared" si="8"/>
        <v>772.63679844369324</v>
      </c>
      <c r="G127" s="731"/>
    </row>
    <row r="128" spans="1:7">
      <c r="A128" s="731"/>
      <c r="B128" s="978">
        <v>24</v>
      </c>
      <c r="C128" s="760">
        <f t="shared" si="5"/>
        <v>22457.601832084663</v>
      </c>
      <c r="D128" s="760">
        <f t="shared" si="6"/>
        <v>473.64023268424086</v>
      </c>
      <c r="E128" s="755">
        <f t="shared" si="7"/>
        <v>298.99656575945238</v>
      </c>
      <c r="F128" s="755">
        <f t="shared" si="8"/>
        <v>772.63679844369324</v>
      </c>
      <c r="G128" s="731"/>
    </row>
    <row r="129" spans="1:7">
      <c r="A129" s="731"/>
      <c r="B129" s="978">
        <v>25</v>
      </c>
      <c r="C129" s="760">
        <f t="shared" si="5"/>
        <v>21983.961599400423</v>
      </c>
      <c r="D129" s="760">
        <f t="shared" si="6"/>
        <v>479.94619553980147</v>
      </c>
      <c r="E129" s="755">
        <f t="shared" si="7"/>
        <v>292.69060290389177</v>
      </c>
      <c r="F129" s="755">
        <f t="shared" si="8"/>
        <v>772.63679844369324</v>
      </c>
      <c r="G129" s="731"/>
    </row>
    <row r="130" spans="1:7">
      <c r="A130" s="731"/>
      <c r="B130" s="978">
        <v>26</v>
      </c>
      <c r="C130" s="760">
        <f t="shared" si="5"/>
        <v>21504.015403860623</v>
      </c>
      <c r="D130" s="760">
        <f t="shared" si="6"/>
        <v>486.3361148770789</v>
      </c>
      <c r="E130" s="755">
        <f t="shared" si="7"/>
        <v>286.30068356661434</v>
      </c>
      <c r="F130" s="755">
        <f t="shared" si="8"/>
        <v>772.63679844369324</v>
      </c>
      <c r="G130" s="731"/>
    </row>
    <row r="131" spans="1:7">
      <c r="A131" s="731"/>
      <c r="B131" s="978">
        <v>27</v>
      </c>
      <c r="C131" s="760">
        <f t="shared" si="5"/>
        <v>21017.679288983545</v>
      </c>
      <c r="D131" s="760">
        <f t="shared" si="6"/>
        <v>492.81110847792246</v>
      </c>
      <c r="E131" s="755">
        <f t="shared" si="7"/>
        <v>279.82568996577078</v>
      </c>
      <c r="F131" s="755">
        <f t="shared" si="8"/>
        <v>772.63679844369324</v>
      </c>
      <c r="G131" s="731"/>
    </row>
    <row r="132" spans="1:7">
      <c r="A132" s="731"/>
      <c r="B132" s="978">
        <v>28</v>
      </c>
      <c r="C132" s="760">
        <f t="shared" si="5"/>
        <v>20524.868180505622</v>
      </c>
      <c r="D132" s="760">
        <f t="shared" si="6"/>
        <v>499.37230900613264</v>
      </c>
      <c r="E132" s="755">
        <f t="shared" si="7"/>
        <v>273.2644894375606</v>
      </c>
      <c r="F132" s="755">
        <f t="shared" si="8"/>
        <v>772.63679844369324</v>
      </c>
      <c r="G132" s="731"/>
    </row>
    <row r="133" spans="1:7">
      <c r="A133" s="731"/>
      <c r="B133" s="978">
        <v>29</v>
      </c>
      <c r="C133" s="760">
        <f t="shared" si="5"/>
        <v>20025.49587149949</v>
      </c>
      <c r="D133" s="760">
        <f t="shared" si="6"/>
        <v>506.02086420559675</v>
      </c>
      <c r="E133" s="755">
        <f t="shared" si="7"/>
        <v>266.61593423809649</v>
      </c>
      <c r="F133" s="755">
        <f t="shared" si="8"/>
        <v>772.63679844369324</v>
      </c>
      <c r="G133" s="731"/>
    </row>
    <row r="134" spans="1:7">
      <c r="A134" s="731"/>
      <c r="B134" s="978">
        <v>30</v>
      </c>
      <c r="C134" s="760">
        <f t="shared" si="5"/>
        <v>19519.475007293895</v>
      </c>
      <c r="D134" s="760">
        <f t="shared" si="6"/>
        <v>512.75793710106268</v>
      </c>
      <c r="E134" s="755">
        <f t="shared" si="7"/>
        <v>259.87886134263056</v>
      </c>
      <c r="F134" s="755">
        <f t="shared" si="8"/>
        <v>772.63679844369324</v>
      </c>
      <c r="G134" s="731"/>
    </row>
    <row r="135" spans="1:7">
      <c r="A135" s="731"/>
      <c r="B135" s="978">
        <v>31</v>
      </c>
      <c r="C135" s="760">
        <f t="shared" si="5"/>
        <v>19006.717070192833</v>
      </c>
      <c r="D135" s="760">
        <f t="shared" si="6"/>
        <v>519.58470620158539</v>
      </c>
      <c r="E135" s="755">
        <f t="shared" si="7"/>
        <v>253.05209224210782</v>
      </c>
      <c r="F135" s="755">
        <f t="shared" si="8"/>
        <v>772.63679844369324</v>
      </c>
      <c r="G135" s="731"/>
    </row>
    <row r="136" spans="1:7">
      <c r="A136" s="731"/>
      <c r="B136" s="978">
        <v>32</v>
      </c>
      <c r="C136" s="760">
        <f t="shared" si="5"/>
        <v>18487.132363991248</v>
      </c>
      <c r="D136" s="760">
        <f t="shared" si="6"/>
        <v>526.50236570668267</v>
      </c>
      <c r="E136" s="755">
        <f t="shared" si="7"/>
        <v>246.13443273701063</v>
      </c>
      <c r="F136" s="755">
        <f t="shared" si="8"/>
        <v>772.63679844369324</v>
      </c>
      <c r="G136" s="731"/>
    </row>
    <row r="137" spans="1:7">
      <c r="A137" s="731"/>
      <c r="B137" s="978">
        <v>33</v>
      </c>
      <c r="C137" s="760">
        <f t="shared" si="5"/>
        <v>17960.629998284567</v>
      </c>
      <c r="D137" s="760">
        <f t="shared" si="6"/>
        <v>533.51212571523433</v>
      </c>
      <c r="E137" s="755">
        <f t="shared" si="7"/>
        <v>239.1246727284589</v>
      </c>
      <c r="F137" s="755">
        <f t="shared" si="8"/>
        <v>772.63679844369324</v>
      </c>
      <c r="G137" s="731"/>
    </row>
    <row r="138" spans="1:7">
      <c r="A138" s="731"/>
      <c r="B138" s="978">
        <v>34</v>
      </c>
      <c r="C138" s="760">
        <f t="shared" si="5"/>
        <v>17427.117872569332</v>
      </c>
      <c r="D138" s="760">
        <f t="shared" si="6"/>
        <v>540.6152124371647</v>
      </c>
      <c r="E138" s="755">
        <f t="shared" si="7"/>
        <v>232.02158600652851</v>
      </c>
      <c r="F138" s="755">
        <f t="shared" si="8"/>
        <v>772.63679844369324</v>
      </c>
      <c r="G138" s="731"/>
    </row>
    <row r="139" spans="1:7">
      <c r="A139" s="731"/>
      <c r="B139" s="978">
        <v>35</v>
      </c>
      <c r="C139" s="760">
        <f t="shared" si="5"/>
        <v>16886.502660132166</v>
      </c>
      <c r="D139" s="760">
        <f t="shared" si="6"/>
        <v>547.81286840794144</v>
      </c>
      <c r="E139" s="755">
        <f t="shared" si="7"/>
        <v>224.82393003575183</v>
      </c>
      <c r="F139" s="755">
        <f t="shared" si="8"/>
        <v>772.63679844369324</v>
      </c>
      <c r="G139" s="731"/>
    </row>
    <row r="140" spans="1:7">
      <c r="A140" s="731"/>
      <c r="B140" s="978">
        <v>36</v>
      </c>
      <c r="C140" s="760">
        <f t="shared" si="5"/>
        <v>16338.689791724224</v>
      </c>
      <c r="D140" s="760">
        <f t="shared" si="6"/>
        <v>555.10635270593093</v>
      </c>
      <c r="E140" s="755">
        <f t="shared" si="7"/>
        <v>217.53044573776234</v>
      </c>
      <c r="F140" s="755">
        <f t="shared" si="8"/>
        <v>772.63679844369324</v>
      </c>
      <c r="G140" s="731"/>
    </row>
    <row r="141" spans="1:7">
      <c r="A141" s="731"/>
      <c r="B141" s="978">
        <v>37</v>
      </c>
      <c r="C141" s="760">
        <f t="shared" si="5"/>
        <v>15783.583439018294</v>
      </c>
      <c r="D141" s="760">
        <f t="shared" si="6"/>
        <v>562.49694117264789</v>
      </c>
      <c r="E141" s="755">
        <f t="shared" si="7"/>
        <v>210.13985727104532</v>
      </c>
      <c r="F141" s="755">
        <f t="shared" si="8"/>
        <v>772.63679844369324</v>
      </c>
      <c r="G141" s="731"/>
    </row>
    <row r="142" spans="1:7">
      <c r="A142" s="731"/>
      <c r="B142" s="978">
        <v>38</v>
      </c>
      <c r="C142" s="760">
        <f t="shared" si="5"/>
        <v>15221.086497845645</v>
      </c>
      <c r="D142" s="760">
        <f t="shared" si="6"/>
        <v>569.98592663593718</v>
      </c>
      <c r="E142" s="755">
        <f t="shared" si="7"/>
        <v>202.65087180775612</v>
      </c>
      <c r="F142" s="755">
        <f t="shared" si="8"/>
        <v>772.63679844369324</v>
      </c>
      <c r="G142" s="731"/>
    </row>
    <row r="143" spans="1:7">
      <c r="A143" s="731"/>
      <c r="B143" s="978">
        <v>39</v>
      </c>
      <c r="C143" s="760">
        <f t="shared" si="5"/>
        <v>14651.100571209707</v>
      </c>
      <c r="D143" s="760">
        <f t="shared" si="6"/>
        <v>577.57461913612588</v>
      </c>
      <c r="E143" s="755">
        <f t="shared" si="7"/>
        <v>195.06217930756742</v>
      </c>
      <c r="F143" s="755">
        <f t="shared" si="8"/>
        <v>772.63679844369324</v>
      </c>
      <c r="G143" s="731"/>
    </row>
    <row r="144" spans="1:7">
      <c r="A144" s="731"/>
      <c r="B144" s="978">
        <v>40</v>
      </c>
      <c r="C144" s="760">
        <f t="shared" si="5"/>
        <v>14073.525952073582</v>
      </c>
      <c r="D144" s="760">
        <f t="shared" si="6"/>
        <v>585.26434615518815</v>
      </c>
      <c r="E144" s="755">
        <f t="shared" si="7"/>
        <v>187.37245228850509</v>
      </c>
      <c r="F144" s="755">
        <f t="shared" si="8"/>
        <v>772.63679844369324</v>
      </c>
      <c r="G144" s="731"/>
    </row>
    <row r="145" spans="1:7">
      <c r="A145" s="731"/>
      <c r="B145" s="978">
        <v>41</v>
      </c>
      <c r="C145" s="760">
        <f t="shared" si="5"/>
        <v>13488.261605918393</v>
      </c>
      <c r="D145" s="760">
        <f t="shared" si="6"/>
        <v>593.05645284896013</v>
      </c>
      <c r="E145" s="755">
        <f t="shared" si="7"/>
        <v>179.5803455947331</v>
      </c>
      <c r="F145" s="755">
        <f t="shared" si="8"/>
        <v>772.63679844369324</v>
      </c>
      <c r="G145" s="731"/>
    </row>
    <row r="146" spans="1:7">
      <c r="A146" s="731"/>
      <c r="B146" s="978">
        <v>42</v>
      </c>
      <c r="C146" s="760">
        <f t="shared" si="5"/>
        <v>12895.205153069433</v>
      </c>
      <c r="D146" s="760">
        <f t="shared" si="6"/>
        <v>600.95230228244623</v>
      </c>
      <c r="E146" s="755">
        <f t="shared" si="7"/>
        <v>171.68449616124704</v>
      </c>
      <c r="F146" s="755">
        <f t="shared" si="8"/>
        <v>772.63679844369324</v>
      </c>
      <c r="G146" s="731"/>
    </row>
    <row r="147" spans="1:7">
      <c r="A147" s="731"/>
      <c r="B147" s="978">
        <v>43</v>
      </c>
      <c r="C147" s="760">
        <f t="shared" si="5"/>
        <v>12294.252850786987</v>
      </c>
      <c r="D147" s="760">
        <f t="shared" si="6"/>
        <v>608.95327566825893</v>
      </c>
      <c r="E147" s="755">
        <f t="shared" si="7"/>
        <v>163.68352277543434</v>
      </c>
      <c r="F147" s="755">
        <f t="shared" si="8"/>
        <v>772.63679844369324</v>
      </c>
      <c r="G147" s="731"/>
    </row>
    <row r="148" spans="1:7">
      <c r="A148" s="731"/>
      <c r="B148" s="978">
        <v>44</v>
      </c>
      <c r="C148" s="760">
        <f t="shared" si="5"/>
        <v>11685.299575118728</v>
      </c>
      <c r="D148" s="760">
        <f t="shared" si="6"/>
        <v>617.06077260823281</v>
      </c>
      <c r="E148" s="755">
        <f t="shared" si="7"/>
        <v>155.57602583546046</v>
      </c>
      <c r="F148" s="755">
        <f t="shared" si="8"/>
        <v>772.63679844369324</v>
      </c>
      <c r="G148" s="731"/>
    </row>
    <row r="149" spans="1:7">
      <c r="A149" s="731"/>
      <c r="B149" s="978">
        <v>45</v>
      </c>
      <c r="C149" s="760">
        <f t="shared" si="5"/>
        <v>11068.238802510496</v>
      </c>
      <c r="D149" s="760">
        <f t="shared" si="6"/>
        <v>625.27621133825539</v>
      </c>
      <c r="E149" s="755">
        <f t="shared" si="7"/>
        <v>147.36058710543782</v>
      </c>
      <c r="F149" s="755">
        <f t="shared" si="8"/>
        <v>772.63679844369324</v>
      </c>
      <c r="G149" s="731"/>
    </row>
    <row r="150" spans="1:7">
      <c r="A150" s="731"/>
      <c r="B150" s="978">
        <v>46</v>
      </c>
      <c r="C150" s="760">
        <f t="shared" si="5"/>
        <v>10442.96259117224</v>
      </c>
      <c r="D150" s="760">
        <f t="shared" si="6"/>
        <v>633.60102897635784</v>
      </c>
      <c r="E150" s="755">
        <f t="shared" si="7"/>
        <v>139.03576946733537</v>
      </c>
      <c r="F150" s="755">
        <f t="shared" si="8"/>
        <v>772.63679844369324</v>
      </c>
      <c r="G150" s="731"/>
    </row>
    <row r="151" spans="1:7">
      <c r="A151" s="731"/>
      <c r="B151" s="978">
        <v>47</v>
      </c>
      <c r="C151" s="760">
        <f t="shared" si="5"/>
        <v>9809.3615621958816</v>
      </c>
      <c r="D151" s="760">
        <f t="shared" si="6"/>
        <v>642.03668177410816</v>
      </c>
      <c r="E151" s="755">
        <f t="shared" si="7"/>
        <v>130.60011666958511</v>
      </c>
      <c r="F151" s="755">
        <f t="shared" si="8"/>
        <v>772.63679844369324</v>
      </c>
      <c r="G151" s="731"/>
    </row>
    <row r="152" spans="1:7">
      <c r="A152" s="731"/>
      <c r="B152" s="978">
        <v>48</v>
      </c>
      <c r="C152" s="760">
        <f t="shared" si="5"/>
        <v>9167.3248804217728</v>
      </c>
      <c r="D152" s="760">
        <f t="shared" si="6"/>
        <v>650.58464537135183</v>
      </c>
      <c r="E152" s="755">
        <f t="shared" si="7"/>
        <v>122.05215307234143</v>
      </c>
      <c r="F152" s="755">
        <f t="shared" si="8"/>
        <v>772.63679844369324</v>
      </c>
      <c r="G152" s="731"/>
    </row>
    <row r="153" spans="1:7">
      <c r="A153" s="731"/>
      <c r="B153" s="978">
        <v>49</v>
      </c>
      <c r="C153" s="760">
        <f t="shared" si="5"/>
        <v>8516.7402350504217</v>
      </c>
      <c r="D153" s="760">
        <f t="shared" si="6"/>
        <v>659.2464150543442</v>
      </c>
      <c r="E153" s="755">
        <f t="shared" si="7"/>
        <v>113.39038338934904</v>
      </c>
      <c r="F153" s="755">
        <f t="shared" si="8"/>
        <v>772.63679844369324</v>
      </c>
      <c r="G153" s="731"/>
    </row>
    <row r="154" spans="1:7">
      <c r="A154" s="731"/>
      <c r="B154" s="978">
        <v>50</v>
      </c>
      <c r="C154" s="760">
        <f t="shared" si="5"/>
        <v>7857.4938199960779</v>
      </c>
      <c r="D154" s="760">
        <f t="shared" si="6"/>
        <v>668.02350601731916</v>
      </c>
      <c r="E154" s="755">
        <f t="shared" si="7"/>
        <v>104.61329242637412</v>
      </c>
      <c r="F154" s="755">
        <f t="shared" si="8"/>
        <v>772.63679844369324</v>
      </c>
      <c r="G154" s="731"/>
    </row>
    <row r="155" spans="1:7">
      <c r="A155" s="731"/>
      <c r="B155" s="978">
        <v>51</v>
      </c>
      <c r="C155" s="760">
        <f t="shared" si="5"/>
        <v>7189.4703139787589</v>
      </c>
      <c r="D155" s="760">
        <f t="shared" si="6"/>
        <v>676.91745362754023</v>
      </c>
      <c r="E155" s="755">
        <f t="shared" si="7"/>
        <v>95.719344816152969</v>
      </c>
      <c r="F155" s="755">
        <f t="shared" si="8"/>
        <v>772.63679844369324</v>
      </c>
      <c r="G155" s="731"/>
    </row>
    <row r="156" spans="1:7">
      <c r="A156" s="731"/>
      <c r="B156" s="978">
        <v>52</v>
      </c>
      <c r="C156" s="760">
        <f t="shared" si="5"/>
        <v>6512.5528603512184</v>
      </c>
      <c r="D156" s="760">
        <f t="shared" si="6"/>
        <v>685.92981369388133</v>
      </c>
      <c r="E156" s="755">
        <f t="shared" si="7"/>
        <v>86.706984749811909</v>
      </c>
      <c r="F156" s="755">
        <f t="shared" si="8"/>
        <v>772.63679844369324</v>
      </c>
      <c r="G156" s="731"/>
    </row>
    <row r="157" spans="1:7">
      <c r="A157" s="731"/>
      <c r="B157" s="978">
        <v>53</v>
      </c>
      <c r="C157" s="760">
        <f t="shared" si="5"/>
        <v>5826.623046657337</v>
      </c>
      <c r="D157" s="760">
        <f t="shared" si="6"/>
        <v>695.06216273898212</v>
      </c>
      <c r="E157" s="755">
        <f t="shared" si="7"/>
        <v>77.574635704711142</v>
      </c>
      <c r="F157" s="755">
        <f t="shared" si="8"/>
        <v>772.63679844369324</v>
      </c>
      <c r="G157" s="731"/>
    </row>
    <row r="158" spans="1:7">
      <c r="A158" s="731"/>
      <c r="B158" s="978">
        <v>54</v>
      </c>
      <c r="C158" s="760">
        <f t="shared" si="5"/>
        <v>5131.5608839183551</v>
      </c>
      <c r="D158" s="760">
        <f t="shared" si="6"/>
        <v>704.3160982750278</v>
      </c>
      <c r="E158" s="755">
        <f t="shared" si="7"/>
        <v>68.320700168665439</v>
      </c>
      <c r="F158" s="755">
        <f t="shared" si="8"/>
        <v>772.63679844369324</v>
      </c>
      <c r="G158" s="731"/>
    </row>
    <row r="159" spans="1:7">
      <c r="A159" s="731"/>
      <c r="B159" s="978">
        <v>55</v>
      </c>
      <c r="C159" s="760">
        <f t="shared" si="5"/>
        <v>4427.2447856433273</v>
      </c>
      <c r="D159" s="760">
        <f t="shared" si="6"/>
        <v>713.6932390832003</v>
      </c>
      <c r="E159" s="755">
        <f t="shared" si="7"/>
        <v>58.943559360492955</v>
      </c>
      <c r="F159" s="755">
        <f t="shared" si="8"/>
        <v>772.63679844369324</v>
      </c>
      <c r="G159" s="731"/>
    </row>
    <row r="160" spans="1:7">
      <c r="A160" s="731"/>
      <c r="B160" s="978">
        <v>56</v>
      </c>
      <c r="C160" s="760">
        <f t="shared" si="5"/>
        <v>3713.551546560127</v>
      </c>
      <c r="D160" s="760">
        <f t="shared" si="6"/>
        <v>723.19522549684973</v>
      </c>
      <c r="E160" s="755">
        <f t="shared" si="7"/>
        <v>49.441572946843543</v>
      </c>
      <c r="F160" s="755">
        <f t="shared" si="8"/>
        <v>772.63679844369324</v>
      </c>
      <c r="G160" s="731"/>
    </row>
    <row r="161" spans="1:8">
      <c r="A161" s="731"/>
      <c r="B161" s="978">
        <v>57</v>
      </c>
      <c r="C161" s="760">
        <f t="shared" si="5"/>
        <v>2990.3563210632774</v>
      </c>
      <c r="D161" s="760">
        <f t="shared" si="6"/>
        <v>732.8237196884362</v>
      </c>
      <c r="E161" s="755">
        <f t="shared" si="7"/>
        <v>39.813078755256988</v>
      </c>
      <c r="F161" s="755">
        <f t="shared" si="8"/>
        <v>772.63679844369324</v>
      </c>
      <c r="G161" s="731"/>
    </row>
    <row r="162" spans="1:8">
      <c r="A162" s="731"/>
      <c r="B162" s="978">
        <v>58</v>
      </c>
      <c r="C162" s="760">
        <f t="shared" si="5"/>
        <v>2257.5326013748413</v>
      </c>
      <c r="D162" s="760">
        <f t="shared" si="6"/>
        <v>742.5804059602923</v>
      </c>
      <c r="E162" s="755">
        <f t="shared" si="7"/>
        <v>30.056392483400924</v>
      </c>
      <c r="F162" s="755">
        <f t="shared" si="8"/>
        <v>772.63679844369324</v>
      </c>
      <c r="G162" s="731"/>
    </row>
    <row r="163" spans="1:8">
      <c r="A163" s="731"/>
      <c r="B163" s="978">
        <v>59</v>
      </c>
      <c r="C163" s="760">
        <f t="shared" si="5"/>
        <v>1514.9521954145489</v>
      </c>
      <c r="D163" s="760">
        <f t="shared" si="6"/>
        <v>752.46699103925562</v>
      </c>
      <c r="E163" s="755">
        <f t="shared" si="7"/>
        <v>20.169807404437613</v>
      </c>
      <c r="F163" s="755">
        <f t="shared" si="8"/>
        <v>772.63679844369324</v>
      </c>
      <c r="G163" s="731"/>
    </row>
    <row r="164" spans="1:8" ht="26.25">
      <c r="A164" s="761"/>
      <c r="B164" s="972">
        <v>60</v>
      </c>
      <c r="C164" s="762">
        <f t="shared" si="5"/>
        <v>762.48520437529328</v>
      </c>
      <c r="D164" s="762">
        <f t="shared" si="6"/>
        <v>762.48520437522518</v>
      </c>
      <c r="E164" s="763">
        <f t="shared" si="7"/>
        <v>10.151594068468004</v>
      </c>
      <c r="F164" s="763">
        <f t="shared" si="8"/>
        <v>772.63679844369324</v>
      </c>
      <c r="G164" s="761"/>
    </row>
    <row r="165" spans="1:8">
      <c r="A165" s="761"/>
      <c r="B165" s="979"/>
      <c r="C165" s="764"/>
      <c r="D165" s="764"/>
      <c r="E165" s="764"/>
      <c r="F165" s="764"/>
      <c r="G165" s="761"/>
    </row>
    <row r="166" spans="1:8">
      <c r="A166" s="765"/>
      <c r="B166" s="766"/>
      <c r="C166" s="767"/>
      <c r="D166" s="767"/>
      <c r="E166" s="767"/>
      <c r="F166" s="767"/>
      <c r="G166" s="765"/>
      <c r="H166" s="768"/>
    </row>
    <row r="167" spans="1:8">
      <c r="A167" s="731"/>
      <c r="B167" s="731"/>
      <c r="C167" s="731"/>
      <c r="D167" s="731"/>
      <c r="E167" s="731"/>
      <c r="F167" s="731"/>
      <c r="G167" s="769"/>
    </row>
    <row r="168" spans="1:8" ht="30" customHeight="1">
      <c r="A168" s="731"/>
      <c r="B168" s="1281" t="s">
        <v>796</v>
      </c>
      <c r="C168" s="1282"/>
      <c r="D168" s="1282"/>
      <c r="E168" s="1282"/>
      <c r="F168" s="1282"/>
      <c r="G168" s="769"/>
    </row>
    <row r="170" spans="1:8">
      <c r="A170" s="761"/>
      <c r="B170" s="728"/>
      <c r="C170" s="728"/>
      <c r="D170" s="728"/>
      <c r="E170" s="728"/>
      <c r="F170" s="761"/>
      <c r="G170" s="769"/>
    </row>
    <row r="172" spans="1:8" ht="51" customHeight="1" thickBot="1">
      <c r="A172" s="739"/>
      <c r="B172" s="1283" t="s">
        <v>372</v>
      </c>
      <c r="C172" s="1284"/>
      <c r="D172" s="1284"/>
      <c r="E172" s="1284"/>
      <c r="F172" s="1284"/>
      <c r="G172" s="1285"/>
    </row>
    <row r="173" spans="1:8" ht="58.5" customHeight="1" thickBot="1">
      <c r="A173" s="770"/>
      <c r="B173" s="1260" t="s">
        <v>373</v>
      </c>
      <c r="C173" s="1261"/>
      <c r="D173" s="1261"/>
      <c r="E173" s="1261"/>
      <c r="F173" s="1261"/>
      <c r="G173" s="1262"/>
    </row>
    <row r="174" spans="1:8" ht="58.5" customHeight="1">
      <c r="A174" s="771">
        <v>1</v>
      </c>
      <c r="B174" s="1286" t="s">
        <v>374</v>
      </c>
      <c r="C174" s="1286"/>
      <c r="D174" s="1286"/>
      <c r="E174" s="1286"/>
      <c r="F174" s="1286"/>
      <c r="G174" s="772"/>
    </row>
    <row r="175" spans="1:8" ht="58.5" customHeight="1">
      <c r="A175" s="771">
        <v>2</v>
      </c>
      <c r="B175" s="1277" t="s">
        <v>375</v>
      </c>
      <c r="C175" s="1277"/>
      <c r="D175" s="1277"/>
      <c r="E175" s="1277"/>
      <c r="F175" s="1277"/>
      <c r="G175" s="772"/>
    </row>
    <row r="176" spans="1:8" ht="47.25" customHeight="1">
      <c r="A176" s="771">
        <v>3</v>
      </c>
      <c r="B176" s="1277" t="s">
        <v>376</v>
      </c>
      <c r="C176" s="1277"/>
      <c r="D176" s="1277"/>
      <c r="E176" s="1277"/>
      <c r="F176" s="1277"/>
      <c r="G176" s="772"/>
    </row>
    <row r="177" spans="1:12" ht="48.75" customHeight="1">
      <c r="A177" s="771">
        <v>4</v>
      </c>
      <c r="B177" s="1277" t="s">
        <v>377</v>
      </c>
      <c r="C177" s="1277"/>
      <c r="D177" s="1277"/>
      <c r="E177" s="1277"/>
      <c r="F177" s="1277"/>
      <c r="G177" s="772"/>
      <c r="L177" s="635">
        <f>159000/3</f>
        <v>53000</v>
      </c>
    </row>
    <row r="178" spans="1:12">
      <c r="A178" s="739"/>
      <c r="B178" s="739"/>
      <c r="C178" s="739"/>
      <c r="D178" s="739"/>
      <c r="E178" s="739"/>
      <c r="F178" s="770"/>
      <c r="G178" s="772"/>
      <c r="L178" s="635">
        <f>L177/12</f>
        <v>4416.666666666667</v>
      </c>
    </row>
    <row r="180" spans="1:12" ht="42.75" customHeight="1">
      <c r="A180" s="773">
        <v>1</v>
      </c>
      <c r="B180" s="1278" t="s">
        <v>378</v>
      </c>
      <c r="C180" s="1279"/>
      <c r="D180" s="1279"/>
      <c r="E180" s="1279"/>
      <c r="F180" s="1279"/>
      <c r="G180" s="1279"/>
    </row>
    <row r="182" spans="1:12" ht="74.25" customHeight="1">
      <c r="B182" s="1165" t="s">
        <v>797</v>
      </c>
      <c r="C182" s="1165"/>
      <c r="D182" s="1165"/>
      <c r="E182" s="1165"/>
      <c r="F182" s="774"/>
      <c r="G182" s="234">
        <v>645</v>
      </c>
      <c r="H182" s="957" t="s">
        <v>379</v>
      </c>
    </row>
    <row r="183" spans="1:12" ht="50.25" customHeight="1">
      <c r="B183" s="1165" t="s">
        <v>798</v>
      </c>
      <c r="C183" s="1165"/>
      <c r="D183" s="1165"/>
      <c r="E183" s="1165"/>
      <c r="F183" s="774"/>
      <c r="G183" s="234">
        <v>77</v>
      </c>
      <c r="H183" s="957" t="s">
        <v>380</v>
      </c>
    </row>
    <row r="184" spans="1:12" ht="30" customHeight="1">
      <c r="B184" s="1280"/>
      <c r="C184" s="1280"/>
      <c r="D184" s="1280"/>
      <c r="E184" s="1280"/>
      <c r="F184" s="634"/>
      <c r="G184" s="775"/>
      <c r="H184" s="634"/>
    </row>
    <row r="185" spans="1:12" ht="85.5" customHeight="1">
      <c r="A185" s="193"/>
      <c r="B185" s="213" t="s">
        <v>144</v>
      </c>
      <c r="C185" s="943" t="s">
        <v>145</v>
      </c>
      <c r="D185" s="943" t="s">
        <v>146</v>
      </c>
      <c r="E185" s="943" t="s">
        <v>147</v>
      </c>
      <c r="F185" s="943" t="s">
        <v>148</v>
      </c>
      <c r="G185" s="775"/>
      <c r="H185" s="634"/>
      <c r="I185" s="634"/>
    </row>
    <row r="186" spans="1:12" ht="48.75" customHeight="1">
      <c r="A186" s="955" t="s">
        <v>381</v>
      </c>
      <c r="B186" s="238">
        <v>645</v>
      </c>
      <c r="C186" s="239">
        <v>0.96</v>
      </c>
      <c r="D186" s="240">
        <v>56</v>
      </c>
      <c r="E186" s="241">
        <v>12</v>
      </c>
      <c r="F186" s="240">
        <f>D186*E186</f>
        <v>672</v>
      </c>
      <c r="G186" s="775"/>
      <c r="H186" s="634"/>
      <c r="I186" s="634"/>
    </row>
    <row r="187" spans="1:12" ht="30" customHeight="1">
      <c r="A187" s="955" t="s">
        <v>382</v>
      </c>
      <c r="B187" s="238">
        <v>77</v>
      </c>
      <c r="C187" s="239">
        <v>0.43</v>
      </c>
      <c r="D187" s="240">
        <v>15</v>
      </c>
      <c r="E187" s="241">
        <v>12</v>
      </c>
      <c r="F187" s="240">
        <f>+D187*E187</f>
        <v>180</v>
      </c>
      <c r="G187" s="775"/>
      <c r="H187" s="634"/>
      <c r="I187" s="634"/>
    </row>
    <row r="189" spans="1:12">
      <c r="A189" s="192"/>
      <c r="B189" s="243"/>
      <c r="C189" s="243" t="s">
        <v>383</v>
      </c>
      <c r="D189" s="956" t="s">
        <v>384</v>
      </c>
      <c r="E189" s="956" t="s">
        <v>385</v>
      </c>
      <c r="F189" s="1120" t="s">
        <v>386</v>
      </c>
      <c r="G189" s="1120"/>
      <c r="H189" s="192"/>
      <c r="I189" s="192"/>
    </row>
    <row r="190" spans="1:12" ht="23.25">
      <c r="A190" s="245">
        <v>0.33800000000000002</v>
      </c>
      <c r="B190" s="243" t="s">
        <v>391</v>
      </c>
      <c r="C190" s="246">
        <v>23.998000000000001</v>
      </c>
      <c r="D190" s="956" t="s">
        <v>388</v>
      </c>
      <c r="E190" s="956" t="s">
        <v>389</v>
      </c>
      <c r="F190" s="247">
        <v>2048.5</v>
      </c>
      <c r="G190" s="248">
        <v>2048.5</v>
      </c>
      <c r="H190" s="1238" t="s">
        <v>390</v>
      </c>
      <c r="I190" s="1238"/>
    </row>
    <row r="191" spans="1:12" ht="23.25">
      <c r="A191" s="245">
        <v>0.45069999999999999</v>
      </c>
      <c r="B191" s="243" t="s">
        <v>387</v>
      </c>
      <c r="C191" s="246">
        <v>31.999700000000001</v>
      </c>
      <c r="D191" s="956" t="s">
        <v>388</v>
      </c>
      <c r="E191" s="956" t="s">
        <v>389</v>
      </c>
      <c r="F191" s="249">
        <v>1311</v>
      </c>
      <c r="G191" s="250">
        <v>1311</v>
      </c>
      <c r="H191" s="939">
        <v>5</v>
      </c>
      <c r="I191" s="252">
        <v>3.84</v>
      </c>
    </row>
    <row r="192" spans="1:12" ht="23.25">
      <c r="A192" s="245">
        <v>0.21129999999999999</v>
      </c>
      <c r="B192" s="243" t="s">
        <v>392</v>
      </c>
      <c r="C192" s="246">
        <v>15.0023</v>
      </c>
      <c r="D192" s="956" t="s">
        <v>388</v>
      </c>
      <c r="E192" s="956" t="s">
        <v>389</v>
      </c>
      <c r="F192" s="253">
        <v>783.33333333333337</v>
      </c>
      <c r="G192" s="250">
        <v>783.33333333333337</v>
      </c>
      <c r="H192" s="939"/>
      <c r="I192" s="252"/>
    </row>
    <row r="193" spans="1:16" ht="28.5">
      <c r="A193" s="192"/>
      <c r="B193" s="939" t="s">
        <v>393</v>
      </c>
      <c r="C193" s="254">
        <f>SUM(C190:C192)</f>
        <v>71</v>
      </c>
      <c r="D193" s="255"/>
      <c r="E193" s="192"/>
      <c r="F193" s="256"/>
      <c r="G193" s="257"/>
      <c r="H193" s="939" t="s">
        <v>394</v>
      </c>
      <c r="I193" s="939" t="s">
        <v>395</v>
      </c>
    </row>
    <row r="194" spans="1:16" ht="57">
      <c r="B194" s="778" t="s">
        <v>396</v>
      </c>
    </row>
    <row r="195" spans="1:16" ht="31.5" customHeight="1">
      <c r="B195" s="1287" t="s">
        <v>397</v>
      </c>
      <c r="C195" s="1287"/>
      <c r="D195" s="1287"/>
      <c r="E195" s="1287"/>
      <c r="F195" s="1287"/>
      <c r="G195" s="772"/>
    </row>
    <row r="197" spans="1:16">
      <c r="C197" s="761"/>
    </row>
    <row r="198" spans="1:16" s="192" customFormat="1" ht="42" customHeight="1">
      <c r="A198" s="939" t="s">
        <v>398</v>
      </c>
      <c r="B198" s="1112" t="s">
        <v>399</v>
      </c>
      <c r="C198" s="1103"/>
      <c r="D198" s="943" t="s">
        <v>400</v>
      </c>
      <c r="E198" s="943" t="s">
        <v>401</v>
      </c>
      <c r="F198" s="943" t="s">
        <v>402</v>
      </c>
      <c r="G198" s="943" t="s">
        <v>403</v>
      </c>
      <c r="H198" s="943" t="s">
        <v>404</v>
      </c>
      <c r="I198" s="943" t="s">
        <v>405</v>
      </c>
      <c r="J198" s="943" t="s">
        <v>406</v>
      </c>
      <c r="K198" s="943" t="s">
        <v>407</v>
      </c>
      <c r="L198" s="943" t="s">
        <v>408</v>
      </c>
      <c r="M198" s="943" t="s">
        <v>409</v>
      </c>
      <c r="N198" s="943" t="s">
        <v>410</v>
      </c>
      <c r="O198" s="943" t="s">
        <v>411</v>
      </c>
      <c r="P198" s="943" t="s">
        <v>183</v>
      </c>
    </row>
    <row r="199" spans="1:16" s="192" customFormat="1" ht="23.25">
      <c r="A199" s="258">
        <f>F378</f>
        <v>17</v>
      </c>
      <c r="B199" s="945" t="str">
        <f>B190</f>
        <v>S. ONCOLÓGICO</v>
      </c>
      <c r="C199" s="946" t="s">
        <v>412</v>
      </c>
      <c r="D199" s="205">
        <f>C190</f>
        <v>23.998000000000001</v>
      </c>
      <c r="E199" s="205">
        <f>D199</f>
        <v>23.998000000000001</v>
      </c>
      <c r="F199" s="205">
        <f t="shared" ref="F199:O201" si="9">E199</f>
        <v>23.998000000000001</v>
      </c>
      <c r="G199" s="205">
        <f t="shared" si="9"/>
        <v>23.998000000000001</v>
      </c>
      <c r="H199" s="205">
        <f t="shared" si="9"/>
        <v>23.998000000000001</v>
      </c>
      <c r="I199" s="205">
        <f t="shared" si="9"/>
        <v>23.998000000000001</v>
      </c>
      <c r="J199" s="205">
        <f t="shared" si="9"/>
        <v>23.998000000000001</v>
      </c>
      <c r="K199" s="205">
        <f t="shared" si="9"/>
        <v>23.998000000000001</v>
      </c>
      <c r="L199" s="205">
        <f t="shared" si="9"/>
        <v>23.998000000000001</v>
      </c>
      <c r="M199" s="205">
        <f t="shared" si="9"/>
        <v>23.998000000000001</v>
      </c>
      <c r="N199" s="205">
        <f t="shared" si="9"/>
        <v>23.998000000000001</v>
      </c>
      <c r="O199" s="205">
        <f t="shared" si="9"/>
        <v>23.998000000000001</v>
      </c>
      <c r="P199" s="917">
        <f>SUM(D199:O199)</f>
        <v>287.97599999999994</v>
      </c>
    </row>
    <row r="200" spans="1:16" s="192" customFormat="1" ht="23.25">
      <c r="A200" s="258">
        <f>F380</f>
        <v>22</v>
      </c>
      <c r="B200" s="945" t="str">
        <f>B191</f>
        <v>S. ENDOCRINO</v>
      </c>
      <c r="C200" s="946" t="s">
        <v>412</v>
      </c>
      <c r="D200" s="205">
        <f>C191</f>
        <v>31.999700000000001</v>
      </c>
      <c r="E200" s="205">
        <f>D200</f>
        <v>31.999700000000001</v>
      </c>
      <c r="F200" s="205">
        <f t="shared" si="9"/>
        <v>31.999700000000001</v>
      </c>
      <c r="G200" s="205">
        <f t="shared" si="9"/>
        <v>31.999700000000001</v>
      </c>
      <c r="H200" s="205">
        <f t="shared" si="9"/>
        <v>31.999700000000001</v>
      </c>
      <c r="I200" s="205">
        <f t="shared" si="9"/>
        <v>31.999700000000001</v>
      </c>
      <c r="J200" s="205">
        <f t="shared" si="9"/>
        <v>31.999700000000001</v>
      </c>
      <c r="K200" s="205">
        <f t="shared" si="9"/>
        <v>31.999700000000001</v>
      </c>
      <c r="L200" s="205">
        <f t="shared" si="9"/>
        <v>31.999700000000001</v>
      </c>
      <c r="M200" s="205">
        <f t="shared" si="9"/>
        <v>31.999700000000001</v>
      </c>
      <c r="N200" s="205">
        <f t="shared" si="9"/>
        <v>31.999700000000001</v>
      </c>
      <c r="O200" s="205">
        <f t="shared" si="9"/>
        <v>31.999700000000001</v>
      </c>
      <c r="P200" s="917">
        <f>SUM(D200:O200)</f>
        <v>383.99640000000005</v>
      </c>
    </row>
    <row r="201" spans="1:16" s="192" customFormat="1" ht="23.25">
      <c r="A201" s="960">
        <f>F382</f>
        <v>10</v>
      </c>
      <c r="B201" s="946" t="str">
        <f>B192</f>
        <v>S. IMPORTACIÓN</v>
      </c>
      <c r="C201" s="946" t="s">
        <v>412</v>
      </c>
      <c r="D201" s="205">
        <f>C192</f>
        <v>15.0023</v>
      </c>
      <c r="E201" s="205">
        <f>D201</f>
        <v>15.0023</v>
      </c>
      <c r="F201" s="205">
        <f t="shared" si="9"/>
        <v>15.0023</v>
      </c>
      <c r="G201" s="205">
        <f t="shared" si="9"/>
        <v>15.0023</v>
      </c>
      <c r="H201" s="205">
        <f>G201</f>
        <v>15.0023</v>
      </c>
      <c r="I201" s="205">
        <f t="shared" si="9"/>
        <v>15.0023</v>
      </c>
      <c r="J201" s="205">
        <f>I201</f>
        <v>15.0023</v>
      </c>
      <c r="K201" s="205">
        <f t="shared" si="9"/>
        <v>15.0023</v>
      </c>
      <c r="L201" s="205">
        <f t="shared" si="9"/>
        <v>15.0023</v>
      </c>
      <c r="M201" s="205">
        <f>L201</f>
        <v>15.0023</v>
      </c>
      <c r="N201" s="205">
        <f>M201</f>
        <v>15.0023</v>
      </c>
      <c r="O201" s="205">
        <f t="shared" si="9"/>
        <v>15.0023</v>
      </c>
      <c r="P201" s="917">
        <f>SUM(D201:O201)</f>
        <v>180.02759999999998</v>
      </c>
    </row>
    <row r="202" spans="1:16" s="192" customFormat="1" ht="23.25">
      <c r="B202" s="196"/>
      <c r="C202" s="197"/>
      <c r="D202" s="946"/>
      <c r="E202" s="946"/>
      <c r="F202" s="946"/>
      <c r="G202" s="946"/>
      <c r="H202" s="946"/>
      <c r="I202" s="946"/>
      <c r="J202" s="946"/>
      <c r="K202" s="946"/>
      <c r="L202" s="946"/>
      <c r="M202" s="946"/>
      <c r="N202" s="946"/>
      <c r="O202" s="946"/>
      <c r="P202" s="946"/>
    </row>
    <row r="203" spans="1:16" s="192" customFormat="1" ht="42" customHeight="1">
      <c r="B203" s="1113" t="s">
        <v>414</v>
      </c>
      <c r="C203" s="1113"/>
      <c r="D203" s="261">
        <f>F190</f>
        <v>2048.5</v>
      </c>
      <c r="E203" s="261">
        <f>D203</f>
        <v>2048.5</v>
      </c>
      <c r="F203" s="261">
        <f t="shared" ref="F203:P205" si="10">E203</f>
        <v>2048.5</v>
      </c>
      <c r="G203" s="261">
        <f t="shared" si="10"/>
        <v>2048.5</v>
      </c>
      <c r="H203" s="261">
        <f t="shared" si="10"/>
        <v>2048.5</v>
      </c>
      <c r="I203" s="261">
        <f t="shared" si="10"/>
        <v>2048.5</v>
      </c>
      <c r="J203" s="261">
        <f t="shared" si="10"/>
        <v>2048.5</v>
      </c>
      <c r="K203" s="261">
        <f t="shared" si="10"/>
        <v>2048.5</v>
      </c>
      <c r="L203" s="261">
        <f t="shared" si="10"/>
        <v>2048.5</v>
      </c>
      <c r="M203" s="261">
        <f t="shared" si="10"/>
        <v>2048.5</v>
      </c>
      <c r="N203" s="261">
        <f>M203</f>
        <v>2048.5</v>
      </c>
      <c r="O203" s="261">
        <f>N203</f>
        <v>2048.5</v>
      </c>
      <c r="P203" s="261">
        <f>O203</f>
        <v>2048.5</v>
      </c>
    </row>
    <row r="204" spans="1:16" s="192" customFormat="1" ht="44.25" customHeight="1">
      <c r="B204" s="1225" t="s">
        <v>413</v>
      </c>
      <c r="C204" s="1225"/>
      <c r="D204" s="261">
        <f>F191</f>
        <v>1311</v>
      </c>
      <c r="E204" s="261">
        <f>D204</f>
        <v>1311</v>
      </c>
      <c r="F204" s="261">
        <f t="shared" si="10"/>
        <v>1311</v>
      </c>
      <c r="G204" s="261">
        <f t="shared" si="10"/>
        <v>1311</v>
      </c>
      <c r="H204" s="261">
        <f t="shared" si="10"/>
        <v>1311</v>
      </c>
      <c r="I204" s="261">
        <f t="shared" si="10"/>
        <v>1311</v>
      </c>
      <c r="J204" s="261">
        <f t="shared" si="10"/>
        <v>1311</v>
      </c>
      <c r="K204" s="261">
        <f t="shared" si="10"/>
        <v>1311</v>
      </c>
      <c r="L204" s="261">
        <f t="shared" si="10"/>
        <v>1311</v>
      </c>
      <c r="M204" s="261">
        <f t="shared" si="10"/>
        <v>1311</v>
      </c>
      <c r="N204" s="261">
        <f t="shared" si="10"/>
        <v>1311</v>
      </c>
      <c r="O204" s="261">
        <f t="shared" si="10"/>
        <v>1311</v>
      </c>
      <c r="P204" s="261">
        <f t="shared" si="10"/>
        <v>1311</v>
      </c>
    </row>
    <row r="205" spans="1:16" s="192" customFormat="1" ht="44.25" customHeight="1">
      <c r="B205" s="1225" t="s">
        <v>415</v>
      </c>
      <c r="C205" s="1225"/>
      <c r="D205" s="261">
        <f>F192</f>
        <v>783.33333333333337</v>
      </c>
      <c r="E205" s="261">
        <f>D205</f>
        <v>783.33333333333337</v>
      </c>
      <c r="F205" s="261">
        <f t="shared" si="10"/>
        <v>783.33333333333337</v>
      </c>
      <c r="G205" s="261">
        <f t="shared" si="10"/>
        <v>783.33333333333337</v>
      </c>
      <c r="H205" s="261">
        <f t="shared" si="10"/>
        <v>783.33333333333337</v>
      </c>
      <c r="I205" s="261">
        <f t="shared" si="10"/>
        <v>783.33333333333337</v>
      </c>
      <c r="J205" s="261">
        <f t="shared" si="10"/>
        <v>783.33333333333337</v>
      </c>
      <c r="K205" s="261">
        <f t="shared" si="10"/>
        <v>783.33333333333337</v>
      </c>
      <c r="L205" s="261">
        <f>K205</f>
        <v>783.33333333333337</v>
      </c>
      <c r="M205" s="261">
        <f t="shared" si="10"/>
        <v>783.33333333333337</v>
      </c>
      <c r="N205" s="261">
        <f t="shared" si="10"/>
        <v>783.33333333333337</v>
      </c>
      <c r="O205" s="261">
        <f t="shared" si="10"/>
        <v>783.33333333333337</v>
      </c>
      <c r="P205" s="261">
        <f t="shared" si="10"/>
        <v>783.33333333333337</v>
      </c>
    </row>
    <row r="206" spans="1:16" s="192" customFormat="1" ht="23.25">
      <c r="B206" s="197"/>
      <c r="C206" s="197"/>
      <c r="D206" s="946"/>
      <c r="E206" s="946"/>
      <c r="F206" s="946"/>
      <c r="G206" s="946"/>
      <c r="H206" s="946"/>
      <c r="I206" s="946"/>
      <c r="J206" s="946"/>
      <c r="K206" s="946"/>
      <c r="L206" s="946"/>
      <c r="M206" s="946"/>
      <c r="N206" s="946"/>
      <c r="O206" s="946"/>
      <c r="P206" s="946"/>
    </row>
    <row r="207" spans="1:16" s="192" customFormat="1" ht="42" customHeight="1">
      <c r="B207" s="1102" t="s">
        <v>416</v>
      </c>
      <c r="C207" s="1103"/>
      <c r="D207" s="946" t="s">
        <v>248</v>
      </c>
      <c r="E207" s="946"/>
      <c r="F207" s="946"/>
      <c r="G207" s="946"/>
      <c r="H207" s="946"/>
      <c r="I207" s="946"/>
      <c r="J207" s="946"/>
      <c r="K207" s="946"/>
      <c r="L207" s="946"/>
      <c r="M207" s="946"/>
      <c r="N207" s="946"/>
      <c r="O207" s="946"/>
      <c r="P207" s="946"/>
    </row>
    <row r="208" spans="1:16" s="192" customFormat="1" ht="23.25">
      <c r="B208" s="1226" t="str">
        <f>+B199</f>
        <v>S. ONCOLÓGICO</v>
      </c>
      <c r="C208" s="1227"/>
      <c r="D208" s="246">
        <f>D199*D203</f>
        <v>49159.903000000006</v>
      </c>
      <c r="E208" s="246">
        <f t="shared" ref="D208:O209" si="11">E199*E203</f>
        <v>49159.903000000006</v>
      </c>
      <c r="F208" s="246">
        <f t="shared" si="11"/>
        <v>49159.903000000006</v>
      </c>
      <c r="G208" s="246">
        <f t="shared" si="11"/>
        <v>49159.903000000006</v>
      </c>
      <c r="H208" s="246">
        <f t="shared" si="11"/>
        <v>49159.903000000006</v>
      </c>
      <c r="I208" s="246">
        <f t="shared" si="11"/>
        <v>49159.903000000006</v>
      </c>
      <c r="J208" s="246">
        <f t="shared" si="11"/>
        <v>49159.903000000006</v>
      </c>
      <c r="K208" s="246">
        <f t="shared" si="11"/>
        <v>49159.903000000006</v>
      </c>
      <c r="L208" s="246">
        <f t="shared" si="11"/>
        <v>49159.903000000006</v>
      </c>
      <c r="M208" s="246">
        <f t="shared" si="11"/>
        <v>49159.903000000006</v>
      </c>
      <c r="N208" s="246">
        <f t="shared" si="11"/>
        <v>49159.903000000006</v>
      </c>
      <c r="O208" s="246">
        <f t="shared" si="11"/>
        <v>49159.903000000006</v>
      </c>
      <c r="P208" s="262">
        <f>SUM(D208:O208)</f>
        <v>589918.83600000001</v>
      </c>
    </row>
    <row r="209" spans="2:17" s="192" customFormat="1" ht="23.25">
      <c r="B209" s="1226" t="str">
        <f>+B200</f>
        <v>S. ENDOCRINO</v>
      </c>
      <c r="C209" s="1227"/>
      <c r="D209" s="246">
        <f t="shared" si="11"/>
        <v>41951.606700000004</v>
      </c>
      <c r="E209" s="246">
        <f t="shared" si="11"/>
        <v>41951.606700000004</v>
      </c>
      <c r="F209" s="246">
        <f t="shared" si="11"/>
        <v>41951.606700000004</v>
      </c>
      <c r="G209" s="246">
        <f t="shared" si="11"/>
        <v>41951.606700000004</v>
      </c>
      <c r="H209" s="246">
        <f t="shared" si="11"/>
        <v>41951.606700000004</v>
      </c>
      <c r="I209" s="246">
        <f t="shared" si="11"/>
        <v>41951.606700000004</v>
      </c>
      <c r="J209" s="246">
        <f t="shared" si="11"/>
        <v>41951.606700000004</v>
      </c>
      <c r="K209" s="246">
        <f t="shared" si="11"/>
        <v>41951.606700000004</v>
      </c>
      <c r="L209" s="246">
        <f t="shared" si="11"/>
        <v>41951.606700000004</v>
      </c>
      <c r="M209" s="246">
        <f t="shared" si="11"/>
        <v>41951.606700000004</v>
      </c>
      <c r="N209" s="246">
        <f t="shared" si="11"/>
        <v>41951.606700000004</v>
      </c>
      <c r="O209" s="246">
        <f t="shared" si="11"/>
        <v>41951.606700000004</v>
      </c>
      <c r="P209" s="262">
        <f t="shared" ref="P209:P210" si="12">SUM(D209:O209)</f>
        <v>503419.28040000005</v>
      </c>
    </row>
    <row r="210" spans="2:17" s="192" customFormat="1" ht="23.25">
      <c r="B210" s="1228" t="str">
        <f>+B201</f>
        <v>S. IMPORTACIÓN</v>
      </c>
      <c r="C210" s="1228"/>
      <c r="D210" s="246">
        <f>+D201*D205</f>
        <v>11751.801666666668</v>
      </c>
      <c r="E210" s="246">
        <f t="shared" ref="E210:O210" si="13">+E201*E205</f>
        <v>11751.801666666668</v>
      </c>
      <c r="F210" s="246">
        <f t="shared" si="13"/>
        <v>11751.801666666668</v>
      </c>
      <c r="G210" s="246">
        <f t="shared" si="13"/>
        <v>11751.801666666668</v>
      </c>
      <c r="H210" s="246">
        <f t="shared" si="13"/>
        <v>11751.801666666668</v>
      </c>
      <c r="I210" s="246">
        <f t="shared" si="13"/>
        <v>11751.801666666668</v>
      </c>
      <c r="J210" s="246">
        <f t="shared" si="13"/>
        <v>11751.801666666668</v>
      </c>
      <c r="K210" s="246">
        <f t="shared" si="13"/>
        <v>11751.801666666668</v>
      </c>
      <c r="L210" s="246">
        <f t="shared" si="13"/>
        <v>11751.801666666668</v>
      </c>
      <c r="M210" s="246">
        <f t="shared" si="13"/>
        <v>11751.801666666668</v>
      </c>
      <c r="N210" s="246">
        <f t="shared" si="13"/>
        <v>11751.801666666668</v>
      </c>
      <c r="O210" s="246">
        <f t="shared" si="13"/>
        <v>11751.801666666668</v>
      </c>
      <c r="P210" s="262">
        <f t="shared" si="12"/>
        <v>141021.62000000002</v>
      </c>
    </row>
    <row r="211" spans="2:17" s="192" customFormat="1" ht="23.25">
      <c r="B211" s="215"/>
      <c r="C211" s="215"/>
      <c r="D211" s="264"/>
      <c r="E211" s="264"/>
      <c r="F211" s="264"/>
      <c r="G211" s="264"/>
      <c r="H211" s="264"/>
      <c r="I211" s="264"/>
      <c r="J211" s="264"/>
      <c r="K211" s="264"/>
      <c r="L211" s="264"/>
      <c r="M211" s="264"/>
      <c r="N211" s="264"/>
      <c r="O211" s="264"/>
      <c r="P211" s="265">
        <f>SUM(P208:P210)</f>
        <v>1234359.7364000003</v>
      </c>
      <c r="Q211" s="264"/>
    </row>
    <row r="212" spans="2:17" s="192" customFormat="1" ht="93">
      <c r="C212" s="1102" t="s">
        <v>399</v>
      </c>
      <c r="D212" s="1103"/>
      <c r="E212" s="943" t="s">
        <v>417</v>
      </c>
      <c r="F212" s="943" t="s">
        <v>418</v>
      </c>
      <c r="G212" s="1230" t="s">
        <v>419</v>
      </c>
      <c r="K212" s="264"/>
      <c r="L212" s="264"/>
      <c r="M212" s="264"/>
      <c r="N212" s="264"/>
      <c r="O212" s="264"/>
      <c r="P212" s="264"/>
      <c r="Q212" s="264"/>
    </row>
    <row r="213" spans="2:17" s="192" customFormat="1" ht="23.25">
      <c r="C213" s="203" t="str">
        <f>+B208</f>
        <v>S. ONCOLÓGICO</v>
      </c>
      <c r="D213" s="946" t="s">
        <v>420</v>
      </c>
      <c r="E213" s="262">
        <f>D199</f>
        <v>23.998000000000001</v>
      </c>
      <c r="F213" s="301">
        <f>P199</f>
        <v>287.97599999999994</v>
      </c>
      <c r="G213" s="1230"/>
      <c r="K213" s="264"/>
      <c r="L213" s="264"/>
      <c r="M213" s="264"/>
      <c r="N213" s="264"/>
      <c r="O213" s="264"/>
      <c r="P213" s="264"/>
      <c r="Q213" s="264"/>
    </row>
    <row r="214" spans="2:17" s="192" customFormat="1" ht="23.25">
      <c r="C214" s="203" t="str">
        <f>+B209</f>
        <v>S. ENDOCRINO</v>
      </c>
      <c r="D214" s="946" t="s">
        <v>420</v>
      </c>
      <c r="E214" s="262">
        <f>D200</f>
        <v>31.999700000000001</v>
      </c>
      <c r="F214" s="301">
        <f>P200</f>
        <v>383.99640000000005</v>
      </c>
      <c r="G214" s="1230"/>
      <c r="K214" s="264"/>
      <c r="L214" s="264"/>
      <c r="M214" s="264"/>
      <c r="N214" s="264"/>
      <c r="O214" s="264"/>
      <c r="P214" s="264"/>
      <c r="Q214" s="264"/>
    </row>
    <row r="215" spans="2:17" s="192" customFormat="1" ht="23.25">
      <c r="C215" s="266" t="str">
        <f>+B210</f>
        <v>S. IMPORTACIÓN</v>
      </c>
      <c r="D215" s="946" t="s">
        <v>420</v>
      </c>
      <c r="E215" s="262">
        <f>+D201</f>
        <v>15.0023</v>
      </c>
      <c r="F215" s="301">
        <f>P201</f>
        <v>180.02759999999998</v>
      </c>
      <c r="G215" s="1230"/>
      <c r="K215" s="264"/>
      <c r="L215" s="264"/>
      <c r="M215" s="264"/>
      <c r="N215" s="264"/>
      <c r="O215" s="264"/>
      <c r="P215" s="264"/>
      <c r="Q215" s="264"/>
    </row>
    <row r="216" spans="2:17" s="192" customFormat="1" ht="23.25">
      <c r="C216" s="267"/>
      <c r="D216" s="196"/>
      <c r="E216" s="268"/>
      <c r="F216" s="262"/>
      <c r="G216" s="1230"/>
      <c r="K216" s="264"/>
      <c r="L216" s="264"/>
      <c r="M216" s="264"/>
      <c r="N216" s="264"/>
      <c r="O216" s="264"/>
      <c r="P216" s="264"/>
      <c r="Q216" s="264"/>
    </row>
    <row r="217" spans="2:17" s="192" customFormat="1" ht="23.25">
      <c r="C217" s="1102" t="s">
        <v>416</v>
      </c>
      <c r="D217" s="1103"/>
      <c r="E217" s="262" t="s">
        <v>421</v>
      </c>
      <c r="F217" s="262" t="s">
        <v>422</v>
      </c>
      <c r="G217" s="1230"/>
      <c r="K217" s="264"/>
      <c r="L217" s="264"/>
      <c r="M217" s="264"/>
      <c r="N217" s="264"/>
      <c r="O217" s="264"/>
      <c r="P217" s="264"/>
      <c r="Q217" s="264"/>
    </row>
    <row r="218" spans="2:17" s="192" customFormat="1" ht="23.25">
      <c r="C218" s="946" t="str">
        <f>+C213</f>
        <v>S. ONCOLÓGICO</v>
      </c>
      <c r="D218" s="946" t="s">
        <v>135</v>
      </c>
      <c r="E218" s="269">
        <f>D208</f>
        <v>49159.903000000006</v>
      </c>
      <c r="F218" s="262">
        <f>P208</f>
        <v>589918.83600000001</v>
      </c>
      <c r="G218" s="1230"/>
      <c r="K218" s="264"/>
      <c r="L218" s="264"/>
      <c r="M218" s="264"/>
      <c r="N218" s="264"/>
      <c r="O218" s="264"/>
      <c r="P218" s="264"/>
      <c r="Q218" s="264"/>
    </row>
    <row r="219" spans="2:17" s="192" customFormat="1" ht="23.25">
      <c r="C219" s="946" t="str">
        <f>+C214</f>
        <v>S. ENDOCRINO</v>
      </c>
      <c r="D219" s="946" t="s">
        <v>135</v>
      </c>
      <c r="E219" s="269">
        <f>D209</f>
        <v>41951.606700000004</v>
      </c>
      <c r="F219" s="262">
        <f>P209</f>
        <v>503419.28040000005</v>
      </c>
      <c r="G219" s="1230"/>
    </row>
    <row r="220" spans="2:17" s="192" customFormat="1" ht="23.25">
      <c r="C220" s="946" t="str">
        <f>+C215</f>
        <v>S. IMPORTACIÓN</v>
      </c>
      <c r="D220" s="946" t="s">
        <v>135</v>
      </c>
      <c r="E220" s="269">
        <f>+D210</f>
        <v>11751.801666666668</v>
      </c>
      <c r="F220" s="262">
        <f>+P210</f>
        <v>141021.62000000002</v>
      </c>
      <c r="G220" s="1230"/>
    </row>
    <row r="221" spans="2:17" s="192" customFormat="1" ht="23.25">
      <c r="C221" s="203"/>
      <c r="D221" s="946" t="s">
        <v>183</v>
      </c>
      <c r="E221" s="270">
        <f>SUM(E218:E220)</f>
        <v>102863.31136666668</v>
      </c>
      <c r="F221" s="271">
        <f>SUM(F218:F220)</f>
        <v>1234359.7364000003</v>
      </c>
      <c r="G221" s="1230"/>
    </row>
    <row r="222" spans="2:17">
      <c r="C222" s="779"/>
      <c r="D222" s="781"/>
      <c r="E222" s="781"/>
      <c r="F222" s="669"/>
      <c r="G222" s="670"/>
      <c r="H222" s="634"/>
    </row>
    <row r="223" spans="2:17">
      <c r="C223" s="779"/>
      <c r="D223" s="781"/>
      <c r="E223" s="781"/>
      <c r="F223" s="669"/>
      <c r="G223" s="670"/>
      <c r="H223" s="634"/>
    </row>
    <row r="224" spans="2:17">
      <c r="C224" s="779"/>
      <c r="D224" s="781"/>
      <c r="E224" s="781"/>
      <c r="F224" s="669"/>
      <c r="G224" s="670"/>
      <c r="H224" s="634"/>
    </row>
    <row r="225" spans="1:8" ht="23.25">
      <c r="B225" s="782" t="s">
        <v>423</v>
      </c>
      <c r="C225" s="714"/>
      <c r="D225" s="714"/>
      <c r="E225" s="714"/>
      <c r="F225" s="714"/>
    </row>
    <row r="226" spans="1:8" ht="62.25" customHeight="1">
      <c r="A226" s="783" t="s">
        <v>424</v>
      </c>
      <c r="B226" s="1288" t="s">
        <v>425</v>
      </c>
      <c r="C226" s="1288"/>
      <c r="D226" s="1288"/>
      <c r="E226" s="1288"/>
      <c r="F226" s="1288"/>
      <c r="G226" s="634"/>
    </row>
    <row r="229" spans="1:8" ht="21" customHeight="1">
      <c r="A229" s="1277" t="s">
        <v>799</v>
      </c>
      <c r="B229" s="1277"/>
      <c r="C229" s="1277"/>
      <c r="D229" s="1277"/>
      <c r="E229" s="1277"/>
      <c r="F229" s="1277"/>
    </row>
    <row r="230" spans="1:8" ht="23.25">
      <c r="A230" s="1289" t="s">
        <v>427</v>
      </c>
      <c r="B230" s="1289"/>
      <c r="C230" s="1289"/>
      <c r="D230" s="1289"/>
      <c r="E230" s="1289"/>
      <c r="F230" s="1289"/>
    </row>
    <row r="231" spans="1:8">
      <c r="A231" s="728"/>
      <c r="B231" s="634"/>
      <c r="C231" s="634"/>
      <c r="D231" s="634"/>
      <c r="E231" s="634"/>
      <c r="F231" s="634"/>
      <c r="G231" s="634"/>
    </row>
    <row r="232" spans="1:8" ht="23.25">
      <c r="A232" s="943" t="s">
        <v>428</v>
      </c>
      <c r="B232" s="943" t="s">
        <v>301</v>
      </c>
      <c r="C232" s="943" t="s">
        <v>429</v>
      </c>
      <c r="D232" s="1102" t="s">
        <v>430</v>
      </c>
      <c r="E232" s="1103"/>
      <c r="F232" s="943" t="s">
        <v>431</v>
      </c>
      <c r="G232" s="714"/>
      <c r="H232" s="714"/>
    </row>
    <row r="233" spans="1:8" ht="23.25">
      <c r="A233" s="784"/>
      <c r="B233" s="784"/>
      <c r="C233" s="784"/>
      <c r="D233" s="784" t="s">
        <v>248</v>
      </c>
      <c r="E233" s="784" t="s">
        <v>420</v>
      </c>
      <c r="F233" s="784"/>
      <c r="G233" s="714"/>
      <c r="H233" s="714"/>
    </row>
    <row r="234" spans="1:8" ht="23.25">
      <c r="A234" s="943" t="s">
        <v>432</v>
      </c>
      <c r="B234" s="943">
        <v>1</v>
      </c>
      <c r="C234" s="943" t="s">
        <v>433</v>
      </c>
      <c r="D234" s="943">
        <v>25</v>
      </c>
      <c r="E234" s="276" t="s">
        <v>434</v>
      </c>
      <c r="F234" s="213">
        <f>+(D234/100)*B234</f>
        <v>0.25</v>
      </c>
      <c r="G234" s="714"/>
      <c r="H234" s="714"/>
    </row>
    <row r="235" spans="1:8" ht="23.25">
      <c r="A235" s="943" t="s">
        <v>435</v>
      </c>
      <c r="B235" s="943">
        <v>1</v>
      </c>
      <c r="C235" s="943" t="s">
        <v>433</v>
      </c>
      <c r="D235" s="943">
        <v>100</v>
      </c>
      <c r="E235" s="943" t="s">
        <v>436</v>
      </c>
      <c r="F235" s="213">
        <f>+(D235/100)*B235</f>
        <v>1</v>
      </c>
      <c r="G235" s="714"/>
      <c r="H235" s="714"/>
    </row>
    <row r="236" spans="1:8" ht="23.25">
      <c r="A236" s="943" t="s">
        <v>437</v>
      </c>
      <c r="B236" s="943">
        <v>1</v>
      </c>
      <c r="C236" s="943" t="s">
        <v>433</v>
      </c>
      <c r="D236" s="943">
        <v>25</v>
      </c>
      <c r="E236" s="943" t="s">
        <v>438</v>
      </c>
      <c r="F236" s="213">
        <f>+(D236/500)*B236</f>
        <v>0.05</v>
      </c>
      <c r="G236" s="714"/>
      <c r="H236" s="714"/>
    </row>
    <row r="237" spans="1:8" ht="46.5">
      <c r="A237" s="943" t="s">
        <v>439</v>
      </c>
      <c r="B237" s="943">
        <v>1</v>
      </c>
      <c r="C237" s="943" t="s">
        <v>433</v>
      </c>
      <c r="D237" s="943">
        <v>2.5</v>
      </c>
      <c r="E237" s="943" t="s">
        <v>440</v>
      </c>
      <c r="F237" s="213">
        <f>+(D237/1)*B237</f>
        <v>2.5</v>
      </c>
      <c r="G237" s="714"/>
      <c r="H237" s="714"/>
    </row>
    <row r="238" spans="1:8" ht="46.5">
      <c r="A238" s="943" t="s">
        <v>441</v>
      </c>
      <c r="B238" s="943">
        <v>1</v>
      </c>
      <c r="C238" s="943" t="s">
        <v>388</v>
      </c>
      <c r="D238" s="943">
        <v>100</v>
      </c>
      <c r="E238" s="943" t="s">
        <v>442</v>
      </c>
      <c r="F238" s="213">
        <v>100</v>
      </c>
      <c r="G238" s="714"/>
      <c r="H238" s="714"/>
    </row>
    <row r="239" spans="1:8" ht="23.25">
      <c r="A239" s="943" t="s">
        <v>443</v>
      </c>
      <c r="B239" s="943">
        <v>1</v>
      </c>
      <c r="C239" s="943" t="s">
        <v>444</v>
      </c>
      <c r="D239" s="943">
        <v>917.69999999999993</v>
      </c>
      <c r="E239" s="943" t="s">
        <v>445</v>
      </c>
      <c r="F239" s="213">
        <v>700</v>
      </c>
      <c r="G239" s="714"/>
      <c r="H239" s="714"/>
    </row>
    <row r="240" spans="1:8" ht="107.25" customHeight="1">
      <c r="A240" s="276"/>
      <c r="B240" s="276"/>
      <c r="C240" s="276"/>
      <c r="D240" s="276"/>
      <c r="E240" s="943" t="s">
        <v>446</v>
      </c>
      <c r="F240" s="213">
        <f>SUM(F234:F239)</f>
        <v>803.8</v>
      </c>
      <c r="G240" s="943" t="s">
        <v>447</v>
      </c>
      <c r="H240" s="277">
        <f>+F240</f>
        <v>803.8</v>
      </c>
    </row>
    <row r="241" spans="1:16" ht="42">
      <c r="A241" s="278"/>
      <c r="B241" s="279" t="s">
        <v>448</v>
      </c>
      <c r="C241" s="938"/>
      <c r="D241" s="279" t="s">
        <v>449</v>
      </c>
      <c r="E241" s="209"/>
      <c r="F241" s="280"/>
      <c r="G241" s="281"/>
      <c r="H241" s="281"/>
    </row>
    <row r="242" spans="1:16" ht="31.5">
      <c r="A242" s="278"/>
      <c r="B242" s="283">
        <f>+H240</f>
        <v>803.8</v>
      </c>
      <c r="C242" s="283"/>
      <c r="D242" s="284">
        <f>B242</f>
        <v>803.8</v>
      </c>
      <c r="E242" s="212"/>
      <c r="F242" s="215"/>
      <c r="G242" s="215"/>
      <c r="H242" s="215"/>
      <c r="I242" s="634"/>
    </row>
    <row r="243" spans="1:16" ht="146.25" customHeight="1">
      <c r="A243" s="285" t="s">
        <v>450</v>
      </c>
      <c r="B243" s="959" t="s">
        <v>451</v>
      </c>
      <c r="C243" s="948"/>
      <c r="D243" s="959" t="s">
        <v>451</v>
      </c>
      <c r="E243" s="210"/>
      <c r="F243" s="280"/>
      <c r="G243" s="281"/>
      <c r="H243" s="281"/>
      <c r="I243" s="634"/>
    </row>
    <row r="244" spans="1:16">
      <c r="A244" s="939" t="s">
        <v>428</v>
      </c>
      <c r="B244" s="959" t="s">
        <v>452</v>
      </c>
      <c r="C244" s="948"/>
      <c r="D244" s="959"/>
      <c r="E244" s="209"/>
      <c r="F244" s="208"/>
      <c r="G244" s="208"/>
      <c r="H244" s="949"/>
      <c r="I244" s="634"/>
    </row>
    <row r="245" spans="1:16" ht="31.5">
      <c r="A245" s="258">
        <f>+SUM(F234:F238)</f>
        <v>103.8</v>
      </c>
      <c r="B245" s="324">
        <v>1200</v>
      </c>
      <c r="C245" s="256"/>
      <c r="D245" s="286">
        <f>B245+A245</f>
        <v>1303.8</v>
      </c>
      <c r="E245" s="209"/>
      <c r="F245" s="208"/>
      <c r="G245" s="208"/>
      <c r="H245" s="949"/>
      <c r="I245" s="634"/>
    </row>
    <row r="246" spans="1:16">
      <c r="A246" s="1151" t="s">
        <v>737</v>
      </c>
      <c r="B246" s="1220"/>
      <c r="C246" s="1220"/>
      <c r="D246" s="1220"/>
      <c r="E246" s="1221"/>
      <c r="F246" s="208"/>
      <c r="G246" s="208"/>
      <c r="H246" s="949"/>
    </row>
    <row r="247" spans="1:16" ht="47.25" customHeight="1">
      <c r="A247" s="1222"/>
      <c r="B247" s="1223"/>
      <c r="C247" s="1223"/>
      <c r="D247" s="1223"/>
      <c r="E247" s="1224"/>
      <c r="F247" s="208"/>
      <c r="G247" s="208"/>
      <c r="H247" s="949"/>
    </row>
    <row r="249" spans="1:16">
      <c r="C249" s="761"/>
    </row>
    <row r="250" spans="1:16" ht="66" customHeight="1">
      <c r="B250" s="1270" t="s">
        <v>783</v>
      </c>
      <c r="C250" s="1272"/>
      <c r="D250" s="646" t="s">
        <v>400</v>
      </c>
      <c r="E250" s="646" t="s">
        <v>401</v>
      </c>
      <c r="F250" s="646" t="s">
        <v>402</v>
      </c>
      <c r="G250" s="646" t="s">
        <v>403</v>
      </c>
      <c r="H250" s="646" t="s">
        <v>404</v>
      </c>
      <c r="I250" s="646" t="s">
        <v>405</v>
      </c>
      <c r="J250" s="646" t="s">
        <v>406</v>
      </c>
      <c r="K250" s="646" t="s">
        <v>407</v>
      </c>
      <c r="L250" s="646" t="s">
        <v>408</v>
      </c>
      <c r="M250" s="646" t="s">
        <v>409</v>
      </c>
      <c r="N250" s="646" t="s">
        <v>410</v>
      </c>
      <c r="O250" s="646" t="s">
        <v>411</v>
      </c>
      <c r="P250" s="646" t="s">
        <v>183</v>
      </c>
    </row>
    <row r="251" spans="1:16" ht="23.25">
      <c r="B251" s="243" t="s">
        <v>391</v>
      </c>
      <c r="C251" s="776" t="s">
        <v>420</v>
      </c>
      <c r="D251" s="690">
        <f>C190</f>
        <v>23.998000000000001</v>
      </c>
      <c r="E251" s="645">
        <f t="shared" ref="E251:O253" si="14">D251</f>
        <v>23.998000000000001</v>
      </c>
      <c r="F251" s="645">
        <f t="shared" si="14"/>
        <v>23.998000000000001</v>
      </c>
      <c r="G251" s="645">
        <f t="shared" si="14"/>
        <v>23.998000000000001</v>
      </c>
      <c r="H251" s="645">
        <f t="shared" si="14"/>
        <v>23.998000000000001</v>
      </c>
      <c r="I251" s="645">
        <f t="shared" si="14"/>
        <v>23.998000000000001</v>
      </c>
      <c r="J251" s="645">
        <f t="shared" si="14"/>
        <v>23.998000000000001</v>
      </c>
      <c r="K251" s="645">
        <f t="shared" si="14"/>
        <v>23.998000000000001</v>
      </c>
      <c r="L251" s="645">
        <f t="shared" si="14"/>
        <v>23.998000000000001</v>
      </c>
      <c r="M251" s="645">
        <f t="shared" si="14"/>
        <v>23.998000000000001</v>
      </c>
      <c r="N251" s="645">
        <f t="shared" si="14"/>
        <v>23.998000000000001</v>
      </c>
      <c r="O251" s="645">
        <f t="shared" si="14"/>
        <v>23.998000000000001</v>
      </c>
      <c r="P251" s="983">
        <f>SUM(D251:O251)</f>
        <v>287.97599999999994</v>
      </c>
    </row>
    <row r="252" spans="1:16" ht="23.25">
      <c r="B252" s="243" t="s">
        <v>387</v>
      </c>
      <c r="C252" s="776" t="s">
        <v>420</v>
      </c>
      <c r="D252" s="690">
        <f>C191</f>
        <v>31.999700000000001</v>
      </c>
      <c r="E252" s="645">
        <f t="shared" si="14"/>
        <v>31.999700000000001</v>
      </c>
      <c r="F252" s="645">
        <f t="shared" si="14"/>
        <v>31.999700000000001</v>
      </c>
      <c r="G252" s="645">
        <f t="shared" si="14"/>
        <v>31.999700000000001</v>
      </c>
      <c r="H252" s="645">
        <f t="shared" si="14"/>
        <v>31.999700000000001</v>
      </c>
      <c r="I252" s="645">
        <f t="shared" si="14"/>
        <v>31.999700000000001</v>
      </c>
      <c r="J252" s="645">
        <f t="shared" si="14"/>
        <v>31.999700000000001</v>
      </c>
      <c r="K252" s="645">
        <f t="shared" si="14"/>
        <v>31.999700000000001</v>
      </c>
      <c r="L252" s="645">
        <f t="shared" si="14"/>
        <v>31.999700000000001</v>
      </c>
      <c r="M252" s="645">
        <f t="shared" si="14"/>
        <v>31.999700000000001</v>
      </c>
      <c r="N252" s="645">
        <f t="shared" si="14"/>
        <v>31.999700000000001</v>
      </c>
      <c r="O252" s="645">
        <f t="shared" si="14"/>
        <v>31.999700000000001</v>
      </c>
      <c r="P252" s="983">
        <f>SUM(D252:O252)</f>
        <v>383.99640000000005</v>
      </c>
    </row>
    <row r="253" spans="1:16" s="192" customFormat="1" ht="23.25">
      <c r="B253" s="243" t="s">
        <v>824</v>
      </c>
      <c r="C253" s="243" t="s">
        <v>420</v>
      </c>
      <c r="D253" s="289">
        <v>15</v>
      </c>
      <c r="E253" s="645">
        <f t="shared" si="14"/>
        <v>15</v>
      </c>
      <c r="F253" s="645">
        <f t="shared" si="14"/>
        <v>15</v>
      </c>
      <c r="G253" s="645">
        <f t="shared" si="14"/>
        <v>15</v>
      </c>
      <c r="H253" s="645">
        <f t="shared" si="14"/>
        <v>15</v>
      </c>
      <c r="I253" s="645">
        <f t="shared" si="14"/>
        <v>15</v>
      </c>
      <c r="J253" s="645">
        <f t="shared" si="14"/>
        <v>15</v>
      </c>
      <c r="K253" s="645">
        <f t="shared" si="14"/>
        <v>15</v>
      </c>
      <c r="L253" s="645">
        <f t="shared" si="14"/>
        <v>15</v>
      </c>
      <c r="M253" s="645">
        <f t="shared" si="14"/>
        <v>15</v>
      </c>
      <c r="N253" s="645">
        <f t="shared" si="14"/>
        <v>15</v>
      </c>
      <c r="O253" s="645">
        <f t="shared" si="14"/>
        <v>15</v>
      </c>
      <c r="P253" s="984">
        <f>SUM(D253:O253)</f>
        <v>180</v>
      </c>
    </row>
    <row r="254" spans="1:16">
      <c r="B254" s="779"/>
      <c r="C254" s="786"/>
      <c r="D254" s="645"/>
      <c r="E254" s="645"/>
      <c r="F254" s="645"/>
      <c r="G254" s="645"/>
      <c r="H254" s="645"/>
      <c r="I254" s="645"/>
      <c r="J254" s="645"/>
      <c r="K254" s="645"/>
      <c r="L254" s="645"/>
      <c r="M254" s="645"/>
      <c r="N254" s="645"/>
      <c r="O254" s="645"/>
      <c r="P254" s="645"/>
    </row>
    <row r="255" spans="1:16" ht="63" customHeight="1">
      <c r="B255" s="1120" t="str">
        <f>B251</f>
        <v>S. ONCOLÓGICO</v>
      </c>
      <c r="C255" s="1120"/>
      <c r="D255" s="787">
        <f>D245</f>
        <v>1303.8</v>
      </c>
      <c r="E255" s="788">
        <f>D255</f>
        <v>1303.8</v>
      </c>
      <c r="F255" s="788">
        <f t="shared" ref="F255:O256" si="15">E255</f>
        <v>1303.8</v>
      </c>
      <c r="G255" s="788">
        <f t="shared" si="15"/>
        <v>1303.8</v>
      </c>
      <c r="H255" s="788">
        <f t="shared" si="15"/>
        <v>1303.8</v>
      </c>
      <c r="I255" s="788">
        <f t="shared" si="15"/>
        <v>1303.8</v>
      </c>
      <c r="J255" s="788">
        <f t="shared" si="15"/>
        <v>1303.8</v>
      </c>
      <c r="K255" s="788">
        <f t="shared" si="15"/>
        <v>1303.8</v>
      </c>
      <c r="L255" s="788">
        <f t="shared" si="15"/>
        <v>1303.8</v>
      </c>
      <c r="M255" s="788">
        <f t="shared" si="15"/>
        <v>1303.8</v>
      </c>
      <c r="N255" s="788">
        <f t="shared" si="15"/>
        <v>1303.8</v>
      </c>
      <c r="O255" s="788">
        <f t="shared" si="15"/>
        <v>1303.8</v>
      </c>
      <c r="P255" s="788">
        <f>O255</f>
        <v>1303.8</v>
      </c>
    </row>
    <row r="256" spans="1:16" ht="63" customHeight="1">
      <c r="B256" s="1120" t="str">
        <f>B252</f>
        <v>S. ENDOCRINO</v>
      </c>
      <c r="C256" s="1120"/>
      <c r="D256" s="787">
        <f>D242</f>
        <v>803.8</v>
      </c>
      <c r="E256" s="788">
        <f>D256</f>
        <v>803.8</v>
      </c>
      <c r="F256" s="788">
        <f t="shared" si="15"/>
        <v>803.8</v>
      </c>
      <c r="G256" s="788">
        <f t="shared" si="15"/>
        <v>803.8</v>
      </c>
      <c r="H256" s="788">
        <f t="shared" si="15"/>
        <v>803.8</v>
      </c>
      <c r="I256" s="788">
        <f t="shared" si="15"/>
        <v>803.8</v>
      </c>
      <c r="J256" s="788">
        <f t="shared" si="15"/>
        <v>803.8</v>
      </c>
      <c r="K256" s="788">
        <f t="shared" si="15"/>
        <v>803.8</v>
      </c>
      <c r="L256" s="788">
        <f t="shared" si="15"/>
        <v>803.8</v>
      </c>
      <c r="M256" s="788">
        <f t="shared" si="15"/>
        <v>803.8</v>
      </c>
      <c r="N256" s="788">
        <f t="shared" si="15"/>
        <v>803.8</v>
      </c>
      <c r="O256" s="788">
        <f t="shared" si="15"/>
        <v>803.8</v>
      </c>
      <c r="P256" s="788">
        <f>O256</f>
        <v>803.8</v>
      </c>
    </row>
    <row r="257" spans="2:16" s="192" customFormat="1" ht="63" customHeight="1">
      <c r="B257" s="1120" t="str">
        <f>B253</f>
        <v>S. IMPORTACION</v>
      </c>
      <c r="C257" s="1120"/>
      <c r="D257" s="293">
        <v>0</v>
      </c>
      <c r="E257" s="294">
        <f>+D257</f>
        <v>0</v>
      </c>
      <c r="F257" s="294">
        <f t="shared" ref="F257:O257" si="16">+E257</f>
        <v>0</v>
      </c>
      <c r="G257" s="294">
        <f t="shared" si="16"/>
        <v>0</v>
      </c>
      <c r="H257" s="294">
        <f t="shared" si="16"/>
        <v>0</v>
      </c>
      <c r="I257" s="294">
        <f t="shared" si="16"/>
        <v>0</v>
      </c>
      <c r="J257" s="294">
        <f t="shared" si="16"/>
        <v>0</v>
      </c>
      <c r="K257" s="294">
        <f t="shared" si="16"/>
        <v>0</v>
      </c>
      <c r="L257" s="294">
        <f t="shared" si="16"/>
        <v>0</v>
      </c>
      <c r="M257" s="294">
        <f t="shared" si="16"/>
        <v>0</v>
      </c>
      <c r="N257" s="294">
        <f t="shared" si="16"/>
        <v>0</v>
      </c>
      <c r="O257" s="294">
        <f t="shared" si="16"/>
        <v>0</v>
      </c>
      <c r="P257" s="294">
        <f>SUM(D257:O257)</f>
        <v>0</v>
      </c>
    </row>
    <row r="258" spans="2:16">
      <c r="D258" s="776"/>
      <c r="E258" s="776"/>
      <c r="F258" s="776"/>
      <c r="G258" s="776"/>
      <c r="H258" s="776"/>
      <c r="I258" s="776"/>
      <c r="J258" s="776"/>
      <c r="K258" s="776"/>
      <c r="L258" s="776"/>
      <c r="M258" s="776"/>
      <c r="N258" s="776"/>
      <c r="O258" s="776"/>
      <c r="P258" s="776"/>
    </row>
    <row r="259" spans="2:16" s="192" customFormat="1" ht="66" customHeight="1">
      <c r="B259" s="1188" t="s">
        <v>456</v>
      </c>
      <c r="C259" s="1189"/>
      <c r="D259" s="209" t="s">
        <v>400</v>
      </c>
      <c r="E259" s="209" t="s">
        <v>401</v>
      </c>
      <c r="F259" s="209" t="s">
        <v>402</v>
      </c>
      <c r="G259" s="209" t="s">
        <v>403</v>
      </c>
      <c r="H259" s="209" t="s">
        <v>404</v>
      </c>
      <c r="I259" s="209" t="s">
        <v>405</v>
      </c>
      <c r="J259" s="209" t="s">
        <v>406</v>
      </c>
      <c r="K259" s="209" t="s">
        <v>407</v>
      </c>
      <c r="L259" s="209" t="s">
        <v>408</v>
      </c>
      <c r="M259" s="209" t="s">
        <v>409</v>
      </c>
      <c r="N259" s="209" t="s">
        <v>410</v>
      </c>
      <c r="O259" s="209" t="s">
        <v>411</v>
      </c>
      <c r="P259" s="209" t="s">
        <v>183</v>
      </c>
    </row>
    <row r="260" spans="2:16" s="192" customFormat="1" ht="23.25">
      <c r="B260" s="243" t="s">
        <v>391</v>
      </c>
      <c r="C260" s="243" t="s">
        <v>420</v>
      </c>
      <c r="D260" s="287">
        <f>D251*D255</f>
        <v>31288.592400000001</v>
      </c>
      <c r="E260" s="288">
        <f>D260</f>
        <v>31288.592400000001</v>
      </c>
      <c r="F260" s="288">
        <f t="shared" ref="E260:O261" si="17">E260</f>
        <v>31288.592400000001</v>
      </c>
      <c r="G260" s="288">
        <f t="shared" si="17"/>
        <v>31288.592400000001</v>
      </c>
      <c r="H260" s="288">
        <f t="shared" si="17"/>
        <v>31288.592400000001</v>
      </c>
      <c r="I260" s="288">
        <f t="shared" si="17"/>
        <v>31288.592400000001</v>
      </c>
      <c r="J260" s="288">
        <f t="shared" si="17"/>
        <v>31288.592400000001</v>
      </c>
      <c r="K260" s="288">
        <f t="shared" si="17"/>
        <v>31288.592400000001</v>
      </c>
      <c r="L260" s="288">
        <f t="shared" si="17"/>
        <v>31288.592400000001</v>
      </c>
      <c r="M260" s="288">
        <f t="shared" si="17"/>
        <v>31288.592400000001</v>
      </c>
      <c r="N260" s="288">
        <f t="shared" si="17"/>
        <v>31288.592400000001</v>
      </c>
      <c r="O260" s="288">
        <f t="shared" si="17"/>
        <v>31288.592400000001</v>
      </c>
      <c r="P260" s="288">
        <f>SUM(D260:O260)</f>
        <v>375463.10880000005</v>
      </c>
    </row>
    <row r="261" spans="2:16" s="192" customFormat="1" ht="23.25">
      <c r="B261" s="243" t="s">
        <v>387</v>
      </c>
      <c r="C261" s="243" t="s">
        <v>420</v>
      </c>
      <c r="D261" s="287">
        <f>D252*D256</f>
        <v>25721.35886</v>
      </c>
      <c r="E261" s="288">
        <f t="shared" si="17"/>
        <v>25721.35886</v>
      </c>
      <c r="F261" s="288">
        <f t="shared" si="17"/>
        <v>25721.35886</v>
      </c>
      <c r="G261" s="288">
        <f t="shared" si="17"/>
        <v>25721.35886</v>
      </c>
      <c r="H261" s="288">
        <f t="shared" si="17"/>
        <v>25721.35886</v>
      </c>
      <c r="I261" s="288">
        <f t="shared" si="17"/>
        <v>25721.35886</v>
      </c>
      <c r="J261" s="288">
        <f t="shared" si="17"/>
        <v>25721.35886</v>
      </c>
      <c r="K261" s="288">
        <f t="shared" si="17"/>
        <v>25721.35886</v>
      </c>
      <c r="L261" s="288">
        <f t="shared" si="17"/>
        <v>25721.35886</v>
      </c>
      <c r="M261" s="288">
        <f t="shared" si="17"/>
        <v>25721.35886</v>
      </c>
      <c r="N261" s="288">
        <f t="shared" si="17"/>
        <v>25721.35886</v>
      </c>
      <c r="O261" s="288">
        <f t="shared" si="17"/>
        <v>25721.35886</v>
      </c>
      <c r="P261" s="288">
        <f>SUM(D261:O261)</f>
        <v>308656.30632000003</v>
      </c>
    </row>
    <row r="262" spans="2:16" s="192" customFormat="1" ht="23.25">
      <c r="B262" s="243" t="s">
        <v>392</v>
      </c>
      <c r="C262" s="243" t="s">
        <v>420</v>
      </c>
      <c r="D262" s="289">
        <f>D253*D257</f>
        <v>0</v>
      </c>
      <c r="E262" s="985">
        <f>E253*E257</f>
        <v>0</v>
      </c>
      <c r="F262" s="985">
        <f t="shared" ref="F262:O262" si="18">F253*F257</f>
        <v>0</v>
      </c>
      <c r="G262" s="985">
        <f t="shared" si="18"/>
        <v>0</v>
      </c>
      <c r="H262" s="985">
        <f t="shared" si="18"/>
        <v>0</v>
      </c>
      <c r="I262" s="985">
        <f t="shared" si="18"/>
        <v>0</v>
      </c>
      <c r="J262" s="985">
        <f t="shared" si="18"/>
        <v>0</v>
      </c>
      <c r="K262" s="985">
        <f t="shared" si="18"/>
        <v>0</v>
      </c>
      <c r="L262" s="985">
        <f t="shared" si="18"/>
        <v>0</v>
      </c>
      <c r="M262" s="985">
        <f t="shared" si="18"/>
        <v>0</v>
      </c>
      <c r="N262" s="985">
        <f t="shared" si="18"/>
        <v>0</v>
      </c>
      <c r="O262" s="985">
        <f t="shared" si="18"/>
        <v>0</v>
      </c>
      <c r="P262" s="290">
        <f>SUM(D262:O262)</f>
        <v>0</v>
      </c>
    </row>
    <row r="263" spans="2:16">
      <c r="B263" s="779"/>
      <c r="C263" s="779"/>
      <c r="D263" s="780"/>
      <c r="E263" s="780"/>
      <c r="F263" s="780"/>
      <c r="G263" s="780"/>
      <c r="H263" s="780"/>
      <c r="I263" s="780"/>
      <c r="J263" s="780"/>
      <c r="K263" s="780"/>
      <c r="L263" s="780"/>
      <c r="M263" s="780"/>
      <c r="N263" s="780"/>
      <c r="O263" s="780"/>
      <c r="P263" s="780"/>
    </row>
    <row r="264" spans="2:16" ht="84">
      <c r="C264" s="1210" t="s">
        <v>831</v>
      </c>
      <c r="D264" s="1210"/>
      <c r="E264" s="938" t="s">
        <v>459</v>
      </c>
      <c r="F264" s="938" t="s">
        <v>460</v>
      </c>
      <c r="G264" s="1292" t="s">
        <v>461</v>
      </c>
      <c r="K264" s="780"/>
      <c r="L264" s="780"/>
      <c r="M264" s="780"/>
      <c r="N264" s="780"/>
      <c r="O264" s="780"/>
      <c r="P264" s="780"/>
    </row>
    <row r="265" spans="2:16" ht="23.25">
      <c r="C265" s="946" t="str">
        <f>+B260</f>
        <v>S. ONCOLÓGICO</v>
      </c>
      <c r="D265" s="946" t="s">
        <v>420</v>
      </c>
      <c r="E265" s="219">
        <f>D251</f>
        <v>23.998000000000001</v>
      </c>
      <c r="F265" s="301">
        <f>P251</f>
        <v>287.97599999999994</v>
      </c>
      <c r="G265" s="1292"/>
      <c r="K265" s="780"/>
      <c r="L265" s="780"/>
      <c r="M265" s="780"/>
      <c r="N265" s="780"/>
      <c r="O265" s="780"/>
      <c r="P265" s="780"/>
    </row>
    <row r="266" spans="2:16" ht="23.25">
      <c r="C266" s="946" t="str">
        <f>+B261</f>
        <v>S. ENDOCRINO</v>
      </c>
      <c r="D266" s="946" t="s">
        <v>420</v>
      </c>
      <c r="E266" s="219">
        <f>D252</f>
        <v>31.999700000000001</v>
      </c>
      <c r="F266" s="301">
        <f>P252</f>
        <v>383.99640000000005</v>
      </c>
      <c r="G266" s="1292"/>
      <c r="K266" s="780"/>
      <c r="L266" s="780"/>
      <c r="M266" s="780"/>
      <c r="N266" s="780"/>
      <c r="O266" s="780"/>
      <c r="P266" s="780"/>
    </row>
    <row r="267" spans="2:16" ht="29.25" customHeight="1">
      <c r="C267" s="946" t="str">
        <f>+B262</f>
        <v>S. IMPORTACIÓN</v>
      </c>
      <c r="D267" s="946" t="s">
        <v>420</v>
      </c>
      <c r="E267" s="219">
        <f>+D253</f>
        <v>15</v>
      </c>
      <c r="F267" s="301">
        <f>+P200</f>
        <v>383.99640000000005</v>
      </c>
      <c r="G267" s="1292"/>
      <c r="K267" s="780"/>
      <c r="L267" s="780"/>
      <c r="M267" s="780"/>
      <c r="N267" s="780"/>
      <c r="O267" s="780"/>
      <c r="P267" s="780"/>
    </row>
    <row r="268" spans="2:16" ht="23.25">
      <c r="C268" s="302"/>
      <c r="D268" s="302"/>
      <c r="E268" s="303"/>
      <c r="F268" s="276"/>
      <c r="G268" s="1292"/>
      <c r="K268" s="780"/>
      <c r="L268" s="780"/>
      <c r="M268" s="780"/>
      <c r="N268" s="780"/>
      <c r="O268" s="780"/>
      <c r="P268" s="780"/>
    </row>
    <row r="269" spans="2:16" ht="93">
      <c r="C269" s="1210" t="s">
        <v>832</v>
      </c>
      <c r="D269" s="1210"/>
      <c r="E269" s="943" t="s">
        <v>463</v>
      </c>
      <c r="F269" s="304" t="s">
        <v>464</v>
      </c>
      <c r="G269" s="1292"/>
      <c r="K269" s="780"/>
      <c r="L269" s="780"/>
      <c r="M269" s="780"/>
      <c r="N269" s="780"/>
      <c r="O269" s="780"/>
      <c r="P269" s="780"/>
    </row>
    <row r="270" spans="2:16" ht="23.25">
      <c r="C270" s="946" t="str">
        <f>+C265</f>
        <v>S. ONCOLÓGICO</v>
      </c>
      <c r="D270" s="946" t="s">
        <v>135</v>
      </c>
      <c r="E270" s="305">
        <f>D260</f>
        <v>31288.592400000001</v>
      </c>
      <c r="F270" s="262">
        <f>P260</f>
        <v>375463.10880000005</v>
      </c>
      <c r="G270" s="1292"/>
      <c r="K270" s="780"/>
      <c r="L270" s="780"/>
      <c r="M270" s="780"/>
      <c r="N270" s="780"/>
      <c r="O270" s="780"/>
      <c r="P270" s="780"/>
    </row>
    <row r="271" spans="2:16" ht="23.25">
      <c r="C271" s="946" t="str">
        <f>+C266</f>
        <v>S. ENDOCRINO</v>
      </c>
      <c r="D271" s="946" t="s">
        <v>135</v>
      </c>
      <c r="E271" s="305">
        <f>D261</f>
        <v>25721.35886</v>
      </c>
      <c r="F271" s="262">
        <f>P261</f>
        <v>308656.30632000003</v>
      </c>
      <c r="G271" s="1292"/>
    </row>
    <row r="272" spans="2:16" ht="30.75" customHeight="1">
      <c r="C272" s="946" t="str">
        <f>+C267</f>
        <v>S. IMPORTACIÓN</v>
      </c>
      <c r="D272" s="946" t="s">
        <v>135</v>
      </c>
      <c r="E272" s="306">
        <f>+D262</f>
        <v>0</v>
      </c>
      <c r="F272" s="307">
        <f>+P262</f>
        <v>0</v>
      </c>
      <c r="G272" s="1292"/>
    </row>
    <row r="273" spans="1:18" ht="23.25">
      <c r="C273" s="203"/>
      <c r="D273" s="946" t="s">
        <v>183</v>
      </c>
      <c r="E273" s="305">
        <f>SUM(E270:E272)</f>
        <v>57009.951260000002</v>
      </c>
      <c r="F273" s="262">
        <f>SUM(F270:F272)</f>
        <v>684119.41512000002</v>
      </c>
      <c r="G273" s="1292"/>
    </row>
    <row r="274" spans="1:18">
      <c r="C274" s="779"/>
      <c r="D274" s="781"/>
      <c r="E274" s="781"/>
      <c r="F274" s="669"/>
      <c r="G274" s="670"/>
      <c r="H274" s="634"/>
    </row>
    <row r="277" spans="1:18" s="192" customFormat="1" ht="52.5">
      <c r="B277" s="308" t="s">
        <v>465</v>
      </c>
    </row>
    <row r="278" spans="1:18" s="192" customFormat="1" ht="44.25" customHeight="1">
      <c r="A278" s="309">
        <v>3</v>
      </c>
      <c r="B278" s="1102" t="s">
        <v>466</v>
      </c>
      <c r="C278" s="1112"/>
      <c r="D278" s="1112"/>
      <c r="E278" s="1112"/>
      <c r="F278" s="1103"/>
      <c r="G278" s="303"/>
      <c r="H278" s="303"/>
      <c r="I278" s="303"/>
      <c r="J278" s="310"/>
      <c r="K278" s="310"/>
      <c r="L278" s="310"/>
      <c r="M278" s="310"/>
      <c r="N278" s="310"/>
      <c r="O278" s="310"/>
      <c r="P278" s="310"/>
      <c r="Q278" s="310"/>
      <c r="R278" s="310"/>
    </row>
    <row r="279" spans="1:18" s="192" customFormat="1" ht="23.25">
      <c r="A279" s="207"/>
      <c r="B279" s="206"/>
      <c r="C279" s="206"/>
      <c r="D279" s="206"/>
      <c r="E279" s="206"/>
      <c r="F279" s="302"/>
      <c r="G279" s="302"/>
      <c r="H279" s="302"/>
      <c r="I279" s="302"/>
      <c r="J279" s="310"/>
      <c r="K279" s="310"/>
      <c r="L279" s="310"/>
      <c r="M279" s="310"/>
      <c r="N279" s="310"/>
      <c r="O279" s="310"/>
      <c r="P279" s="310"/>
      <c r="Q279" s="310"/>
      <c r="R279" s="310"/>
    </row>
    <row r="280" spans="1:18" s="192" customFormat="1" ht="23.25">
      <c r="A280" s="215"/>
      <c r="B280" s="203"/>
      <c r="C280" s="943" t="s">
        <v>284</v>
      </c>
      <c r="D280" s="943" t="s">
        <v>285</v>
      </c>
      <c r="E280" s="943" t="s">
        <v>286</v>
      </c>
      <c r="F280" s="311"/>
      <c r="G280" s="302"/>
      <c r="H280" s="302"/>
      <c r="I280" s="302"/>
      <c r="J280" s="310"/>
      <c r="K280" s="310"/>
      <c r="L280" s="310"/>
      <c r="M280" s="310"/>
      <c r="N280" s="310"/>
      <c r="O280" s="310"/>
      <c r="P280" s="310"/>
      <c r="Q280" s="310"/>
      <c r="R280" s="310"/>
    </row>
    <row r="281" spans="1:18" s="192" customFormat="1" ht="23.25">
      <c r="A281" s="215"/>
      <c r="B281" s="203"/>
      <c r="C281" s="203"/>
      <c r="D281" s="203"/>
      <c r="E281" s="943" t="s">
        <v>467</v>
      </c>
      <c r="F281" s="943" t="s">
        <v>187</v>
      </c>
      <c r="G281" s="943" t="s">
        <v>188</v>
      </c>
      <c r="H281" s="943" t="s">
        <v>189</v>
      </c>
      <c r="I281" s="943" t="s">
        <v>190</v>
      </c>
      <c r="J281" s="938" t="s">
        <v>191</v>
      </c>
      <c r="K281" s="938" t="s">
        <v>192</v>
      </c>
      <c r="L281" s="938" t="s">
        <v>193</v>
      </c>
      <c r="M281" s="938" t="s">
        <v>468</v>
      </c>
      <c r="N281" s="938" t="s">
        <v>195</v>
      </c>
      <c r="O281" s="938" t="s">
        <v>196</v>
      </c>
      <c r="P281" s="938" t="s">
        <v>197</v>
      </c>
      <c r="Q281" s="938" t="s">
        <v>181</v>
      </c>
      <c r="R281" s="243" t="s">
        <v>287</v>
      </c>
    </row>
    <row r="282" spans="1:18" s="192" customFormat="1" ht="23.25">
      <c r="A282" s="215"/>
      <c r="B282" s="203" t="s">
        <v>469</v>
      </c>
      <c r="C282" s="312">
        <v>1008.1656000000003</v>
      </c>
      <c r="D282" s="312"/>
      <c r="E282" s="246">
        <f>C282</f>
        <v>1008.1656000000003</v>
      </c>
      <c r="F282" s="313">
        <f t="shared" ref="F282:P294" si="19">E282</f>
        <v>1008.1656000000003</v>
      </c>
      <c r="G282" s="313">
        <f t="shared" si="19"/>
        <v>1008.1656000000003</v>
      </c>
      <c r="H282" s="313">
        <f t="shared" si="19"/>
        <v>1008.1656000000003</v>
      </c>
      <c r="I282" s="313">
        <f t="shared" si="19"/>
        <v>1008.1656000000003</v>
      </c>
      <c r="J282" s="314">
        <f t="shared" si="19"/>
        <v>1008.1656000000003</v>
      </c>
      <c r="K282" s="314">
        <f t="shared" si="19"/>
        <v>1008.1656000000003</v>
      </c>
      <c r="L282" s="314">
        <f t="shared" si="19"/>
        <v>1008.1656000000003</v>
      </c>
      <c r="M282" s="314">
        <f t="shared" si="19"/>
        <v>1008.1656000000003</v>
      </c>
      <c r="N282" s="314">
        <f t="shared" si="19"/>
        <v>1008.1656000000003</v>
      </c>
      <c r="O282" s="314">
        <f t="shared" si="19"/>
        <v>1008.1656000000003</v>
      </c>
      <c r="P282" s="314">
        <f t="shared" si="19"/>
        <v>1008.1656000000003</v>
      </c>
      <c r="Q282" s="315">
        <f>SUM(E282:P282)</f>
        <v>12097.987200000003</v>
      </c>
      <c r="R282" s="316">
        <f t="shared" ref="R282:R294" si="20">E282*12</f>
        <v>12097.987200000003</v>
      </c>
    </row>
    <row r="283" spans="1:18" s="192" customFormat="1" ht="23.25">
      <c r="A283" s="215"/>
      <c r="B283" s="203" t="s">
        <v>470</v>
      </c>
      <c r="C283" s="312">
        <v>200</v>
      </c>
      <c r="D283" s="312"/>
      <c r="E283" s="246">
        <f t="shared" ref="E283:E288" si="21">C283</f>
        <v>200</v>
      </c>
      <c r="F283" s="313">
        <f t="shared" si="19"/>
        <v>200</v>
      </c>
      <c r="G283" s="313">
        <f t="shared" si="19"/>
        <v>200</v>
      </c>
      <c r="H283" s="313">
        <f t="shared" si="19"/>
        <v>200</v>
      </c>
      <c r="I283" s="313">
        <f t="shared" si="19"/>
        <v>200</v>
      </c>
      <c r="J283" s="314">
        <f t="shared" si="19"/>
        <v>200</v>
      </c>
      <c r="K283" s="314">
        <f t="shared" si="19"/>
        <v>200</v>
      </c>
      <c r="L283" s="314">
        <f t="shared" si="19"/>
        <v>200</v>
      </c>
      <c r="M283" s="314">
        <f t="shared" si="19"/>
        <v>200</v>
      </c>
      <c r="N283" s="314">
        <f t="shared" si="19"/>
        <v>200</v>
      </c>
      <c r="O283" s="314">
        <f t="shared" si="19"/>
        <v>200</v>
      </c>
      <c r="P283" s="314">
        <f t="shared" si="19"/>
        <v>200</v>
      </c>
      <c r="Q283" s="315">
        <f t="shared" ref="Q283:Q294" si="22">SUM(E283:P283)</f>
        <v>2400</v>
      </c>
      <c r="R283" s="316">
        <f t="shared" si="20"/>
        <v>2400</v>
      </c>
    </row>
    <row r="284" spans="1:18" s="192" customFormat="1" ht="23.25">
      <c r="A284" s="215"/>
      <c r="B284" s="203" t="s">
        <v>288</v>
      </c>
      <c r="C284" s="312">
        <v>1000</v>
      </c>
      <c r="D284" s="312"/>
      <c r="E284" s="246">
        <f t="shared" si="21"/>
        <v>1000</v>
      </c>
      <c r="F284" s="313">
        <f t="shared" si="19"/>
        <v>1000</v>
      </c>
      <c r="G284" s="313">
        <f t="shared" si="19"/>
        <v>1000</v>
      </c>
      <c r="H284" s="313">
        <f t="shared" si="19"/>
        <v>1000</v>
      </c>
      <c r="I284" s="313">
        <f t="shared" si="19"/>
        <v>1000</v>
      </c>
      <c r="J284" s="314">
        <f t="shared" si="19"/>
        <v>1000</v>
      </c>
      <c r="K284" s="314">
        <f t="shared" si="19"/>
        <v>1000</v>
      </c>
      <c r="L284" s="314">
        <f t="shared" si="19"/>
        <v>1000</v>
      </c>
      <c r="M284" s="314">
        <f t="shared" si="19"/>
        <v>1000</v>
      </c>
      <c r="N284" s="314">
        <f t="shared" si="19"/>
        <v>1000</v>
      </c>
      <c r="O284" s="314">
        <f t="shared" si="19"/>
        <v>1000</v>
      </c>
      <c r="P284" s="314">
        <f t="shared" si="19"/>
        <v>1000</v>
      </c>
      <c r="Q284" s="315">
        <f t="shared" si="22"/>
        <v>12000</v>
      </c>
      <c r="R284" s="316">
        <f t="shared" si="20"/>
        <v>12000</v>
      </c>
    </row>
    <row r="285" spans="1:18" s="192" customFormat="1" ht="23.25">
      <c r="A285" s="215"/>
      <c r="B285" s="203" t="s">
        <v>471</v>
      </c>
      <c r="C285" s="317">
        <v>82.25</v>
      </c>
      <c r="D285" s="312"/>
      <c r="E285" s="246">
        <f t="shared" si="21"/>
        <v>82.25</v>
      </c>
      <c r="F285" s="313">
        <f t="shared" si="19"/>
        <v>82.25</v>
      </c>
      <c r="G285" s="313">
        <f t="shared" si="19"/>
        <v>82.25</v>
      </c>
      <c r="H285" s="313">
        <f t="shared" si="19"/>
        <v>82.25</v>
      </c>
      <c r="I285" s="313">
        <f t="shared" si="19"/>
        <v>82.25</v>
      </c>
      <c r="J285" s="313">
        <f t="shared" si="19"/>
        <v>82.25</v>
      </c>
      <c r="K285" s="313">
        <f t="shared" si="19"/>
        <v>82.25</v>
      </c>
      <c r="L285" s="313">
        <f t="shared" si="19"/>
        <v>82.25</v>
      </c>
      <c r="M285" s="313">
        <f t="shared" si="19"/>
        <v>82.25</v>
      </c>
      <c r="N285" s="313">
        <f t="shared" si="19"/>
        <v>82.25</v>
      </c>
      <c r="O285" s="313">
        <f t="shared" si="19"/>
        <v>82.25</v>
      </c>
      <c r="P285" s="313">
        <f t="shared" si="19"/>
        <v>82.25</v>
      </c>
      <c r="Q285" s="315">
        <f t="shared" si="22"/>
        <v>987</v>
      </c>
      <c r="R285" s="316">
        <f t="shared" si="20"/>
        <v>987</v>
      </c>
    </row>
    <row r="286" spans="1:18" s="192" customFormat="1" ht="46.5">
      <c r="A286" s="318"/>
      <c r="B286" s="203" t="s">
        <v>472</v>
      </c>
      <c r="C286" s="312">
        <v>157.9</v>
      </c>
      <c r="D286" s="312"/>
      <c r="E286" s="246">
        <f t="shared" si="21"/>
        <v>157.9</v>
      </c>
      <c r="F286" s="313">
        <f t="shared" si="19"/>
        <v>157.9</v>
      </c>
      <c r="G286" s="313">
        <f t="shared" si="19"/>
        <v>157.9</v>
      </c>
      <c r="H286" s="313">
        <f t="shared" si="19"/>
        <v>157.9</v>
      </c>
      <c r="I286" s="313">
        <f t="shared" si="19"/>
        <v>157.9</v>
      </c>
      <c r="J286" s="314">
        <f t="shared" si="19"/>
        <v>157.9</v>
      </c>
      <c r="K286" s="314">
        <f t="shared" si="19"/>
        <v>157.9</v>
      </c>
      <c r="L286" s="314">
        <f t="shared" si="19"/>
        <v>157.9</v>
      </c>
      <c r="M286" s="314">
        <f t="shared" si="19"/>
        <v>157.9</v>
      </c>
      <c r="N286" s="314">
        <f t="shared" si="19"/>
        <v>157.9</v>
      </c>
      <c r="O286" s="314">
        <f t="shared" si="19"/>
        <v>157.9</v>
      </c>
      <c r="P286" s="314">
        <f t="shared" si="19"/>
        <v>157.9</v>
      </c>
      <c r="Q286" s="315">
        <f t="shared" si="22"/>
        <v>1894.8000000000004</v>
      </c>
      <c r="R286" s="316">
        <f t="shared" si="20"/>
        <v>1894.8000000000002</v>
      </c>
    </row>
    <row r="287" spans="1:18" s="192" customFormat="1" ht="46.5">
      <c r="A287" s="215"/>
      <c r="B287" s="203" t="s">
        <v>289</v>
      </c>
      <c r="C287" s="317">
        <v>83.333333333333329</v>
      </c>
      <c r="D287" s="312"/>
      <c r="E287" s="246">
        <f t="shared" si="21"/>
        <v>83.333333333333329</v>
      </c>
      <c r="F287" s="313">
        <f t="shared" si="19"/>
        <v>83.333333333333329</v>
      </c>
      <c r="G287" s="313">
        <f t="shared" si="19"/>
        <v>83.333333333333329</v>
      </c>
      <c r="H287" s="313">
        <f t="shared" si="19"/>
        <v>83.333333333333329</v>
      </c>
      <c r="I287" s="313">
        <f t="shared" si="19"/>
        <v>83.333333333333329</v>
      </c>
      <c r="J287" s="314">
        <f t="shared" si="19"/>
        <v>83.333333333333329</v>
      </c>
      <c r="K287" s="314">
        <f t="shared" si="19"/>
        <v>83.333333333333329</v>
      </c>
      <c r="L287" s="314">
        <f t="shared" si="19"/>
        <v>83.333333333333329</v>
      </c>
      <c r="M287" s="314">
        <f t="shared" si="19"/>
        <v>83.333333333333329</v>
      </c>
      <c r="N287" s="314">
        <f t="shared" si="19"/>
        <v>83.333333333333329</v>
      </c>
      <c r="O287" s="314">
        <f t="shared" si="19"/>
        <v>83.333333333333329</v>
      </c>
      <c r="P287" s="314">
        <f t="shared" si="19"/>
        <v>83.333333333333329</v>
      </c>
      <c r="Q287" s="315">
        <f t="shared" si="22"/>
        <v>1000.0000000000001</v>
      </c>
      <c r="R287" s="316">
        <f t="shared" si="20"/>
        <v>1000</v>
      </c>
    </row>
    <row r="288" spans="1:18" s="192" customFormat="1" ht="23.25">
      <c r="A288" s="215"/>
      <c r="B288" s="203" t="s">
        <v>473</v>
      </c>
      <c r="C288" s="317">
        <v>1800</v>
      </c>
      <c r="D288" s="312"/>
      <c r="E288" s="246">
        <f t="shared" si="21"/>
        <v>1800</v>
      </c>
      <c r="F288" s="313">
        <f t="shared" si="19"/>
        <v>1800</v>
      </c>
      <c r="G288" s="313">
        <f t="shared" si="19"/>
        <v>1800</v>
      </c>
      <c r="H288" s="313">
        <f t="shared" si="19"/>
        <v>1800</v>
      </c>
      <c r="I288" s="313">
        <f t="shared" si="19"/>
        <v>1800</v>
      </c>
      <c r="J288" s="314">
        <f t="shared" si="19"/>
        <v>1800</v>
      </c>
      <c r="K288" s="314">
        <f t="shared" si="19"/>
        <v>1800</v>
      </c>
      <c r="L288" s="314">
        <f t="shared" si="19"/>
        <v>1800</v>
      </c>
      <c r="M288" s="314">
        <f t="shared" si="19"/>
        <v>1800</v>
      </c>
      <c r="N288" s="314">
        <f t="shared" si="19"/>
        <v>1800</v>
      </c>
      <c r="O288" s="314">
        <f t="shared" si="19"/>
        <v>1800</v>
      </c>
      <c r="P288" s="314">
        <f t="shared" si="19"/>
        <v>1800</v>
      </c>
      <c r="Q288" s="315">
        <f t="shared" si="22"/>
        <v>21600</v>
      </c>
      <c r="R288" s="316">
        <f t="shared" si="20"/>
        <v>21600</v>
      </c>
    </row>
    <row r="289" spans="1:19" s="192" customFormat="1" ht="23.25">
      <c r="A289" s="215"/>
      <c r="B289" s="203" t="s">
        <v>290</v>
      </c>
      <c r="C289" s="312">
        <v>10100</v>
      </c>
      <c r="D289" s="312"/>
      <c r="E289" s="246">
        <f>C289</f>
        <v>10100</v>
      </c>
      <c r="F289" s="313">
        <f t="shared" si="19"/>
        <v>10100</v>
      </c>
      <c r="G289" s="313">
        <f t="shared" si="19"/>
        <v>10100</v>
      </c>
      <c r="H289" s="313">
        <f t="shared" si="19"/>
        <v>10100</v>
      </c>
      <c r="I289" s="313">
        <f t="shared" si="19"/>
        <v>10100</v>
      </c>
      <c r="J289" s="314">
        <f t="shared" si="19"/>
        <v>10100</v>
      </c>
      <c r="K289" s="314">
        <f t="shared" si="19"/>
        <v>10100</v>
      </c>
      <c r="L289" s="314">
        <f t="shared" si="19"/>
        <v>10100</v>
      </c>
      <c r="M289" s="314">
        <f t="shared" si="19"/>
        <v>10100</v>
      </c>
      <c r="N289" s="314">
        <f t="shared" si="19"/>
        <v>10100</v>
      </c>
      <c r="O289" s="314">
        <f t="shared" si="19"/>
        <v>10100</v>
      </c>
      <c r="P289" s="314">
        <f t="shared" si="19"/>
        <v>10100</v>
      </c>
      <c r="Q289" s="315">
        <f t="shared" si="22"/>
        <v>121200</v>
      </c>
      <c r="R289" s="316">
        <f t="shared" si="20"/>
        <v>121200</v>
      </c>
    </row>
    <row r="290" spans="1:19" s="192" customFormat="1" ht="23.25">
      <c r="A290" s="215"/>
      <c r="B290" s="203" t="s">
        <v>291</v>
      </c>
      <c r="C290" s="312">
        <f>15.7*2*30</f>
        <v>942</v>
      </c>
      <c r="D290" s="312"/>
      <c r="E290" s="319">
        <f>+C290</f>
        <v>942</v>
      </c>
      <c r="F290" s="313">
        <f t="shared" si="19"/>
        <v>942</v>
      </c>
      <c r="G290" s="313">
        <f t="shared" si="19"/>
        <v>942</v>
      </c>
      <c r="H290" s="313">
        <f t="shared" si="19"/>
        <v>942</v>
      </c>
      <c r="I290" s="313">
        <f t="shared" si="19"/>
        <v>942</v>
      </c>
      <c r="J290" s="314">
        <f t="shared" si="19"/>
        <v>942</v>
      </c>
      <c r="K290" s="314">
        <f t="shared" si="19"/>
        <v>942</v>
      </c>
      <c r="L290" s="314">
        <f t="shared" si="19"/>
        <v>942</v>
      </c>
      <c r="M290" s="314">
        <f t="shared" si="19"/>
        <v>942</v>
      </c>
      <c r="N290" s="314">
        <f t="shared" si="19"/>
        <v>942</v>
      </c>
      <c r="O290" s="314">
        <f t="shared" si="19"/>
        <v>942</v>
      </c>
      <c r="P290" s="314">
        <f t="shared" si="19"/>
        <v>942</v>
      </c>
      <c r="Q290" s="315">
        <f t="shared" si="22"/>
        <v>11304</v>
      </c>
      <c r="R290" s="316">
        <f t="shared" si="20"/>
        <v>11304</v>
      </c>
    </row>
    <row r="291" spans="1:19" s="192" customFormat="1" ht="23.25">
      <c r="A291" s="215"/>
      <c r="B291" s="203" t="s">
        <v>292</v>
      </c>
      <c r="C291" s="312">
        <v>1200</v>
      </c>
      <c r="D291" s="312"/>
      <c r="E291" s="246">
        <f>C291</f>
        <v>1200</v>
      </c>
      <c r="F291" s="313">
        <f t="shared" si="19"/>
        <v>1200</v>
      </c>
      <c r="G291" s="313">
        <f t="shared" si="19"/>
        <v>1200</v>
      </c>
      <c r="H291" s="313">
        <f t="shared" si="19"/>
        <v>1200</v>
      </c>
      <c r="I291" s="313">
        <f t="shared" si="19"/>
        <v>1200</v>
      </c>
      <c r="J291" s="314">
        <f t="shared" si="19"/>
        <v>1200</v>
      </c>
      <c r="K291" s="314">
        <f t="shared" si="19"/>
        <v>1200</v>
      </c>
      <c r="L291" s="314">
        <f t="shared" si="19"/>
        <v>1200</v>
      </c>
      <c r="M291" s="314">
        <f t="shared" si="19"/>
        <v>1200</v>
      </c>
      <c r="N291" s="314">
        <f t="shared" si="19"/>
        <v>1200</v>
      </c>
      <c r="O291" s="314">
        <f t="shared" si="19"/>
        <v>1200</v>
      </c>
      <c r="P291" s="314">
        <f t="shared" si="19"/>
        <v>1200</v>
      </c>
      <c r="Q291" s="315">
        <f t="shared" si="22"/>
        <v>14400</v>
      </c>
      <c r="R291" s="316">
        <f t="shared" si="20"/>
        <v>14400</v>
      </c>
    </row>
    <row r="292" spans="1:19" s="192" customFormat="1" ht="23.25">
      <c r="A292" s="215"/>
      <c r="B292" s="203" t="s">
        <v>474</v>
      </c>
      <c r="C292" s="312">
        <v>1500</v>
      </c>
      <c r="D292" s="312"/>
      <c r="E292" s="246">
        <f>C292</f>
        <v>1500</v>
      </c>
      <c r="F292" s="313">
        <f t="shared" si="19"/>
        <v>1500</v>
      </c>
      <c r="G292" s="313">
        <f t="shared" si="19"/>
        <v>1500</v>
      </c>
      <c r="H292" s="313">
        <f t="shared" si="19"/>
        <v>1500</v>
      </c>
      <c r="I292" s="313">
        <f t="shared" si="19"/>
        <v>1500</v>
      </c>
      <c r="J292" s="314">
        <f t="shared" si="19"/>
        <v>1500</v>
      </c>
      <c r="K292" s="314">
        <f t="shared" si="19"/>
        <v>1500</v>
      </c>
      <c r="L292" s="314">
        <f t="shared" si="19"/>
        <v>1500</v>
      </c>
      <c r="M292" s="314">
        <f t="shared" si="19"/>
        <v>1500</v>
      </c>
      <c r="N292" s="314">
        <f t="shared" si="19"/>
        <v>1500</v>
      </c>
      <c r="O292" s="314">
        <f t="shared" si="19"/>
        <v>1500</v>
      </c>
      <c r="P292" s="314">
        <f t="shared" si="19"/>
        <v>1500</v>
      </c>
      <c r="Q292" s="315">
        <f t="shared" si="22"/>
        <v>18000</v>
      </c>
      <c r="R292" s="316">
        <f t="shared" si="20"/>
        <v>18000</v>
      </c>
    </row>
    <row r="293" spans="1:19" s="192" customFormat="1" ht="23.25">
      <c r="A293" s="215"/>
      <c r="B293" s="203" t="s">
        <v>475</v>
      </c>
      <c r="C293" s="312">
        <v>500</v>
      </c>
      <c r="D293" s="312"/>
      <c r="E293" s="246">
        <f>C293</f>
        <v>500</v>
      </c>
      <c r="F293" s="313">
        <f t="shared" si="19"/>
        <v>500</v>
      </c>
      <c r="G293" s="313">
        <f t="shared" si="19"/>
        <v>500</v>
      </c>
      <c r="H293" s="313">
        <f t="shared" si="19"/>
        <v>500</v>
      </c>
      <c r="I293" s="313">
        <f t="shared" si="19"/>
        <v>500</v>
      </c>
      <c r="J293" s="314">
        <f t="shared" si="19"/>
        <v>500</v>
      </c>
      <c r="K293" s="314">
        <f t="shared" si="19"/>
        <v>500</v>
      </c>
      <c r="L293" s="314">
        <f t="shared" si="19"/>
        <v>500</v>
      </c>
      <c r="M293" s="314">
        <f t="shared" si="19"/>
        <v>500</v>
      </c>
      <c r="N293" s="314">
        <f t="shared" si="19"/>
        <v>500</v>
      </c>
      <c r="O293" s="314">
        <f t="shared" si="19"/>
        <v>500</v>
      </c>
      <c r="P293" s="314">
        <f t="shared" si="19"/>
        <v>500</v>
      </c>
      <c r="Q293" s="315">
        <f t="shared" si="22"/>
        <v>6000</v>
      </c>
      <c r="R293" s="316">
        <f t="shared" si="20"/>
        <v>6000</v>
      </c>
    </row>
    <row r="294" spans="1:19" s="192" customFormat="1" ht="46.5">
      <c r="A294" s="215"/>
      <c r="B294" s="203" t="s">
        <v>293</v>
      </c>
      <c r="C294" s="317">
        <v>500</v>
      </c>
      <c r="D294" s="203"/>
      <c r="E294" s="246">
        <f>C294</f>
        <v>500</v>
      </c>
      <c r="F294" s="313">
        <f t="shared" si="19"/>
        <v>500</v>
      </c>
      <c r="G294" s="313">
        <f t="shared" si="19"/>
        <v>500</v>
      </c>
      <c r="H294" s="313">
        <f t="shared" si="19"/>
        <v>500</v>
      </c>
      <c r="I294" s="313">
        <f t="shared" si="19"/>
        <v>500</v>
      </c>
      <c r="J294" s="314">
        <f t="shared" si="19"/>
        <v>500</v>
      </c>
      <c r="K294" s="314">
        <f t="shared" si="19"/>
        <v>500</v>
      </c>
      <c r="L294" s="314">
        <f t="shared" si="19"/>
        <v>500</v>
      </c>
      <c r="M294" s="314">
        <f t="shared" si="19"/>
        <v>500</v>
      </c>
      <c r="N294" s="314">
        <f t="shared" si="19"/>
        <v>500</v>
      </c>
      <c r="O294" s="314">
        <f t="shared" si="19"/>
        <v>500</v>
      </c>
      <c r="P294" s="314">
        <f t="shared" si="19"/>
        <v>500</v>
      </c>
      <c r="Q294" s="315">
        <f t="shared" si="22"/>
        <v>6000</v>
      </c>
      <c r="R294" s="316">
        <f t="shared" si="20"/>
        <v>6000</v>
      </c>
    </row>
    <row r="295" spans="1:19" s="192" customFormat="1" ht="51" customHeight="1">
      <c r="A295" s="215"/>
      <c r="B295" s="1102" t="s">
        <v>476</v>
      </c>
      <c r="C295" s="1112"/>
      <c r="D295" s="1103"/>
      <c r="E295" s="320">
        <f t="shared" ref="E295:R295" si="23">SUM(E282:E294)</f>
        <v>19073.648933333334</v>
      </c>
      <c r="F295" s="320">
        <f t="shared" si="23"/>
        <v>19073.648933333334</v>
      </c>
      <c r="G295" s="320">
        <f t="shared" si="23"/>
        <v>19073.648933333334</v>
      </c>
      <c r="H295" s="320">
        <f t="shared" si="23"/>
        <v>19073.648933333334</v>
      </c>
      <c r="I295" s="320">
        <f t="shared" si="23"/>
        <v>19073.648933333334</v>
      </c>
      <c r="J295" s="320">
        <f t="shared" si="23"/>
        <v>19073.648933333334</v>
      </c>
      <c r="K295" s="283">
        <f t="shared" si="23"/>
        <v>19073.648933333334</v>
      </c>
      <c r="L295" s="283">
        <f t="shared" si="23"/>
        <v>19073.648933333334</v>
      </c>
      <c r="M295" s="283">
        <f t="shared" si="23"/>
        <v>19073.648933333334</v>
      </c>
      <c r="N295" s="283">
        <f t="shared" si="23"/>
        <v>19073.648933333334</v>
      </c>
      <c r="O295" s="283">
        <f t="shared" si="23"/>
        <v>19073.648933333334</v>
      </c>
      <c r="P295" s="283">
        <f t="shared" si="23"/>
        <v>19073.648933333334</v>
      </c>
      <c r="Q295" s="321">
        <f t="shared" si="23"/>
        <v>228883.78720000002</v>
      </c>
      <c r="R295" s="322">
        <f t="shared" si="23"/>
        <v>228883.78720000002</v>
      </c>
    </row>
    <row r="296" spans="1:19" s="192" customFormat="1" ht="23.25">
      <c r="A296" s="215"/>
      <c r="B296" s="203"/>
      <c r="C296" s="203"/>
      <c r="D296" s="203"/>
      <c r="E296" s="203"/>
      <c r="F296" s="313">
        <f>E296</f>
        <v>0</v>
      </c>
      <c r="G296" s="302"/>
      <c r="H296" s="302"/>
      <c r="I296" s="302"/>
      <c r="J296" s="310"/>
      <c r="K296" s="310"/>
      <c r="L296" s="310"/>
      <c r="M296" s="310"/>
      <c r="N296" s="310"/>
      <c r="O296" s="310"/>
      <c r="P296" s="310"/>
      <c r="Q296" s="302"/>
      <c r="R296" s="310"/>
    </row>
    <row r="297" spans="1:19" s="192" customFormat="1" ht="23.25">
      <c r="A297" s="215"/>
      <c r="B297" s="223" t="s">
        <v>294</v>
      </c>
      <c r="C297" s="203"/>
      <c r="D297" s="203"/>
      <c r="E297" s="323">
        <f>+'8'!$H$30</f>
        <v>737.42683333333343</v>
      </c>
      <c r="F297" s="323">
        <f>+'8'!$H$30</f>
        <v>737.42683333333343</v>
      </c>
      <c r="G297" s="323">
        <f>+'8'!$H$30</f>
        <v>737.42683333333343</v>
      </c>
      <c r="H297" s="323">
        <f>+'8'!$H$30</f>
        <v>737.42683333333343</v>
      </c>
      <c r="I297" s="323">
        <f>+'8'!$H$30</f>
        <v>737.42683333333343</v>
      </c>
      <c r="J297" s="323">
        <f>+'8'!$H$30</f>
        <v>737.42683333333343</v>
      </c>
      <c r="K297" s="323">
        <f>+'8'!$H$30</f>
        <v>737.42683333333343</v>
      </c>
      <c r="L297" s="323">
        <f>+'8'!$H$30</f>
        <v>737.42683333333343</v>
      </c>
      <c r="M297" s="323">
        <f>+'8'!$H$30</f>
        <v>737.42683333333343</v>
      </c>
      <c r="N297" s="323">
        <f>+'8'!$H$30</f>
        <v>737.42683333333343</v>
      </c>
      <c r="O297" s="323">
        <f>+'8'!$H$30</f>
        <v>737.42683333333343</v>
      </c>
      <c r="P297" s="323">
        <f>+'8'!$H$30</f>
        <v>737.42683333333343</v>
      </c>
      <c r="Q297" s="219">
        <f>SUM(E297:P297)</f>
        <v>8849.1219999999994</v>
      </c>
      <c r="R297" s="325">
        <f>Q297</f>
        <v>8849.1219999999994</v>
      </c>
    </row>
    <row r="298" spans="1:19" s="192" customFormat="1" ht="23.25">
      <c r="A298" s="215"/>
      <c r="B298" s="223" t="s">
        <v>295</v>
      </c>
      <c r="C298" s="203"/>
      <c r="D298" s="203"/>
      <c r="E298" s="323">
        <f>+'8'!$H$40</f>
        <v>45.179166666666667</v>
      </c>
      <c r="F298" s="323">
        <f>+'8'!$H$40</f>
        <v>45.179166666666667</v>
      </c>
      <c r="G298" s="323">
        <f>+'8'!$H$40</f>
        <v>45.179166666666667</v>
      </c>
      <c r="H298" s="323">
        <f>+'8'!$H$40</f>
        <v>45.179166666666667</v>
      </c>
      <c r="I298" s="323">
        <f>+'8'!$H$40</f>
        <v>45.179166666666667</v>
      </c>
      <c r="J298" s="323">
        <f>+'8'!$H$40</f>
        <v>45.179166666666667</v>
      </c>
      <c r="K298" s="323">
        <f>+'8'!$H$40</f>
        <v>45.179166666666667</v>
      </c>
      <c r="L298" s="323">
        <f>+'8'!$H$40</f>
        <v>45.179166666666667</v>
      </c>
      <c r="M298" s="323">
        <f>+'8'!$H$40</f>
        <v>45.179166666666667</v>
      </c>
      <c r="N298" s="323">
        <f>+'8'!$H$40</f>
        <v>45.179166666666667</v>
      </c>
      <c r="O298" s="323">
        <f>+'8'!$H$40</f>
        <v>45.179166666666667</v>
      </c>
      <c r="P298" s="323">
        <f>+'8'!$H$40</f>
        <v>45.179166666666667</v>
      </c>
      <c r="Q298" s="219">
        <f>SUM(E298:P298)</f>
        <v>542.15</v>
      </c>
      <c r="R298" s="325">
        <f>Q298</f>
        <v>542.15</v>
      </c>
    </row>
    <row r="299" spans="1:19" s="192" customFormat="1" ht="23.25">
      <c r="A299" s="215"/>
      <c r="B299" s="203"/>
      <c r="C299" s="203"/>
      <c r="D299" s="203"/>
      <c r="E299" s="203"/>
      <c r="F299" s="313">
        <f>E299</f>
        <v>0</v>
      </c>
      <c r="G299" s="302"/>
      <c r="H299" s="302"/>
      <c r="I299" s="302"/>
      <c r="J299" s="310"/>
      <c r="K299" s="310"/>
      <c r="L299" s="310"/>
      <c r="M299" s="310"/>
      <c r="N299" s="310"/>
      <c r="O299" s="310"/>
      <c r="P299" s="310"/>
      <c r="Q299" s="302"/>
      <c r="R299" s="310"/>
    </row>
    <row r="300" spans="1:19" s="192" customFormat="1" ht="69.75" customHeight="1">
      <c r="A300" s="215"/>
      <c r="B300" s="1102" t="s">
        <v>477</v>
      </c>
      <c r="C300" s="1112"/>
      <c r="D300" s="1103"/>
      <c r="E300" s="326">
        <f>E295+E297+E298</f>
        <v>19856.254933333334</v>
      </c>
      <c r="F300" s="326">
        <f>F295+F297+F298</f>
        <v>19856.254933333334</v>
      </c>
      <c r="G300" s="326">
        <f t="shared" ref="G300:Q300" si="24">G295+G297+G298</f>
        <v>19856.254933333334</v>
      </c>
      <c r="H300" s="326">
        <f t="shared" si="24"/>
        <v>19856.254933333334</v>
      </c>
      <c r="I300" s="326">
        <f t="shared" si="24"/>
        <v>19856.254933333334</v>
      </c>
      <c r="J300" s="327">
        <f t="shared" si="24"/>
        <v>19856.254933333334</v>
      </c>
      <c r="K300" s="327">
        <f t="shared" si="24"/>
        <v>19856.254933333334</v>
      </c>
      <c r="L300" s="327">
        <f t="shared" si="24"/>
        <v>19856.254933333334</v>
      </c>
      <c r="M300" s="327">
        <f t="shared" si="24"/>
        <v>19856.254933333334</v>
      </c>
      <c r="N300" s="327">
        <f t="shared" si="24"/>
        <v>19856.254933333334</v>
      </c>
      <c r="O300" s="327">
        <f t="shared" si="24"/>
        <v>19856.254933333334</v>
      </c>
      <c r="P300" s="327">
        <f t="shared" si="24"/>
        <v>19856.254933333334</v>
      </c>
      <c r="Q300" s="326">
        <f t="shared" si="24"/>
        <v>238275.05920000002</v>
      </c>
      <c r="R300" s="327">
        <f>R295+R297+R298</f>
        <v>238275.05920000002</v>
      </c>
    </row>
    <row r="301" spans="1:19" ht="70.5" customHeight="1">
      <c r="A301" s="761"/>
      <c r="B301" s="712"/>
      <c r="C301" s="712"/>
      <c r="D301" s="728"/>
      <c r="E301" s="795"/>
      <c r="F301" s="795"/>
      <c r="G301" s="795"/>
      <c r="H301" s="795"/>
      <c r="I301" s="795"/>
      <c r="J301" s="795"/>
      <c r="K301" s="795"/>
      <c r="L301" s="795"/>
      <c r="M301" s="795"/>
      <c r="N301" s="795"/>
      <c r="O301" s="795"/>
      <c r="P301" s="795"/>
      <c r="Q301" s="795"/>
      <c r="R301" s="795"/>
      <c r="S301" s="634"/>
    </row>
    <row r="302" spans="1:19" hidden="1">
      <c r="D302" s="635" t="s">
        <v>478</v>
      </c>
    </row>
    <row r="303" spans="1:19" ht="52.5">
      <c r="B303" s="796" t="s">
        <v>479</v>
      </c>
    </row>
    <row r="304" spans="1:19" ht="29.25" thickBot="1">
      <c r="A304" s="759">
        <v>4</v>
      </c>
      <c r="B304" s="1290" t="s">
        <v>480</v>
      </c>
      <c r="C304" s="1290"/>
      <c r="D304" s="1290"/>
      <c r="E304" s="1290"/>
      <c r="F304" s="1291"/>
      <c r="G304" s="1290"/>
      <c r="H304" s="634"/>
      <c r="I304" s="634"/>
    </row>
    <row r="305" spans="1:18" ht="27" thickBot="1">
      <c r="F305" s="797">
        <v>12</v>
      </c>
    </row>
    <row r="306" spans="1:18" ht="23.25">
      <c r="B306" s="637" t="s">
        <v>481</v>
      </c>
      <c r="C306" s="637" t="s">
        <v>301</v>
      </c>
      <c r="D306" s="637" t="s">
        <v>482</v>
      </c>
      <c r="E306" s="640" t="s">
        <v>483</v>
      </c>
      <c r="F306" s="714"/>
      <c r="Q306" s="798"/>
      <c r="R306" s="652" t="s">
        <v>484</v>
      </c>
    </row>
    <row r="307" spans="1:18" ht="23.25">
      <c r="B307" s="691"/>
      <c r="C307" s="691"/>
      <c r="D307" s="691"/>
      <c r="E307" s="637" t="s">
        <v>467</v>
      </c>
      <c r="F307" s="969" t="s">
        <v>187</v>
      </c>
      <c r="G307" s="646" t="s">
        <v>188</v>
      </c>
      <c r="H307" s="972" t="s">
        <v>189</v>
      </c>
      <c r="I307" s="646" t="s">
        <v>190</v>
      </c>
      <c r="J307" s="972" t="s">
        <v>191</v>
      </c>
      <c r="K307" s="646" t="s">
        <v>192</v>
      </c>
      <c r="L307" s="972" t="s">
        <v>193</v>
      </c>
      <c r="M307" s="646" t="s">
        <v>468</v>
      </c>
      <c r="N307" s="972" t="s">
        <v>195</v>
      </c>
      <c r="O307" s="646" t="s">
        <v>196</v>
      </c>
      <c r="P307" s="972" t="s">
        <v>197</v>
      </c>
      <c r="Q307" s="637" t="s">
        <v>198</v>
      </c>
      <c r="R307" s="652"/>
    </row>
    <row r="308" spans="1:18" ht="23.25">
      <c r="B308" s="312" t="s">
        <v>485</v>
      </c>
      <c r="C308" s="205">
        <v>1</v>
      </c>
      <c r="D308" s="312">
        <v>2500</v>
      </c>
      <c r="E308" s="312">
        <f>C308*D308</f>
        <v>2500</v>
      </c>
      <c r="F308" s="313">
        <f>E308</f>
        <v>2500</v>
      </c>
      <c r="G308" s="314">
        <f t="shared" ref="G308:P308" si="25">F308</f>
        <v>2500</v>
      </c>
      <c r="H308" s="314">
        <f t="shared" si="25"/>
        <v>2500</v>
      </c>
      <c r="I308" s="314">
        <f t="shared" si="25"/>
        <v>2500</v>
      </c>
      <c r="J308" s="314">
        <f t="shared" si="25"/>
        <v>2500</v>
      </c>
      <c r="K308" s="314">
        <f t="shared" si="25"/>
        <v>2500</v>
      </c>
      <c r="L308" s="314">
        <f t="shared" si="25"/>
        <v>2500</v>
      </c>
      <c r="M308" s="314">
        <f t="shared" si="25"/>
        <v>2500</v>
      </c>
      <c r="N308" s="314">
        <f t="shared" si="25"/>
        <v>2500</v>
      </c>
      <c r="O308" s="314">
        <f t="shared" si="25"/>
        <v>2500</v>
      </c>
      <c r="P308" s="314">
        <f t="shared" si="25"/>
        <v>2500</v>
      </c>
      <c r="Q308" s="740">
        <f>SUM(E308:P308)</f>
        <v>30000</v>
      </c>
      <c r="R308" s="671">
        <f t="shared" ref="R308:R313" si="26">E308*$F$305</f>
        <v>30000</v>
      </c>
    </row>
    <row r="309" spans="1:18" ht="23.25">
      <c r="B309" s="312" t="s">
        <v>486</v>
      </c>
      <c r="C309" s="205">
        <v>1</v>
      </c>
      <c r="D309" s="312">
        <v>2100</v>
      </c>
      <c r="E309" s="312">
        <f t="shared" ref="E309:E313" si="27">C309*D309</f>
        <v>2100</v>
      </c>
      <c r="F309" s="313">
        <f t="shared" ref="F309:P322" si="28">E309</f>
        <v>2100</v>
      </c>
      <c r="G309" s="314">
        <f t="shared" si="28"/>
        <v>2100</v>
      </c>
      <c r="H309" s="314">
        <f t="shared" si="28"/>
        <v>2100</v>
      </c>
      <c r="I309" s="314">
        <f t="shared" si="28"/>
        <v>2100</v>
      </c>
      <c r="J309" s="314">
        <f t="shared" si="28"/>
        <v>2100</v>
      </c>
      <c r="K309" s="314">
        <f t="shared" si="28"/>
        <v>2100</v>
      </c>
      <c r="L309" s="314">
        <f t="shared" si="28"/>
        <v>2100</v>
      </c>
      <c r="M309" s="314">
        <f t="shared" si="28"/>
        <v>2100</v>
      </c>
      <c r="N309" s="314">
        <f t="shared" si="28"/>
        <v>2100</v>
      </c>
      <c r="O309" s="314">
        <f t="shared" si="28"/>
        <v>2100</v>
      </c>
      <c r="P309" s="314">
        <f t="shared" si="28"/>
        <v>2100</v>
      </c>
      <c r="Q309" s="740">
        <f t="shared" ref="Q309:Q322" si="29">SUM(E309:P309)</f>
        <v>25200</v>
      </c>
      <c r="R309" s="671">
        <f t="shared" si="26"/>
        <v>25200</v>
      </c>
    </row>
    <row r="310" spans="1:18" ht="23.25">
      <c r="B310" s="312" t="s">
        <v>296</v>
      </c>
      <c r="C310" s="205">
        <v>1</v>
      </c>
      <c r="D310" s="312">
        <v>1200</v>
      </c>
      <c r="E310" s="312">
        <f t="shared" si="27"/>
        <v>1200</v>
      </c>
      <c r="F310" s="313">
        <f t="shared" si="28"/>
        <v>1200</v>
      </c>
      <c r="G310" s="314">
        <f t="shared" si="28"/>
        <v>1200</v>
      </c>
      <c r="H310" s="314">
        <f t="shared" si="28"/>
        <v>1200</v>
      </c>
      <c r="I310" s="314">
        <f t="shared" si="28"/>
        <v>1200</v>
      </c>
      <c r="J310" s="314">
        <f t="shared" si="28"/>
        <v>1200</v>
      </c>
      <c r="K310" s="314">
        <f t="shared" si="28"/>
        <v>1200</v>
      </c>
      <c r="L310" s="314">
        <f t="shared" si="28"/>
        <v>1200</v>
      </c>
      <c r="M310" s="314">
        <f t="shared" si="28"/>
        <v>1200</v>
      </c>
      <c r="N310" s="314">
        <f t="shared" si="28"/>
        <v>1200</v>
      </c>
      <c r="O310" s="314">
        <f t="shared" si="28"/>
        <v>1200</v>
      </c>
      <c r="P310" s="314">
        <f t="shared" si="28"/>
        <v>1200</v>
      </c>
      <c r="Q310" s="740">
        <f t="shared" si="29"/>
        <v>14400</v>
      </c>
      <c r="R310" s="671">
        <f t="shared" si="26"/>
        <v>14400</v>
      </c>
    </row>
    <row r="311" spans="1:18" ht="23.25">
      <c r="B311" s="312" t="s">
        <v>297</v>
      </c>
      <c r="C311" s="205">
        <v>1</v>
      </c>
      <c r="D311" s="312">
        <v>930</v>
      </c>
      <c r="E311" s="312">
        <f t="shared" si="27"/>
        <v>930</v>
      </c>
      <c r="F311" s="313">
        <f t="shared" si="28"/>
        <v>930</v>
      </c>
      <c r="G311" s="314">
        <f t="shared" si="28"/>
        <v>930</v>
      </c>
      <c r="H311" s="314">
        <f t="shared" si="28"/>
        <v>930</v>
      </c>
      <c r="I311" s="314">
        <f t="shared" si="28"/>
        <v>930</v>
      </c>
      <c r="J311" s="314">
        <f t="shared" si="28"/>
        <v>930</v>
      </c>
      <c r="K311" s="314">
        <f t="shared" si="28"/>
        <v>930</v>
      </c>
      <c r="L311" s="314">
        <f t="shared" si="28"/>
        <v>930</v>
      </c>
      <c r="M311" s="314">
        <f t="shared" si="28"/>
        <v>930</v>
      </c>
      <c r="N311" s="314">
        <f t="shared" si="28"/>
        <v>930</v>
      </c>
      <c r="O311" s="314">
        <f t="shared" si="28"/>
        <v>930</v>
      </c>
      <c r="P311" s="314">
        <f t="shared" si="28"/>
        <v>930</v>
      </c>
      <c r="Q311" s="740">
        <f t="shared" si="29"/>
        <v>11160</v>
      </c>
      <c r="R311" s="671">
        <f t="shared" si="26"/>
        <v>11160</v>
      </c>
    </row>
    <row r="312" spans="1:18" ht="46.5">
      <c r="B312" s="312" t="s">
        <v>738</v>
      </c>
      <c r="C312" s="205">
        <v>1</v>
      </c>
      <c r="D312" s="312">
        <v>1900</v>
      </c>
      <c r="E312" s="312">
        <f t="shared" si="27"/>
        <v>1900</v>
      </c>
      <c r="F312" s="313">
        <f t="shared" si="28"/>
        <v>1900</v>
      </c>
      <c r="G312" s="314">
        <f t="shared" si="28"/>
        <v>1900</v>
      </c>
      <c r="H312" s="314">
        <f t="shared" si="28"/>
        <v>1900</v>
      </c>
      <c r="I312" s="314">
        <f t="shared" si="28"/>
        <v>1900</v>
      </c>
      <c r="J312" s="314">
        <f t="shared" si="28"/>
        <v>1900</v>
      </c>
      <c r="K312" s="314">
        <f t="shared" si="28"/>
        <v>1900</v>
      </c>
      <c r="L312" s="314">
        <f t="shared" si="28"/>
        <v>1900</v>
      </c>
      <c r="M312" s="314">
        <f t="shared" si="28"/>
        <v>1900</v>
      </c>
      <c r="N312" s="314">
        <f t="shared" si="28"/>
        <v>1900</v>
      </c>
      <c r="O312" s="314">
        <f t="shared" si="28"/>
        <v>1900</v>
      </c>
      <c r="P312" s="314">
        <f t="shared" si="28"/>
        <v>1900</v>
      </c>
      <c r="Q312" s="740">
        <f t="shared" si="29"/>
        <v>22800</v>
      </c>
      <c r="R312" s="671">
        <f t="shared" si="26"/>
        <v>22800</v>
      </c>
    </row>
    <row r="313" spans="1:18" ht="24" thickBot="1">
      <c r="B313" s="312" t="s">
        <v>739</v>
      </c>
      <c r="C313" s="205">
        <v>1</v>
      </c>
      <c r="D313" s="312">
        <v>1200</v>
      </c>
      <c r="E313" s="312">
        <f t="shared" si="27"/>
        <v>1200</v>
      </c>
      <c r="F313" s="313">
        <f t="shared" si="28"/>
        <v>1200</v>
      </c>
      <c r="G313" s="314">
        <f t="shared" si="28"/>
        <v>1200</v>
      </c>
      <c r="H313" s="314">
        <f t="shared" si="28"/>
        <v>1200</v>
      </c>
      <c r="I313" s="314">
        <f t="shared" si="28"/>
        <v>1200</v>
      </c>
      <c r="J313" s="314">
        <f t="shared" si="28"/>
        <v>1200</v>
      </c>
      <c r="K313" s="314">
        <f t="shared" si="28"/>
        <v>1200</v>
      </c>
      <c r="L313" s="314">
        <f t="shared" si="28"/>
        <v>1200</v>
      </c>
      <c r="M313" s="314">
        <f t="shared" si="28"/>
        <v>1200</v>
      </c>
      <c r="N313" s="314">
        <f t="shared" si="28"/>
        <v>1200</v>
      </c>
      <c r="O313" s="314">
        <f t="shared" si="28"/>
        <v>1200</v>
      </c>
      <c r="P313" s="314">
        <f t="shared" si="28"/>
        <v>1200</v>
      </c>
      <c r="Q313" s="740">
        <f t="shared" si="29"/>
        <v>14400</v>
      </c>
      <c r="R313" s="671">
        <f t="shared" si="26"/>
        <v>14400</v>
      </c>
    </row>
    <row r="314" spans="1:18" ht="24" thickBot="1">
      <c r="B314" s="703" t="s">
        <v>487</v>
      </c>
      <c r="C314" s="800">
        <f>SUM(C308:C313)</f>
        <v>6</v>
      </c>
      <c r="D314" s="801"/>
      <c r="E314" s="740">
        <f>SUM(E308:E313)</f>
        <v>9830</v>
      </c>
      <c r="F314" s="740">
        <f t="shared" si="28"/>
        <v>9830</v>
      </c>
      <c r="G314" s="793">
        <f t="shared" si="28"/>
        <v>9830</v>
      </c>
      <c r="H314" s="793">
        <f t="shared" si="28"/>
        <v>9830</v>
      </c>
      <c r="I314" s="793">
        <f t="shared" si="28"/>
        <v>9830</v>
      </c>
      <c r="J314" s="793">
        <f t="shared" si="28"/>
        <v>9830</v>
      </c>
      <c r="K314" s="793">
        <f t="shared" si="28"/>
        <v>9830</v>
      </c>
      <c r="L314" s="793">
        <f t="shared" si="28"/>
        <v>9830</v>
      </c>
      <c r="M314" s="793">
        <f t="shared" si="28"/>
        <v>9830</v>
      </c>
      <c r="N314" s="793">
        <f t="shared" si="28"/>
        <v>9830</v>
      </c>
      <c r="O314" s="793">
        <f t="shared" si="28"/>
        <v>9830</v>
      </c>
      <c r="P314" s="793">
        <f t="shared" si="28"/>
        <v>9830</v>
      </c>
      <c r="Q314" s="740">
        <f t="shared" si="29"/>
        <v>117960</v>
      </c>
      <c r="R314" s="793">
        <f>SUM(R308:R313)</f>
        <v>117960</v>
      </c>
    </row>
    <row r="315" spans="1:18" s="192" customFormat="1" ht="24" thickBot="1">
      <c r="B315" s="302"/>
      <c r="C315" s="337"/>
      <c r="D315" s="302"/>
      <c r="E315" s="203"/>
      <c r="F315" s="313">
        <f t="shared" si="28"/>
        <v>0</v>
      </c>
      <c r="G315" s="314">
        <f t="shared" si="28"/>
        <v>0</v>
      </c>
      <c r="H315" s="314">
        <f t="shared" si="28"/>
        <v>0</v>
      </c>
      <c r="I315" s="314">
        <f t="shared" si="28"/>
        <v>0</v>
      </c>
      <c r="J315" s="314">
        <f t="shared" si="28"/>
        <v>0</v>
      </c>
      <c r="K315" s="314">
        <f t="shared" si="28"/>
        <v>0</v>
      </c>
      <c r="L315" s="314">
        <f t="shared" si="28"/>
        <v>0</v>
      </c>
      <c r="M315" s="314">
        <f t="shared" si="28"/>
        <v>0</v>
      </c>
      <c r="N315" s="314">
        <f t="shared" si="28"/>
        <v>0</v>
      </c>
      <c r="O315" s="314">
        <f t="shared" si="28"/>
        <v>0</v>
      </c>
      <c r="P315" s="314">
        <f t="shared" si="28"/>
        <v>0</v>
      </c>
      <c r="Q315" s="219">
        <f t="shared" si="29"/>
        <v>0</v>
      </c>
      <c r="R315" s="295"/>
    </row>
    <row r="316" spans="1:18" s="192" customFormat="1" ht="23.25">
      <c r="A316" s="1211" t="s">
        <v>488</v>
      </c>
      <c r="B316" s="338" t="s">
        <v>489</v>
      </c>
      <c r="C316" s="302"/>
      <c r="D316" s="1214" t="s">
        <v>800</v>
      </c>
      <c r="E316" s="339">
        <f>(R316/12)*50%</f>
        <v>409.58333333333331</v>
      </c>
      <c r="F316" s="313">
        <f t="shared" si="28"/>
        <v>409.58333333333331</v>
      </c>
      <c r="G316" s="314">
        <f t="shared" si="28"/>
        <v>409.58333333333331</v>
      </c>
      <c r="H316" s="314">
        <f t="shared" si="28"/>
        <v>409.58333333333331</v>
      </c>
      <c r="I316" s="314">
        <f t="shared" si="28"/>
        <v>409.58333333333331</v>
      </c>
      <c r="J316" s="314">
        <f t="shared" si="28"/>
        <v>409.58333333333331</v>
      </c>
      <c r="K316" s="314">
        <f t="shared" si="28"/>
        <v>409.58333333333331</v>
      </c>
      <c r="L316" s="314">
        <f t="shared" si="28"/>
        <v>409.58333333333331</v>
      </c>
      <c r="M316" s="314">
        <f t="shared" si="28"/>
        <v>409.58333333333331</v>
      </c>
      <c r="N316" s="314">
        <f t="shared" si="28"/>
        <v>409.58333333333331</v>
      </c>
      <c r="O316" s="314">
        <f t="shared" si="28"/>
        <v>409.58333333333331</v>
      </c>
      <c r="P316" s="314">
        <f t="shared" si="28"/>
        <v>409.58333333333331</v>
      </c>
      <c r="Q316" s="219">
        <f t="shared" si="29"/>
        <v>4915</v>
      </c>
      <c r="R316" s="314">
        <f>E314</f>
        <v>9830</v>
      </c>
    </row>
    <row r="317" spans="1:18" s="192" customFormat="1" ht="23.25">
      <c r="A317" s="1212"/>
      <c r="B317" s="340" t="s">
        <v>490</v>
      </c>
      <c r="C317" s="302"/>
      <c r="D317" s="1215"/>
      <c r="E317" s="339">
        <f>(R317/12)*50%</f>
        <v>409.58333333333331</v>
      </c>
      <c r="F317" s="313">
        <f t="shared" si="28"/>
        <v>409.58333333333331</v>
      </c>
      <c r="G317" s="314">
        <f t="shared" si="28"/>
        <v>409.58333333333331</v>
      </c>
      <c r="H317" s="314">
        <f t="shared" si="28"/>
        <v>409.58333333333331</v>
      </c>
      <c r="I317" s="314">
        <f t="shared" si="28"/>
        <v>409.58333333333331</v>
      </c>
      <c r="J317" s="314">
        <f t="shared" si="28"/>
        <v>409.58333333333331</v>
      </c>
      <c r="K317" s="314">
        <f t="shared" si="28"/>
        <v>409.58333333333331</v>
      </c>
      <c r="L317" s="314">
        <f t="shared" si="28"/>
        <v>409.58333333333331</v>
      </c>
      <c r="M317" s="314">
        <f t="shared" si="28"/>
        <v>409.58333333333331</v>
      </c>
      <c r="N317" s="314">
        <f t="shared" si="28"/>
        <v>409.58333333333331</v>
      </c>
      <c r="O317" s="314">
        <f t="shared" si="28"/>
        <v>409.58333333333331</v>
      </c>
      <c r="P317" s="314">
        <f t="shared" si="28"/>
        <v>409.58333333333331</v>
      </c>
      <c r="Q317" s="219">
        <f t="shared" si="29"/>
        <v>4915</v>
      </c>
      <c r="R317" s="314">
        <f>R316</f>
        <v>9830</v>
      </c>
    </row>
    <row r="318" spans="1:18" s="192" customFormat="1" ht="23.25">
      <c r="A318" s="1212"/>
      <c r="B318" s="338" t="s">
        <v>298</v>
      </c>
      <c r="C318" s="302"/>
      <c r="D318" s="1215"/>
      <c r="E318" s="339">
        <f>(R318/12)*50%</f>
        <v>409.58333333333331</v>
      </c>
      <c r="F318" s="313">
        <f t="shared" si="28"/>
        <v>409.58333333333331</v>
      </c>
      <c r="G318" s="314">
        <f t="shared" si="28"/>
        <v>409.58333333333331</v>
      </c>
      <c r="H318" s="314">
        <f t="shared" si="28"/>
        <v>409.58333333333331</v>
      </c>
      <c r="I318" s="314">
        <f t="shared" si="28"/>
        <v>409.58333333333331</v>
      </c>
      <c r="J318" s="314">
        <f t="shared" si="28"/>
        <v>409.58333333333331</v>
      </c>
      <c r="K318" s="314">
        <f t="shared" si="28"/>
        <v>409.58333333333331</v>
      </c>
      <c r="L318" s="314">
        <f t="shared" si="28"/>
        <v>409.58333333333331</v>
      </c>
      <c r="M318" s="314">
        <f t="shared" si="28"/>
        <v>409.58333333333331</v>
      </c>
      <c r="N318" s="314">
        <f t="shared" si="28"/>
        <v>409.58333333333331</v>
      </c>
      <c r="O318" s="314">
        <f t="shared" si="28"/>
        <v>409.58333333333331</v>
      </c>
      <c r="P318" s="314">
        <f t="shared" si="28"/>
        <v>409.58333333333331</v>
      </c>
      <c r="Q318" s="219">
        <f t="shared" si="29"/>
        <v>4915</v>
      </c>
      <c r="R318" s="314">
        <f>R317</f>
        <v>9830</v>
      </c>
    </row>
    <row r="319" spans="1:18" s="192" customFormat="1" ht="23.25">
      <c r="A319" s="1212"/>
      <c r="B319" s="340" t="s">
        <v>491</v>
      </c>
      <c r="C319" s="287">
        <v>60</v>
      </c>
      <c r="D319" s="1215"/>
      <c r="E319" s="339">
        <f>(C314*C319)/2</f>
        <v>180</v>
      </c>
      <c r="F319" s="341">
        <f t="shared" si="28"/>
        <v>180</v>
      </c>
      <c r="G319" s="342">
        <f t="shared" si="28"/>
        <v>180</v>
      </c>
      <c r="H319" s="342">
        <f t="shared" si="28"/>
        <v>180</v>
      </c>
      <c r="I319" s="342">
        <f t="shared" si="28"/>
        <v>180</v>
      </c>
      <c r="J319" s="342">
        <f t="shared" si="28"/>
        <v>180</v>
      </c>
      <c r="K319" s="342">
        <f t="shared" si="28"/>
        <v>180</v>
      </c>
      <c r="L319" s="342">
        <f t="shared" si="28"/>
        <v>180</v>
      </c>
      <c r="M319" s="342">
        <f t="shared" si="28"/>
        <v>180</v>
      </c>
      <c r="N319" s="342">
        <f t="shared" si="28"/>
        <v>180</v>
      </c>
      <c r="O319" s="342">
        <f t="shared" si="28"/>
        <v>180</v>
      </c>
      <c r="P319" s="342">
        <f t="shared" si="28"/>
        <v>180</v>
      </c>
      <c r="Q319" s="320">
        <f t="shared" si="29"/>
        <v>2160</v>
      </c>
      <c r="R319" s="342">
        <f>R314*C319</f>
        <v>7077600</v>
      </c>
    </row>
    <row r="320" spans="1:18" s="192" customFormat="1" ht="31.5" customHeight="1" thickBot="1">
      <c r="A320" s="1213"/>
      <c r="B320" s="338" t="s">
        <v>492</v>
      </c>
      <c r="C320" s="302"/>
      <c r="D320" s="1216"/>
      <c r="E320" s="339">
        <f>(R320/12)*50%</f>
        <v>409.58333333333331</v>
      </c>
      <c r="F320" s="313">
        <f t="shared" si="28"/>
        <v>409.58333333333331</v>
      </c>
      <c r="G320" s="314">
        <f t="shared" si="28"/>
        <v>409.58333333333331</v>
      </c>
      <c r="H320" s="314">
        <f t="shared" si="28"/>
        <v>409.58333333333331</v>
      </c>
      <c r="I320" s="314">
        <f t="shared" si="28"/>
        <v>409.58333333333331</v>
      </c>
      <c r="J320" s="314">
        <f t="shared" si="28"/>
        <v>409.58333333333331</v>
      </c>
      <c r="K320" s="314">
        <f t="shared" si="28"/>
        <v>409.58333333333331</v>
      </c>
      <c r="L320" s="314">
        <f t="shared" si="28"/>
        <v>409.58333333333331</v>
      </c>
      <c r="M320" s="314">
        <f t="shared" si="28"/>
        <v>409.58333333333331</v>
      </c>
      <c r="N320" s="314">
        <f t="shared" si="28"/>
        <v>409.58333333333331</v>
      </c>
      <c r="O320" s="314">
        <f t="shared" si="28"/>
        <v>409.58333333333331</v>
      </c>
      <c r="P320" s="314">
        <f t="shared" si="28"/>
        <v>409.58333333333331</v>
      </c>
      <c r="Q320" s="219">
        <f t="shared" si="29"/>
        <v>4915</v>
      </c>
      <c r="R320" s="314">
        <f>E314</f>
        <v>9830</v>
      </c>
    </row>
    <row r="321" spans="1:18" s="192" customFormat="1" ht="23.25">
      <c r="B321" s="302"/>
      <c r="C321" s="302"/>
      <c r="D321" s="302"/>
      <c r="E321" s="203"/>
      <c r="F321" s="313">
        <f t="shared" si="28"/>
        <v>0</v>
      </c>
      <c r="G321" s="314">
        <f t="shared" si="28"/>
        <v>0</v>
      </c>
      <c r="H321" s="314">
        <f t="shared" si="28"/>
        <v>0</v>
      </c>
      <c r="I321" s="314">
        <f t="shared" si="28"/>
        <v>0</v>
      </c>
      <c r="J321" s="314">
        <f t="shared" si="28"/>
        <v>0</v>
      </c>
      <c r="K321" s="314">
        <f t="shared" si="28"/>
        <v>0</v>
      </c>
      <c r="L321" s="314">
        <f t="shared" si="28"/>
        <v>0</v>
      </c>
      <c r="M321" s="314">
        <f t="shared" si="28"/>
        <v>0</v>
      </c>
      <c r="N321" s="314">
        <f t="shared" si="28"/>
        <v>0</v>
      </c>
      <c r="O321" s="314">
        <f t="shared" si="28"/>
        <v>0</v>
      </c>
      <c r="P321" s="314">
        <f t="shared" si="28"/>
        <v>0</v>
      </c>
      <c r="Q321" s="219">
        <f t="shared" si="29"/>
        <v>0</v>
      </c>
      <c r="R321" s="295"/>
    </row>
    <row r="322" spans="1:18" ht="55.5" customHeight="1">
      <c r="B322" s="1267" t="s">
        <v>493</v>
      </c>
      <c r="C322" s="1268"/>
      <c r="D322" s="1269"/>
      <c r="E322" s="792">
        <f>SUM(E314:E321)</f>
        <v>11648.333333333336</v>
      </c>
      <c r="F322" s="792">
        <f t="shared" si="28"/>
        <v>11648.333333333336</v>
      </c>
      <c r="G322" s="785">
        <f t="shared" si="28"/>
        <v>11648.333333333336</v>
      </c>
      <c r="H322" s="785">
        <f t="shared" si="28"/>
        <v>11648.333333333336</v>
      </c>
      <c r="I322" s="785">
        <f t="shared" si="28"/>
        <v>11648.333333333336</v>
      </c>
      <c r="J322" s="785">
        <f t="shared" si="28"/>
        <v>11648.333333333336</v>
      </c>
      <c r="K322" s="785">
        <f t="shared" si="28"/>
        <v>11648.333333333336</v>
      </c>
      <c r="L322" s="785">
        <f t="shared" si="28"/>
        <v>11648.333333333336</v>
      </c>
      <c r="M322" s="785">
        <f t="shared" si="28"/>
        <v>11648.333333333336</v>
      </c>
      <c r="N322" s="785">
        <f t="shared" si="28"/>
        <v>11648.333333333336</v>
      </c>
      <c r="O322" s="785">
        <f t="shared" si="28"/>
        <v>11648.333333333336</v>
      </c>
      <c r="P322" s="785">
        <f t="shared" si="28"/>
        <v>11648.333333333336</v>
      </c>
      <c r="Q322" s="792">
        <f t="shared" si="29"/>
        <v>139780.00000000006</v>
      </c>
      <c r="R322" s="785"/>
    </row>
    <row r="324" spans="1:18" ht="21.75" thickBot="1"/>
    <row r="325" spans="1:18" ht="51.75" customHeight="1">
      <c r="A325" s="1297" t="s">
        <v>494</v>
      </c>
      <c r="B325" s="1298" t="s">
        <v>495</v>
      </c>
      <c r="C325" s="1290" t="s">
        <v>496</v>
      </c>
      <c r="D325" s="1290"/>
      <c r="E325" s="1290"/>
      <c r="F325" s="1290"/>
      <c r="G325" s="1290"/>
      <c r="H325" s="1290"/>
    </row>
    <row r="326" spans="1:18" ht="57.75" customHeight="1" thickBot="1">
      <c r="A326" s="1297"/>
      <c r="B326" s="1299"/>
      <c r="C326" s="1290" t="s">
        <v>497</v>
      </c>
      <c r="D326" s="1290"/>
      <c r="E326" s="1290"/>
      <c r="F326" s="1290"/>
      <c r="G326" s="1290"/>
      <c r="H326" s="1290"/>
    </row>
    <row r="329" spans="1:18" ht="51.75" customHeight="1">
      <c r="B329" s="1287" t="s">
        <v>498</v>
      </c>
      <c r="C329" s="1287"/>
      <c r="D329" s="1287"/>
      <c r="E329" s="1287"/>
      <c r="F329" s="1287"/>
    </row>
    <row r="331" spans="1:18" ht="114" customHeight="1">
      <c r="B331" s="1293" t="s">
        <v>499</v>
      </c>
      <c r="C331" s="1294"/>
    </row>
    <row r="332" spans="1:18">
      <c r="A332" s="1295" t="s">
        <v>820</v>
      </c>
      <c r="B332" s="1295"/>
      <c r="C332" s="1295"/>
      <c r="D332" s="1295"/>
      <c r="E332" s="1295"/>
      <c r="F332" s="1295"/>
      <c r="G332" s="1295"/>
      <c r="H332" s="1295"/>
      <c r="I332" s="1296"/>
      <c r="J332" s="1296"/>
    </row>
    <row r="333" spans="1:18">
      <c r="A333" s="295"/>
      <c r="B333" s="295"/>
      <c r="C333" s="295"/>
      <c r="D333" s="956" t="s">
        <v>284</v>
      </c>
      <c r="E333" s="243"/>
      <c r="F333" s="243"/>
      <c r="G333" s="243"/>
      <c r="H333" s="956" t="s">
        <v>284</v>
      </c>
      <c r="I333" s="712"/>
      <c r="J333" s="712"/>
    </row>
    <row r="334" spans="1:18" ht="21" customHeight="1">
      <c r="A334" s="1203" t="s">
        <v>504</v>
      </c>
      <c r="B334" s="1204"/>
      <c r="C334" s="1205"/>
      <c r="D334" s="333">
        <f>F190</f>
        <v>2048.5</v>
      </c>
      <c r="E334" s="243" t="s">
        <v>501</v>
      </c>
      <c r="F334" s="295"/>
      <c r="G334" s="295"/>
      <c r="H334" s="333">
        <v>0</v>
      </c>
      <c r="I334" s="712"/>
      <c r="J334" s="712"/>
    </row>
    <row r="335" spans="1:18" ht="21" customHeight="1">
      <c r="A335" s="1203" t="s">
        <v>502</v>
      </c>
      <c r="B335" s="1204"/>
      <c r="C335" s="1205"/>
      <c r="D335" s="333">
        <f>D255</f>
        <v>1303.8</v>
      </c>
      <c r="E335" s="243" t="s">
        <v>503</v>
      </c>
      <c r="F335" s="295"/>
      <c r="G335" s="295"/>
      <c r="H335" s="333">
        <v>0</v>
      </c>
      <c r="I335" s="712"/>
      <c r="J335" s="712"/>
    </row>
    <row r="336" spans="1:18">
      <c r="A336" s="343"/>
      <c r="B336" s="343"/>
      <c r="C336" s="343"/>
      <c r="D336" s="333"/>
      <c r="E336" s="243"/>
      <c r="F336" s="295"/>
      <c r="G336" s="295"/>
      <c r="H336" s="333"/>
      <c r="I336" s="712"/>
      <c r="J336" s="712"/>
    </row>
    <row r="337" spans="1:8" ht="21" customHeight="1">
      <c r="A337" s="1203" t="s">
        <v>500</v>
      </c>
      <c r="B337" s="1204"/>
      <c r="C337" s="1205"/>
      <c r="D337" s="333">
        <f>F191</f>
        <v>1311</v>
      </c>
      <c r="E337" s="243" t="s">
        <v>505</v>
      </c>
      <c r="F337" s="295"/>
      <c r="G337" s="295"/>
      <c r="H337" s="333">
        <v>0</v>
      </c>
    </row>
    <row r="338" spans="1:8" ht="21" customHeight="1">
      <c r="A338" s="1203" t="s">
        <v>506</v>
      </c>
      <c r="B338" s="1204"/>
      <c r="C338" s="1205"/>
      <c r="D338" s="333">
        <f>D256</f>
        <v>803.8</v>
      </c>
      <c r="E338" s="243" t="s">
        <v>503</v>
      </c>
      <c r="F338" s="295"/>
      <c r="G338" s="295"/>
      <c r="H338" s="333">
        <v>0</v>
      </c>
    </row>
    <row r="339" spans="1:8">
      <c r="A339" s="295"/>
      <c r="B339" s="295"/>
      <c r="C339" s="295"/>
      <c r="D339" s="333"/>
      <c r="E339" s="295"/>
      <c r="F339" s="295"/>
      <c r="G339" s="295"/>
      <c r="H339" s="333"/>
    </row>
    <row r="340" spans="1:8">
      <c r="A340" s="1203" t="s">
        <v>507</v>
      </c>
      <c r="B340" s="1204"/>
      <c r="C340" s="1205"/>
      <c r="D340" s="333">
        <f>F192</f>
        <v>783.33333333333337</v>
      </c>
      <c r="E340" s="295" t="s">
        <v>505</v>
      </c>
      <c r="F340" s="295"/>
      <c r="G340" s="295"/>
      <c r="H340" s="333"/>
    </row>
    <row r="341" spans="1:8">
      <c r="A341" s="1203" t="s">
        <v>508</v>
      </c>
      <c r="B341" s="1204"/>
      <c r="C341" s="1205"/>
      <c r="D341" s="344">
        <v>0</v>
      </c>
      <c r="E341" s="295" t="s">
        <v>509</v>
      </c>
      <c r="F341" s="295"/>
      <c r="G341" s="295"/>
      <c r="H341" s="333"/>
    </row>
    <row r="342" spans="1:8">
      <c r="A342" s="295"/>
      <c r="B342" s="295"/>
      <c r="C342" s="295"/>
      <c r="D342" s="333"/>
      <c r="E342" s="295"/>
      <c r="F342" s="295"/>
      <c r="G342" s="295"/>
      <c r="H342" s="333"/>
    </row>
    <row r="343" spans="1:8" ht="21" customHeight="1">
      <c r="A343" s="1243" t="s">
        <v>243</v>
      </c>
      <c r="B343" s="1244"/>
      <c r="C343" s="1245"/>
      <c r="D343" s="978" t="s">
        <v>248</v>
      </c>
      <c r="E343" s="789"/>
      <c r="F343" s="789"/>
      <c r="G343" s="789"/>
      <c r="H343" s="789"/>
    </row>
    <row r="344" spans="1:8" ht="21" customHeight="1">
      <c r="A344" s="1300" t="s">
        <v>510</v>
      </c>
      <c r="B344" s="1301"/>
      <c r="C344" s="1302"/>
      <c r="D344" s="671">
        <f>E53</f>
        <v>62883.72</v>
      </c>
      <c r="E344" s="789"/>
      <c r="F344" s="789"/>
      <c r="G344" s="789"/>
      <c r="H344" s="789"/>
    </row>
    <row r="345" spans="1:8" ht="21" customHeight="1">
      <c r="A345" s="1300" t="s">
        <v>511</v>
      </c>
      <c r="B345" s="1301"/>
      <c r="C345" s="1302"/>
      <c r="D345" s="671">
        <f>E63</f>
        <v>6221.5</v>
      </c>
      <c r="E345" s="789"/>
      <c r="F345" s="789"/>
      <c r="G345" s="789"/>
      <c r="H345" s="789"/>
    </row>
    <row r="346" spans="1:8" ht="21" customHeight="1">
      <c r="A346" s="1300" t="s">
        <v>512</v>
      </c>
      <c r="B346" s="1301"/>
      <c r="C346" s="1302"/>
      <c r="D346" s="671">
        <f>E65</f>
        <v>10365.782999999999</v>
      </c>
      <c r="E346" s="789"/>
      <c r="F346" s="789"/>
      <c r="G346" s="789"/>
      <c r="H346" s="789"/>
    </row>
    <row r="347" spans="1:8" ht="21" customHeight="1">
      <c r="A347" s="1243" t="s">
        <v>513</v>
      </c>
      <c r="B347" s="1244"/>
      <c r="C347" s="1245"/>
      <c r="D347" s="647">
        <f>SUM(D344:D346)</f>
        <v>79471.002999999997</v>
      </c>
      <c r="E347" s="789"/>
      <c r="F347" s="789"/>
      <c r="G347" s="789"/>
      <c r="H347" s="789"/>
    </row>
    <row r="348" spans="1:8">
      <c r="A348" s="802"/>
      <c r="B348" s="802"/>
      <c r="C348" s="802"/>
      <c r="D348" s="672"/>
      <c r="E348" s="789"/>
      <c r="F348" s="789"/>
      <c r="G348" s="789"/>
      <c r="H348" s="789"/>
    </row>
    <row r="349" spans="1:8" ht="63">
      <c r="A349" s="1188" t="s">
        <v>514</v>
      </c>
      <c r="B349" s="1189"/>
      <c r="C349" s="209" t="s">
        <v>515</v>
      </c>
      <c r="D349" s="938" t="s">
        <v>248</v>
      </c>
      <c r="E349" s="938" t="s">
        <v>516</v>
      </c>
      <c r="F349" s="938" t="s">
        <v>517</v>
      </c>
      <c r="G349" s="310"/>
      <c r="H349" s="295"/>
    </row>
    <row r="350" spans="1:8" ht="26.25" customHeight="1">
      <c r="A350" s="1201" t="s">
        <v>518</v>
      </c>
      <c r="B350" s="1202"/>
      <c r="C350" s="347">
        <v>0.6</v>
      </c>
      <c r="D350" s="342">
        <f>D347*C350</f>
        <v>47682.601799999997</v>
      </c>
      <c r="E350" s="348">
        <f>+'8'!I62</f>
        <v>0.26392900000000002</v>
      </c>
      <c r="F350" s="295"/>
      <c r="G350" s="310"/>
      <c r="H350" s="295"/>
    </row>
    <row r="351" spans="1:8" ht="26.25" customHeight="1">
      <c r="A351" s="1201" t="s">
        <v>519</v>
      </c>
      <c r="B351" s="1202"/>
      <c r="C351" s="347">
        <v>0.4</v>
      </c>
      <c r="D351" s="342">
        <f>D347*C351</f>
        <v>31788.4012</v>
      </c>
      <c r="E351" s="295"/>
      <c r="F351" s="349">
        <v>0.17199999999999999</v>
      </c>
      <c r="G351" s="310"/>
      <c r="H351" s="295"/>
    </row>
    <row r="352" spans="1:8">
      <c r="A352" s="295"/>
      <c r="B352" s="295"/>
      <c r="C352" s="350"/>
      <c r="D352" s="350"/>
      <c r="E352" s="295"/>
      <c r="F352" s="295"/>
      <c r="G352" s="295"/>
      <c r="H352" s="295"/>
    </row>
    <row r="353" spans="1:10" ht="21" customHeight="1">
      <c r="A353" s="1188" t="s">
        <v>520</v>
      </c>
      <c r="B353" s="1194"/>
      <c r="C353" s="1189"/>
      <c r="D353" s="938" t="s">
        <v>389</v>
      </c>
      <c r="E353" s="243"/>
      <c r="F353" s="243"/>
      <c r="G353" s="243"/>
      <c r="H353" s="938" t="s">
        <v>521</v>
      </c>
    </row>
    <row r="354" spans="1:10" ht="26.25">
      <c r="A354" s="1195" t="s">
        <v>522</v>
      </c>
      <c r="B354" s="1196"/>
      <c r="C354" s="1197"/>
      <c r="D354" s="351">
        <f>E295</f>
        <v>19073.648933333334</v>
      </c>
      <c r="E354" s="295"/>
      <c r="F354" s="295"/>
      <c r="G354" s="295"/>
      <c r="H354" s="312">
        <f>D354*12</f>
        <v>228883.78720000002</v>
      </c>
    </row>
    <row r="355" spans="1:10" ht="26.25" customHeight="1">
      <c r="A355" s="1198" t="s">
        <v>523</v>
      </c>
      <c r="B355" s="1199"/>
      <c r="C355" s="1200"/>
      <c r="D355" s="352">
        <f>E322</f>
        <v>11648.333333333336</v>
      </c>
      <c r="E355" s="350"/>
      <c r="F355" s="350"/>
      <c r="G355" s="350"/>
      <c r="H355" s="317">
        <f>D355*12</f>
        <v>139780.00000000003</v>
      </c>
    </row>
    <row r="356" spans="1:10" ht="26.25">
      <c r="A356" s="295"/>
      <c r="B356" s="295"/>
      <c r="C356" s="295"/>
      <c r="D356" s="351"/>
      <c r="E356" s="295"/>
      <c r="F356" s="295"/>
      <c r="G356" s="295"/>
      <c r="H356" s="312">
        <f>D356*12</f>
        <v>0</v>
      </c>
    </row>
    <row r="357" spans="1:10" ht="26.25">
      <c r="A357" s="295"/>
      <c r="B357" s="295"/>
      <c r="C357" s="295"/>
      <c r="D357" s="351"/>
      <c r="E357" s="295"/>
      <c r="F357" s="295"/>
      <c r="G357" s="295"/>
      <c r="H357" s="312">
        <f>D357*12</f>
        <v>0</v>
      </c>
    </row>
    <row r="358" spans="1:10" ht="26.25">
      <c r="A358" s="295"/>
      <c r="B358" s="295"/>
      <c r="C358" s="948" t="s">
        <v>524</v>
      </c>
      <c r="D358" s="353">
        <f>SUM(D354:D357)</f>
        <v>30721.98226666667</v>
      </c>
      <c r="E358" s="295"/>
      <c r="F358" s="295"/>
      <c r="G358" s="948" t="s">
        <v>525</v>
      </c>
      <c r="H358" s="354">
        <f>SUM(H354:H357)</f>
        <v>368663.78720000002</v>
      </c>
    </row>
    <row r="359" spans="1:10" ht="26.25">
      <c r="A359" s="1195" t="s">
        <v>526</v>
      </c>
      <c r="B359" s="1196"/>
      <c r="C359" s="1197"/>
      <c r="D359" s="351">
        <f>E297</f>
        <v>737.42683333333343</v>
      </c>
      <c r="E359" s="295"/>
      <c r="F359" s="295"/>
      <c r="G359" s="295"/>
      <c r="H359" s="312">
        <f>D344/10</f>
        <v>6288.3720000000003</v>
      </c>
    </row>
    <row r="360" spans="1:10" ht="26.25">
      <c r="A360" s="1195" t="s">
        <v>527</v>
      </c>
      <c r="B360" s="1196"/>
      <c r="C360" s="1197"/>
      <c r="D360" s="351">
        <f>E298</f>
        <v>45.179166666666667</v>
      </c>
      <c r="E360" s="295"/>
      <c r="F360" s="295"/>
      <c r="G360" s="295"/>
      <c r="H360" s="312">
        <f>D345/10</f>
        <v>622.15</v>
      </c>
    </row>
    <row r="361" spans="1:10" ht="42" customHeight="1">
      <c r="A361" s="1188" t="s">
        <v>528</v>
      </c>
      <c r="B361" s="1194"/>
      <c r="C361" s="1189"/>
      <c r="D361" s="355">
        <f>SUM(D358:D360)</f>
        <v>31504.588266666669</v>
      </c>
      <c r="E361" s="356"/>
      <c r="F361" s="356"/>
      <c r="G361" s="938" t="s">
        <v>529</v>
      </c>
      <c r="H361" s="355">
        <f>SUM(H358:H360)</f>
        <v>375574.30920000002</v>
      </c>
    </row>
    <row r="362" spans="1:10">
      <c r="A362" s="802"/>
      <c r="B362" s="802"/>
      <c r="C362" s="802"/>
      <c r="D362" s="672"/>
      <c r="E362" s="802"/>
      <c r="F362" s="802"/>
      <c r="G362" s="802"/>
      <c r="H362" s="672"/>
      <c r="I362" s="634"/>
      <c r="J362" s="634"/>
    </row>
    <row r="363" spans="1:10">
      <c r="A363" s="802"/>
      <c r="B363" s="802"/>
      <c r="C363" s="802"/>
      <c r="D363" s="672"/>
      <c r="E363" s="802"/>
      <c r="F363" s="802"/>
      <c r="G363" s="802"/>
      <c r="H363" s="672"/>
      <c r="I363" s="634"/>
      <c r="J363" s="634"/>
    </row>
    <row r="364" spans="1:10">
      <c r="A364" s="790"/>
      <c r="B364" s="790"/>
      <c r="C364" s="790"/>
      <c r="D364" s="673"/>
      <c r="E364" s="790"/>
      <c r="F364" s="790"/>
      <c r="G364" s="790"/>
      <c r="H364" s="673"/>
    </row>
    <row r="365" spans="1:10" ht="49.5" customHeight="1">
      <c r="A365" s="1303" t="s">
        <v>530</v>
      </c>
      <c r="B365" s="1304"/>
      <c r="C365" s="1304"/>
      <c r="D365" s="1304"/>
      <c r="E365" s="1304"/>
      <c r="F365" s="1305"/>
      <c r="G365" s="790"/>
      <c r="H365" s="673"/>
    </row>
    <row r="366" spans="1:10">
      <c r="A366" s="790"/>
      <c r="B366" s="790"/>
      <c r="C366" s="790"/>
      <c r="D366" s="790"/>
      <c r="E366" s="790"/>
      <c r="F366" s="790"/>
      <c r="G366" s="790"/>
      <c r="H366" s="790"/>
    </row>
    <row r="367" spans="1:10" ht="46.5">
      <c r="A367" s="243"/>
      <c r="B367" s="243"/>
      <c r="C367" s="941" t="s">
        <v>531</v>
      </c>
      <c r="D367" s="941" t="s">
        <v>532</v>
      </c>
      <c r="E367" s="941" t="s">
        <v>533</v>
      </c>
      <c r="F367" s="941" t="s">
        <v>534</v>
      </c>
      <c r="G367" s="941" t="s">
        <v>535</v>
      </c>
      <c r="H367" s="358"/>
      <c r="I367" s="192"/>
    </row>
    <row r="368" spans="1:10" ht="63">
      <c r="A368" s="1145" t="s">
        <v>538</v>
      </c>
      <c r="B368" s="1147"/>
      <c r="C368" s="359">
        <f>D334</f>
        <v>2048.5</v>
      </c>
      <c r="D368" s="359">
        <f>D335</f>
        <v>1303.8</v>
      </c>
      <c r="E368" s="359">
        <f>C368-D368</f>
        <v>744.7</v>
      </c>
      <c r="F368" s="360">
        <f>D361/E368</f>
        <v>42.305073541918446</v>
      </c>
      <c r="G368" s="360">
        <f>H361/E368</f>
        <v>504.32967530549212</v>
      </c>
      <c r="H368" s="232" t="s">
        <v>537</v>
      </c>
      <c r="I368" s="361">
        <f>E368*G368</f>
        <v>375574.30920000002</v>
      </c>
    </row>
    <row r="369" spans="1:14" ht="28.5">
      <c r="A369" s="956"/>
      <c r="B369" s="243"/>
      <c r="C369" s="359">
        <f>H334</f>
        <v>0</v>
      </c>
      <c r="D369" s="359">
        <f>H335</f>
        <v>0</v>
      </c>
      <c r="E369" s="359">
        <f>C369-D369</f>
        <v>0</v>
      </c>
      <c r="F369" s="360"/>
      <c r="G369" s="362"/>
      <c r="H369" s="232"/>
      <c r="I369" s="327">
        <f>E369*G369</f>
        <v>0</v>
      </c>
    </row>
    <row r="370" spans="1:14" ht="63">
      <c r="A370" s="1145" t="s">
        <v>536</v>
      </c>
      <c r="B370" s="1147"/>
      <c r="C370" s="359">
        <f>D337</f>
        <v>1311</v>
      </c>
      <c r="D370" s="359">
        <f>D338</f>
        <v>803.8</v>
      </c>
      <c r="E370" s="359">
        <f>C370-D370</f>
        <v>507.20000000000005</v>
      </c>
      <c r="F370" s="360">
        <f>D361/E370</f>
        <v>62.11472450052576</v>
      </c>
      <c r="G370" s="362">
        <f>H361/E370</f>
        <v>740.48562539432169</v>
      </c>
      <c r="H370" s="232" t="s">
        <v>539</v>
      </c>
      <c r="I370" s="361">
        <f>E370*G370</f>
        <v>375574.30920000002</v>
      </c>
    </row>
    <row r="371" spans="1:14">
      <c r="A371" s="956"/>
      <c r="B371" s="243"/>
      <c r="C371" s="363">
        <f>H337</f>
        <v>0</v>
      </c>
      <c r="D371" s="363">
        <f>H338</f>
        <v>0</v>
      </c>
      <c r="E371" s="363">
        <f>C371-D371</f>
        <v>0</v>
      </c>
      <c r="F371" s="288"/>
      <c r="G371" s="288"/>
      <c r="H371" s="232"/>
      <c r="I371" s="327">
        <f>E371*G371</f>
        <v>0</v>
      </c>
    </row>
    <row r="372" spans="1:14" ht="63">
      <c r="A372" s="1145" t="s">
        <v>380</v>
      </c>
      <c r="B372" s="1147"/>
      <c r="C372" s="359">
        <f>+D340</f>
        <v>783.33333333333337</v>
      </c>
      <c r="D372" s="364">
        <f>+D341</f>
        <v>0</v>
      </c>
      <c r="E372" s="359">
        <f>+C372-D372</f>
        <v>783.33333333333337</v>
      </c>
      <c r="F372" s="360">
        <f>+D361/E372</f>
        <v>40.218623319148939</v>
      </c>
      <c r="G372" s="362">
        <f>+H361/E372</f>
        <v>479.4565649361702</v>
      </c>
      <c r="H372" s="232" t="s">
        <v>540</v>
      </c>
      <c r="I372" s="361">
        <f>+E372*G372</f>
        <v>375574.30920000002</v>
      </c>
    </row>
    <row r="373" spans="1:14">
      <c r="A373" s="804"/>
      <c r="B373" s="805"/>
      <c r="C373" s="806"/>
      <c r="D373" s="806"/>
      <c r="E373" s="806"/>
      <c r="F373" s="674"/>
      <c r="G373" s="674"/>
      <c r="H373" s="804"/>
    </row>
    <row r="374" spans="1:14" ht="51" customHeight="1">
      <c r="A374" s="1155" t="s">
        <v>822</v>
      </c>
      <c r="B374" s="1155"/>
      <c r="C374" s="1155"/>
      <c r="D374" s="1155"/>
      <c r="E374" s="1155"/>
      <c r="F374" s="1155"/>
      <c r="G374" s="1155"/>
      <c r="H374" s="1155"/>
      <c r="I374" s="193"/>
      <c r="J374" s="192"/>
      <c r="K374" s="192"/>
    </row>
    <row r="375" spans="1:14">
      <c r="A375" s="358"/>
      <c r="B375" s="358"/>
      <c r="C375" s="358"/>
      <c r="D375" s="358"/>
      <c r="E375" s="358"/>
      <c r="F375" s="358"/>
      <c r="G375" s="358"/>
      <c r="H375" s="358"/>
      <c r="I375" s="192"/>
      <c r="J375" s="192"/>
      <c r="K375" s="192"/>
    </row>
    <row r="376" spans="1:14" ht="52.5">
      <c r="A376" s="243"/>
      <c r="B376" s="243"/>
      <c r="C376" s="368" t="s">
        <v>541</v>
      </c>
      <c r="D376" s="368" t="s">
        <v>542</v>
      </c>
      <c r="E376" s="368" t="s">
        <v>543</v>
      </c>
      <c r="F376" s="368" t="s">
        <v>544</v>
      </c>
      <c r="G376" s="368" t="s">
        <v>545</v>
      </c>
      <c r="H376" s="368" t="s">
        <v>546</v>
      </c>
      <c r="I376" s="192"/>
      <c r="J376" s="192"/>
      <c r="K376" s="192"/>
    </row>
    <row r="377" spans="1:14">
      <c r="A377" s="243"/>
      <c r="B377" s="243"/>
      <c r="C377" s="243"/>
      <c r="D377" s="243"/>
      <c r="E377" s="243"/>
      <c r="F377" s="243"/>
      <c r="G377" s="243">
        <v>12</v>
      </c>
      <c r="H377" s="243"/>
      <c r="I377" s="192"/>
      <c r="J377" s="192"/>
      <c r="K377" s="192"/>
    </row>
    <row r="378" spans="1:14" ht="75.75" customHeight="1">
      <c r="A378" s="1138" t="str">
        <f>+A368</f>
        <v>SERVICIO ONCOLÓGICO</v>
      </c>
      <c r="B378" s="1140"/>
      <c r="C378" s="369">
        <f t="shared" ref="C378:E380" si="30">C368</f>
        <v>2048.5</v>
      </c>
      <c r="D378" s="369">
        <f t="shared" si="30"/>
        <v>1303.8</v>
      </c>
      <c r="E378" s="369">
        <f t="shared" si="30"/>
        <v>744.7</v>
      </c>
      <c r="F378" s="370">
        <v>17</v>
      </c>
      <c r="G378" s="942">
        <f>F378*$G$377</f>
        <v>204</v>
      </c>
      <c r="H378" s="372">
        <f>G378*E378</f>
        <v>151918.80000000002</v>
      </c>
      <c r="I378" s="1188" t="s">
        <v>547</v>
      </c>
      <c r="J378" s="1189"/>
      <c r="K378" s="373"/>
      <c r="L378" s="728"/>
      <c r="M378" s="728"/>
    </row>
    <row r="379" spans="1:14" ht="28.5">
      <c r="A379" s="374"/>
      <c r="B379" s="374"/>
      <c r="C379" s="369">
        <f t="shared" si="30"/>
        <v>0</v>
      </c>
      <c r="D379" s="369">
        <f t="shared" si="30"/>
        <v>0</v>
      </c>
      <c r="E379" s="369">
        <f t="shared" si="30"/>
        <v>0</v>
      </c>
      <c r="F379" s="942"/>
      <c r="G379" s="942"/>
      <c r="H379" s="369">
        <f>G379*E379</f>
        <v>0</v>
      </c>
      <c r="I379" s="1190"/>
      <c r="J379" s="1190"/>
      <c r="K379" s="193"/>
      <c r="L379" s="634"/>
      <c r="M379" s="634"/>
    </row>
    <row r="380" spans="1:14" ht="65.25" customHeight="1">
      <c r="A380" s="1138" t="str">
        <f>+A370</f>
        <v>SERVICIO ENDOCRINO</v>
      </c>
      <c r="B380" s="1140"/>
      <c r="C380" s="369">
        <f t="shared" si="30"/>
        <v>1311</v>
      </c>
      <c r="D380" s="369">
        <f t="shared" si="30"/>
        <v>803.8</v>
      </c>
      <c r="E380" s="369">
        <f t="shared" si="30"/>
        <v>507.20000000000005</v>
      </c>
      <c r="F380" s="370">
        <v>22</v>
      </c>
      <c r="G380" s="942">
        <f>F380*$G$377</f>
        <v>264</v>
      </c>
      <c r="H380" s="372">
        <f>G380*E380</f>
        <v>133900.80000000002</v>
      </c>
      <c r="I380" s="1188" t="s">
        <v>548</v>
      </c>
      <c r="J380" s="1189"/>
      <c r="K380" s="373"/>
      <c r="L380" s="634"/>
      <c r="M380" s="634"/>
    </row>
    <row r="381" spans="1:14" ht="22.5" customHeight="1">
      <c r="A381" s="953"/>
      <c r="B381" s="376"/>
      <c r="C381" s="369"/>
      <c r="D381" s="369"/>
      <c r="E381" s="369"/>
      <c r="F381" s="370"/>
      <c r="G381" s="942"/>
      <c r="H381" s="372"/>
      <c r="I381" s="954"/>
      <c r="J381" s="378"/>
      <c r="K381" s="379"/>
    </row>
    <row r="382" spans="1:14" ht="22.5" customHeight="1">
      <c r="A382" s="1138" t="str">
        <f>+A372</f>
        <v>SERVICIO DE IMPORTACIÓN</v>
      </c>
      <c r="B382" s="1140"/>
      <c r="C382" s="369">
        <f>+C372</f>
        <v>783.33333333333337</v>
      </c>
      <c r="D382" s="369">
        <f>+D372</f>
        <v>0</v>
      </c>
      <c r="E382" s="369">
        <f>+C382-D382</f>
        <v>783.33333333333337</v>
      </c>
      <c r="F382" s="370">
        <v>10</v>
      </c>
      <c r="G382" s="942">
        <f>F382*$G$377</f>
        <v>120</v>
      </c>
      <c r="H382" s="372">
        <f>+E382*G382</f>
        <v>94000</v>
      </c>
      <c r="I382" s="954"/>
      <c r="J382" s="378"/>
      <c r="K382" s="379"/>
    </row>
    <row r="383" spans="1:14">
      <c r="A383" s="243"/>
      <c r="B383" s="243"/>
      <c r="C383" s="380">
        <f>C371</f>
        <v>0</v>
      </c>
      <c r="D383" s="380">
        <f>D371</f>
        <v>0</v>
      </c>
      <c r="E383" s="380">
        <f>E371</f>
        <v>0</v>
      </c>
      <c r="F383" s="297"/>
      <c r="G383" s="297"/>
      <c r="H383" s="380">
        <f>G383*E383</f>
        <v>0</v>
      </c>
      <c r="I383" s="1190"/>
      <c r="J383" s="1190"/>
      <c r="K383" s="193"/>
      <c r="L383" s="772"/>
      <c r="M383" s="728"/>
      <c r="N383" s="772"/>
    </row>
    <row r="384" spans="1:14" ht="31.5">
      <c r="A384" s="381"/>
      <c r="B384" s="381"/>
      <c r="C384" s="948"/>
      <c r="D384" s="948"/>
      <c r="E384" s="382" t="s">
        <v>183</v>
      </c>
      <c r="F384" s="383">
        <f>SUM(F378:F383)</f>
        <v>49</v>
      </c>
      <c r="G384" s="384">
        <f>SUM(G378:G383)</f>
        <v>588</v>
      </c>
      <c r="H384" s="383">
        <f>SUM(H378:H383)</f>
        <v>379819.60000000003</v>
      </c>
      <c r="I384" s="192"/>
      <c r="J384" s="207"/>
      <c r="K384" s="207"/>
      <c r="L384" s="772"/>
      <c r="M384" s="728"/>
      <c r="N384" s="772"/>
    </row>
    <row r="385" spans="1:14" ht="72.75" customHeight="1">
      <c r="A385" s="949"/>
      <c r="B385" s="949"/>
      <c r="C385" s="949"/>
      <c r="D385" s="949"/>
      <c r="E385" s="949"/>
      <c r="F385" s="385"/>
      <c r="G385" s="386" t="s">
        <v>549</v>
      </c>
      <c r="H385" s="387">
        <f>I370</f>
        <v>375574.30920000002</v>
      </c>
      <c r="I385" s="192"/>
      <c r="J385" s="207"/>
      <c r="K385" s="207"/>
      <c r="L385" s="772"/>
      <c r="M385" s="728"/>
      <c r="N385" s="772"/>
    </row>
    <row r="386" spans="1:14" ht="37.5" customHeight="1">
      <c r="A386" s="192"/>
      <c r="B386" s="192"/>
      <c r="C386" s="192"/>
      <c r="D386" s="192"/>
      <c r="E386" s="192"/>
      <c r="F386" s="192"/>
      <c r="G386" s="192"/>
      <c r="H386" s="369">
        <f>H384-H361</f>
        <v>4245.290800000017</v>
      </c>
      <c r="I386" s="1178" t="s">
        <v>550</v>
      </c>
      <c r="J386" s="1178"/>
      <c r="K386" s="388"/>
      <c r="L386" s="772"/>
      <c r="M386" s="728"/>
      <c r="N386" s="772"/>
    </row>
    <row r="387" spans="1:14" hidden="1">
      <c r="L387" s="634"/>
    </row>
    <row r="388" spans="1:14">
      <c r="L388" s="634"/>
    </row>
    <row r="389" spans="1:14" ht="52.5">
      <c r="B389" s="974" t="s">
        <v>833</v>
      </c>
      <c r="D389" s="809"/>
      <c r="L389" s="634"/>
    </row>
    <row r="390" spans="1:14">
      <c r="L390" s="634"/>
    </row>
    <row r="391" spans="1:14" ht="21.75" customHeight="1" thickBot="1">
      <c r="A391" s="215"/>
      <c r="B391" s="215"/>
      <c r="C391" s="215"/>
      <c r="D391" s="1179" t="s">
        <v>553</v>
      </c>
      <c r="E391" s="1180"/>
      <c r="F391" s="1180"/>
      <c r="G391" s="1180"/>
      <c r="H391" s="1181"/>
      <c r="L391" s="634"/>
    </row>
    <row r="392" spans="1:14" ht="132" customHeight="1" thickBot="1">
      <c r="A392" s="1353" t="s">
        <v>838</v>
      </c>
      <c r="B392" s="1354"/>
      <c r="C392" s="1355"/>
      <c r="D392" s="958" t="s">
        <v>555</v>
      </c>
      <c r="E392" s="950">
        <v>2</v>
      </c>
      <c r="F392" s="950">
        <v>3</v>
      </c>
      <c r="G392" s="950">
        <v>4</v>
      </c>
      <c r="H392" s="950">
        <v>5</v>
      </c>
      <c r="J392" s="810"/>
      <c r="K392" s="810"/>
      <c r="L392" s="634"/>
    </row>
    <row r="393" spans="1:14" ht="63" customHeight="1">
      <c r="A393" s="1185" t="s">
        <v>556</v>
      </c>
      <c r="B393" s="1186"/>
      <c r="C393" s="1187"/>
      <c r="D393" s="393">
        <v>2023</v>
      </c>
      <c r="E393" s="394">
        <f>D393+1</f>
        <v>2024</v>
      </c>
      <c r="F393" s="394">
        <f>E393+1</f>
        <v>2025</v>
      </c>
      <c r="G393" s="394">
        <f>F393+1</f>
        <v>2026</v>
      </c>
      <c r="H393" s="394">
        <f>G393+1</f>
        <v>2027</v>
      </c>
    </row>
    <row r="394" spans="1:14" ht="72" customHeight="1">
      <c r="A394" s="1169" t="s">
        <v>557</v>
      </c>
      <c r="B394" s="1170"/>
      <c r="C394" s="1171"/>
      <c r="D394" s="940" t="s">
        <v>558</v>
      </c>
      <c r="E394" s="396">
        <v>0.05</v>
      </c>
      <c r="F394" s="396">
        <v>0.06</v>
      </c>
      <c r="G394" s="396">
        <v>7.0000000000000007E-2</v>
      </c>
      <c r="H394" s="396">
        <v>0.08</v>
      </c>
    </row>
    <row r="395" spans="1:14" ht="61.5" customHeight="1">
      <c r="A395" s="1172" t="s">
        <v>559</v>
      </c>
      <c r="B395" s="1173"/>
      <c r="C395" s="1174"/>
      <c r="D395" s="940" t="s">
        <v>558</v>
      </c>
      <c r="E395" s="397">
        <v>1.05</v>
      </c>
      <c r="F395" s="397">
        <v>1.06</v>
      </c>
      <c r="G395" s="397">
        <v>1.07</v>
      </c>
      <c r="H395" s="397">
        <v>1.08</v>
      </c>
    </row>
    <row r="396" spans="1:14" ht="23.25">
      <c r="A396" s="951"/>
      <c r="B396" s="399"/>
      <c r="C396" s="952"/>
      <c r="D396" s="401" t="s">
        <v>553</v>
      </c>
      <c r="E396" s="402">
        <v>2024</v>
      </c>
      <c r="F396" s="402">
        <v>2025</v>
      </c>
      <c r="G396" s="402">
        <v>2026</v>
      </c>
      <c r="H396" s="402">
        <v>2027</v>
      </c>
      <c r="K396" s="980"/>
      <c r="L396" s="812"/>
    </row>
    <row r="397" spans="1:14" ht="68.25" customHeight="1">
      <c r="A397" s="1169" t="s">
        <v>560</v>
      </c>
      <c r="B397" s="1170"/>
      <c r="C397" s="1171"/>
      <c r="D397" s="940" t="s">
        <v>558</v>
      </c>
      <c r="E397" s="396">
        <v>0.01</v>
      </c>
      <c r="F397" s="396">
        <v>1.4999999999999999E-2</v>
      </c>
      <c r="G397" s="396">
        <v>0.02</v>
      </c>
      <c r="H397" s="396">
        <v>2.5000000000000001E-2</v>
      </c>
      <c r="I397" s="813"/>
      <c r="J397" s="813"/>
      <c r="K397" s="813"/>
      <c r="L397" s="634"/>
    </row>
    <row r="398" spans="1:14" ht="50.25" customHeight="1">
      <c r="A398" s="1172" t="s">
        <v>561</v>
      </c>
      <c r="B398" s="1173"/>
      <c r="C398" s="1174"/>
      <c r="D398" s="940" t="s">
        <v>558</v>
      </c>
      <c r="E398" s="944">
        <v>1.01</v>
      </c>
      <c r="F398" s="944">
        <v>1.0149999999999999</v>
      </c>
      <c r="G398" s="944">
        <v>1.02</v>
      </c>
      <c r="H398" s="405">
        <v>1.0249999999999999</v>
      </c>
      <c r="I398" s="813"/>
      <c r="J398" s="815"/>
      <c r="K398" s="815"/>
      <c r="L398" s="634"/>
    </row>
    <row r="399" spans="1:14" ht="28.5">
      <c r="A399" s="345"/>
      <c r="B399" s="345"/>
      <c r="C399" s="345"/>
      <c r="D399" s="952" t="s">
        <v>553</v>
      </c>
      <c r="E399" s="402">
        <f>E396</f>
        <v>2024</v>
      </c>
      <c r="F399" s="402">
        <f>F396</f>
        <v>2025</v>
      </c>
      <c r="G399" s="402">
        <f>G396</f>
        <v>2026</v>
      </c>
      <c r="H399" s="402">
        <f>H396</f>
        <v>2027</v>
      </c>
      <c r="I399" s="813"/>
      <c r="J399" s="813"/>
      <c r="K399" s="813"/>
      <c r="L399" s="634"/>
    </row>
    <row r="400" spans="1:14" ht="78.75" customHeight="1">
      <c r="A400" s="1169" t="s">
        <v>562</v>
      </c>
      <c r="B400" s="1170"/>
      <c r="C400" s="1171"/>
      <c r="D400" s="947" t="s">
        <v>558</v>
      </c>
      <c r="E400" s="407">
        <v>0.05</v>
      </c>
      <c r="F400" s="407">
        <v>7.0000000000000007E-2</v>
      </c>
      <c r="G400" s="407">
        <v>0.09</v>
      </c>
      <c r="H400" s="407">
        <v>0.11</v>
      </c>
      <c r="I400" s="813"/>
      <c r="J400" s="813"/>
      <c r="K400" s="816"/>
      <c r="L400" s="634"/>
    </row>
    <row r="401" spans="1:12" ht="45.75" customHeight="1">
      <c r="A401" s="1172" t="s">
        <v>563</v>
      </c>
      <c r="B401" s="1173"/>
      <c r="C401" s="1174"/>
      <c r="D401" s="947" t="s">
        <v>558</v>
      </c>
      <c r="E401" s="959">
        <v>1.05</v>
      </c>
      <c r="F401" s="959">
        <v>1.07</v>
      </c>
      <c r="G401" s="959">
        <v>1.0900000000000001</v>
      </c>
      <c r="H401" s="959">
        <v>1.1100000000000001</v>
      </c>
      <c r="I401" s="813"/>
      <c r="J401" s="813"/>
      <c r="K401" s="813"/>
      <c r="L401" s="634"/>
    </row>
    <row r="402" spans="1:12" ht="28.5">
      <c r="A402" s="345"/>
      <c r="B402" s="345"/>
      <c r="C402" s="345"/>
      <c r="D402" s="952" t="s">
        <v>553</v>
      </c>
      <c r="E402" s="408">
        <f>E399</f>
        <v>2024</v>
      </c>
      <c r="F402" s="408">
        <f>F399</f>
        <v>2025</v>
      </c>
      <c r="G402" s="408">
        <f>G399</f>
        <v>2026</v>
      </c>
      <c r="H402" s="408">
        <f>H399</f>
        <v>2027</v>
      </c>
      <c r="I402" s="813"/>
      <c r="J402" s="813"/>
      <c r="K402" s="813"/>
      <c r="L402" s="634"/>
    </row>
    <row r="403" spans="1:12" ht="57" customHeight="1">
      <c r="A403" s="1175" t="s">
        <v>564</v>
      </c>
      <c r="B403" s="1176"/>
      <c r="C403" s="1177"/>
      <c r="D403" s="947" t="s">
        <v>558</v>
      </c>
      <c r="E403" s="407">
        <v>0.02</v>
      </c>
      <c r="F403" s="407">
        <v>0.02</v>
      </c>
      <c r="G403" s="407">
        <v>0.02</v>
      </c>
      <c r="H403" s="407">
        <v>0.02</v>
      </c>
      <c r="I403" s="813"/>
      <c r="J403" s="813"/>
      <c r="K403" s="816"/>
      <c r="L403" s="634"/>
    </row>
    <row r="404" spans="1:12" ht="39.75" customHeight="1">
      <c r="A404" s="1172" t="s">
        <v>565</v>
      </c>
      <c r="B404" s="1173"/>
      <c r="C404" s="1174"/>
      <c r="D404" s="947" t="s">
        <v>558</v>
      </c>
      <c r="E404" s="409">
        <v>1.02</v>
      </c>
      <c r="F404" s="959">
        <v>1.02</v>
      </c>
      <c r="G404" s="409">
        <v>1.02</v>
      </c>
      <c r="H404" s="409">
        <v>1.02</v>
      </c>
      <c r="L404" s="634"/>
    </row>
    <row r="405" spans="1:12">
      <c r="L405" s="634"/>
    </row>
    <row r="406" spans="1:12">
      <c r="L406" s="634"/>
    </row>
    <row r="407" spans="1:12">
      <c r="L407" s="634"/>
    </row>
    <row r="409" spans="1:12" ht="60" customHeight="1">
      <c r="A409" s="759">
        <v>1</v>
      </c>
      <c r="B409" s="1352" t="s">
        <v>566</v>
      </c>
      <c r="C409" s="1287"/>
      <c r="D409" s="1287"/>
      <c r="E409" s="1287"/>
      <c r="F409" s="1287"/>
      <c r="G409" s="1287"/>
      <c r="H409" s="1287"/>
    </row>
    <row r="411" spans="1:12">
      <c r="B411" s="731"/>
      <c r="C411" s="731"/>
      <c r="D411" s="731"/>
      <c r="E411" s="731"/>
      <c r="F411" s="776" t="s">
        <v>567</v>
      </c>
      <c r="G411" s="776" t="s">
        <v>567</v>
      </c>
      <c r="H411" s="776" t="s">
        <v>567</v>
      </c>
      <c r="I411" s="776" t="s">
        <v>567</v>
      </c>
      <c r="J411" s="776" t="s">
        <v>567</v>
      </c>
    </row>
    <row r="412" spans="1:12">
      <c r="B412" s="731"/>
      <c r="C412" s="731"/>
      <c r="D412" s="731"/>
      <c r="E412" s="731"/>
      <c r="F412" s="817">
        <v>1</v>
      </c>
      <c r="G412" s="817">
        <v>2</v>
      </c>
      <c r="H412" s="817">
        <v>3</v>
      </c>
      <c r="I412" s="817">
        <v>4</v>
      </c>
      <c r="J412" s="817">
        <v>5</v>
      </c>
    </row>
    <row r="413" spans="1:12" ht="63" customHeight="1">
      <c r="B413" s="1287" t="s">
        <v>568</v>
      </c>
      <c r="C413" s="1287"/>
      <c r="D413" s="1287"/>
      <c r="E413" s="774"/>
      <c r="F413" s="972">
        <f>D393</f>
        <v>2023</v>
      </c>
      <c r="G413" s="972">
        <f>E393</f>
        <v>2024</v>
      </c>
      <c r="H413" s="972">
        <f>F393</f>
        <v>2025</v>
      </c>
      <c r="I413" s="972">
        <f>G393</f>
        <v>2026</v>
      </c>
      <c r="J413" s="972">
        <f>H393</f>
        <v>2027</v>
      </c>
    </row>
    <row r="414" spans="1:12">
      <c r="B414" s="731"/>
      <c r="C414" s="731"/>
      <c r="D414" s="731"/>
      <c r="E414" s="731"/>
      <c r="F414" s="731"/>
      <c r="G414" s="731"/>
      <c r="H414" s="731"/>
      <c r="I414" s="731"/>
      <c r="J414" s="731"/>
    </row>
    <row r="415" spans="1:12" ht="21" customHeight="1">
      <c r="B415" s="1166" t="s">
        <v>570</v>
      </c>
      <c r="C415" s="1166"/>
      <c r="D415" s="1166"/>
      <c r="E415" s="1166"/>
      <c r="F415" s="215"/>
      <c r="G415" s="411">
        <f>E395</f>
        <v>1.05</v>
      </c>
      <c r="H415" s="411">
        <f>F395</f>
        <v>1.06</v>
      </c>
      <c r="I415" s="411">
        <f>G395</f>
        <v>1.07</v>
      </c>
      <c r="J415" s="411">
        <f>H395</f>
        <v>1.08</v>
      </c>
    </row>
    <row r="416" spans="1:12" ht="21" customHeight="1">
      <c r="B416" s="1166" t="s">
        <v>569</v>
      </c>
      <c r="C416" s="1166"/>
      <c r="D416" s="1166"/>
      <c r="E416" s="1166"/>
      <c r="F416" s="215"/>
      <c r="G416" s="411">
        <f>E395</f>
        <v>1.05</v>
      </c>
      <c r="H416" s="411">
        <f>F395</f>
        <v>1.06</v>
      </c>
      <c r="I416" s="411">
        <f>G395</f>
        <v>1.07</v>
      </c>
      <c r="J416" s="411">
        <f>H395</f>
        <v>1.08</v>
      </c>
    </row>
    <row r="417" spans="2:10" ht="21" customHeight="1">
      <c r="B417" s="1166" t="s">
        <v>571</v>
      </c>
      <c r="C417" s="1166"/>
      <c r="D417" s="1166"/>
      <c r="E417" s="1166"/>
      <c r="F417" s="215"/>
      <c r="G417" s="411">
        <f>+E395</f>
        <v>1.05</v>
      </c>
      <c r="H417" s="411">
        <f t="shared" ref="H417:J417" si="31">+F395</f>
        <v>1.06</v>
      </c>
      <c r="I417" s="411">
        <f t="shared" si="31"/>
        <v>1.07</v>
      </c>
      <c r="J417" s="411">
        <f t="shared" si="31"/>
        <v>1.08</v>
      </c>
    </row>
    <row r="418" spans="2:10" ht="21" customHeight="1">
      <c r="B418" s="1166" t="s">
        <v>834</v>
      </c>
      <c r="C418" s="1166"/>
      <c r="D418" s="1166"/>
      <c r="E418" s="1166"/>
      <c r="F418" s="215"/>
      <c r="G418" s="411">
        <f>E398</f>
        <v>1.01</v>
      </c>
      <c r="H418" s="411">
        <f>F398</f>
        <v>1.0149999999999999</v>
      </c>
      <c r="I418" s="411">
        <f>G398</f>
        <v>1.02</v>
      </c>
      <c r="J418" s="411">
        <f>H398</f>
        <v>1.0249999999999999</v>
      </c>
    </row>
    <row r="419" spans="2:10">
      <c r="B419" s="1166" t="s">
        <v>835</v>
      </c>
      <c r="C419" s="1166"/>
      <c r="D419" s="1166"/>
      <c r="E419" s="1166"/>
      <c r="F419" s="215"/>
      <c r="G419" s="411">
        <f>E398</f>
        <v>1.01</v>
      </c>
      <c r="H419" s="411">
        <f>F398</f>
        <v>1.0149999999999999</v>
      </c>
      <c r="I419" s="411">
        <f>G398</f>
        <v>1.02</v>
      </c>
      <c r="J419" s="411">
        <f>H398</f>
        <v>1.0249999999999999</v>
      </c>
    </row>
    <row r="420" spans="2:10">
      <c r="B420" s="1166" t="s">
        <v>574</v>
      </c>
      <c r="C420" s="1166"/>
      <c r="D420" s="1166"/>
      <c r="E420" s="1166"/>
      <c r="F420" s="215"/>
      <c r="G420" s="411">
        <f>+E398</f>
        <v>1.01</v>
      </c>
      <c r="H420" s="411">
        <f t="shared" ref="H420:J420" si="32">+F398</f>
        <v>1.0149999999999999</v>
      </c>
      <c r="I420" s="411">
        <f t="shared" si="32"/>
        <v>1.02</v>
      </c>
      <c r="J420" s="411">
        <f t="shared" si="32"/>
        <v>1.0249999999999999</v>
      </c>
    </row>
    <row r="421" spans="2:10">
      <c r="B421" s="215"/>
      <c r="C421" s="215"/>
      <c r="D421" s="215"/>
      <c r="E421" s="215"/>
      <c r="F421" s="215"/>
      <c r="G421" s="412"/>
      <c r="H421" s="412"/>
      <c r="I421" s="412"/>
      <c r="J421" s="412"/>
    </row>
    <row r="422" spans="2:10" ht="42" customHeight="1">
      <c r="B422" s="1287" t="s">
        <v>575</v>
      </c>
      <c r="C422" s="1287"/>
      <c r="D422" s="731"/>
      <c r="E422" s="731"/>
      <c r="F422" s="731"/>
      <c r="G422" s="731"/>
      <c r="H422" s="731"/>
      <c r="I422" s="731"/>
      <c r="J422" s="731"/>
    </row>
    <row r="423" spans="2:10" ht="37.5">
      <c r="B423" s="1167" t="s">
        <v>536</v>
      </c>
      <c r="C423" s="1167"/>
      <c r="D423" s="1167"/>
      <c r="E423" s="413" t="s">
        <v>576</v>
      </c>
      <c r="F423" s="987">
        <v>287.97599999999994</v>
      </c>
      <c r="G423" s="987">
        <v>297.09663188399992</v>
      </c>
      <c r="H423" s="987">
        <v>306.81050336007917</v>
      </c>
      <c r="I423" s="987">
        <v>317.15630693863267</v>
      </c>
      <c r="J423" s="987">
        <v>328.17590282321544</v>
      </c>
    </row>
    <row r="424" spans="2:10" ht="37.5">
      <c r="B424" s="1167" t="s">
        <v>538</v>
      </c>
      <c r="C424" s="1167"/>
      <c r="D424" s="1167"/>
      <c r="E424" s="413" t="s">
        <v>577</v>
      </c>
      <c r="F424" s="987">
        <v>383.99640000000005</v>
      </c>
      <c r="G424" s="987">
        <v>396.1581419826</v>
      </c>
      <c r="H424" s="987">
        <v>409.11092859286305</v>
      </c>
      <c r="I424" s="987">
        <v>422.90635366047866</v>
      </c>
      <c r="J424" s="987">
        <v>437.60023491841201</v>
      </c>
    </row>
    <row r="425" spans="2:10" ht="37.5">
      <c r="B425" s="1167" t="s">
        <v>380</v>
      </c>
      <c r="C425" s="1167"/>
      <c r="D425" s="1167"/>
      <c r="E425" s="413" t="s">
        <v>578</v>
      </c>
      <c r="F425" s="987">
        <v>180.02759999999998</v>
      </c>
      <c r="G425" s="987">
        <v>185.72934413339993</v>
      </c>
      <c r="H425" s="987">
        <v>191.80195076918557</v>
      </c>
      <c r="I425" s="987">
        <v>198.26960845009788</v>
      </c>
      <c r="J425" s="987">
        <v>205.15848599569654</v>
      </c>
    </row>
    <row r="426" spans="2:10">
      <c r="B426" s="731"/>
      <c r="C426" s="731"/>
      <c r="D426" s="731"/>
      <c r="E426" s="731"/>
      <c r="F426" s="731"/>
      <c r="G426" s="731"/>
      <c r="H426" s="731"/>
      <c r="I426" s="731"/>
      <c r="J426" s="731"/>
    </row>
    <row r="427" spans="2:10" ht="63" customHeight="1">
      <c r="B427" s="1287" t="s">
        <v>579</v>
      </c>
      <c r="C427" s="1287"/>
      <c r="D427" s="1287"/>
      <c r="E427" s="731"/>
      <c r="F427" s="731"/>
      <c r="G427" s="731"/>
      <c r="H427" s="731"/>
      <c r="I427" s="731"/>
      <c r="J427" s="731"/>
    </row>
    <row r="428" spans="2:10">
      <c r="B428" s="731"/>
      <c r="C428" s="731"/>
      <c r="D428" s="731"/>
      <c r="E428" s="731"/>
      <c r="F428" s="731"/>
      <c r="G428" s="731"/>
      <c r="H428" s="731"/>
      <c r="I428" s="731"/>
      <c r="J428" s="731"/>
    </row>
    <row r="429" spans="2:10" ht="21" customHeight="1">
      <c r="B429" s="1166" t="s">
        <v>827</v>
      </c>
      <c r="C429" s="1166"/>
      <c r="D429" s="1166"/>
      <c r="E429" s="1166"/>
      <c r="F429" s="215"/>
      <c r="G429" s="414">
        <f>E401</f>
        <v>1.05</v>
      </c>
      <c r="H429" s="414">
        <f>F401</f>
        <v>1.07</v>
      </c>
      <c r="I429" s="414">
        <f>G401</f>
        <v>1.0900000000000001</v>
      </c>
      <c r="J429" s="414">
        <f>H401</f>
        <v>1.1100000000000001</v>
      </c>
    </row>
    <row r="430" spans="2:10" ht="21" customHeight="1">
      <c r="B430" s="1166" t="s">
        <v>825</v>
      </c>
      <c r="C430" s="1166"/>
      <c r="D430" s="1166"/>
      <c r="E430" s="1166"/>
      <c r="F430" s="215"/>
      <c r="G430" s="414">
        <f>E401</f>
        <v>1.05</v>
      </c>
      <c r="H430" s="414">
        <f>F401</f>
        <v>1.07</v>
      </c>
      <c r="I430" s="414">
        <f>G401</f>
        <v>1.0900000000000001</v>
      </c>
      <c r="J430" s="414">
        <f>H401</f>
        <v>1.1100000000000001</v>
      </c>
    </row>
    <row r="431" spans="2:10" ht="21" customHeight="1">
      <c r="B431" s="1166" t="s">
        <v>826</v>
      </c>
      <c r="C431" s="1166"/>
      <c r="D431" s="1166"/>
      <c r="E431" s="1166"/>
      <c r="F431" s="215"/>
      <c r="G431" s="414">
        <f>+E401</f>
        <v>1.05</v>
      </c>
      <c r="H431" s="414">
        <f t="shared" ref="H431:J431" si="33">+F401</f>
        <v>1.07</v>
      </c>
      <c r="I431" s="414">
        <f t="shared" si="33"/>
        <v>1.0900000000000001</v>
      </c>
      <c r="J431" s="414">
        <f t="shared" si="33"/>
        <v>1.1100000000000001</v>
      </c>
    </row>
    <row r="432" spans="2:10">
      <c r="B432" s="731"/>
      <c r="C432" s="731"/>
      <c r="D432" s="731"/>
      <c r="E432" s="731"/>
      <c r="F432" s="731"/>
      <c r="G432" s="818"/>
      <c r="H432" s="818"/>
      <c r="I432" s="818"/>
      <c r="J432" s="818"/>
    </row>
    <row r="433" spans="1:11" ht="37.5" customHeight="1">
      <c r="B433" s="1156" t="s">
        <v>581</v>
      </c>
      <c r="C433" s="1156"/>
      <c r="D433" s="1156"/>
      <c r="E433" s="413" t="s">
        <v>576</v>
      </c>
      <c r="F433" s="416">
        <f>C19</f>
        <v>2048.5</v>
      </c>
      <c r="G433" s="416">
        <f>F433*G429</f>
        <v>2150.9250000000002</v>
      </c>
      <c r="H433" s="416">
        <f t="shared" ref="H433:J433" si="34">G433*H429</f>
        <v>2301.4897500000002</v>
      </c>
      <c r="I433" s="416">
        <f t="shared" si="34"/>
        <v>2508.6238275000005</v>
      </c>
      <c r="J433" s="416">
        <f t="shared" si="34"/>
        <v>2784.5724485250007</v>
      </c>
    </row>
    <row r="434" spans="1:11" ht="37.5" customHeight="1">
      <c r="B434" s="1156" t="s">
        <v>580</v>
      </c>
      <c r="C434" s="1156"/>
      <c r="D434" s="1156"/>
      <c r="E434" s="413" t="s">
        <v>577</v>
      </c>
      <c r="F434" s="416">
        <f>D19</f>
        <v>1311</v>
      </c>
      <c r="G434" s="416">
        <f t="shared" ref="G434:J435" si="35">F434*G430</f>
        <v>1376.55</v>
      </c>
      <c r="H434" s="416">
        <f t="shared" si="35"/>
        <v>1472.9085</v>
      </c>
      <c r="I434" s="416">
        <f t="shared" si="35"/>
        <v>1605.4702650000002</v>
      </c>
      <c r="J434" s="416">
        <f t="shared" si="35"/>
        <v>1782.0719941500004</v>
      </c>
    </row>
    <row r="435" spans="1:11" ht="37.5" customHeight="1">
      <c r="B435" s="1156" t="s">
        <v>582</v>
      </c>
      <c r="C435" s="1156"/>
      <c r="D435" s="1156"/>
      <c r="E435" s="413" t="s">
        <v>578</v>
      </c>
      <c r="F435" s="416">
        <f>G19</f>
        <v>783.33333333333337</v>
      </c>
      <c r="G435" s="416">
        <f t="shared" si="35"/>
        <v>822.50000000000011</v>
      </c>
      <c r="H435" s="416">
        <f t="shared" si="35"/>
        <v>880.07500000000016</v>
      </c>
      <c r="I435" s="416">
        <f t="shared" si="35"/>
        <v>959.28175000000022</v>
      </c>
      <c r="J435" s="416">
        <f t="shared" si="35"/>
        <v>1064.8027425000002</v>
      </c>
    </row>
    <row r="436" spans="1:11">
      <c r="B436" s="819"/>
      <c r="C436" s="819"/>
      <c r="D436" s="819"/>
      <c r="E436" s="819"/>
      <c r="F436" s="820"/>
      <c r="G436" s="820"/>
      <c r="H436" s="820"/>
      <c r="I436" s="820"/>
      <c r="J436" s="820"/>
    </row>
    <row r="437" spans="1:11" ht="58.5" customHeight="1">
      <c r="B437" s="1306" t="s">
        <v>583</v>
      </c>
      <c r="C437" s="1307"/>
      <c r="D437" s="1307"/>
      <c r="E437" s="1307"/>
      <c r="F437" s="1307"/>
      <c r="G437" s="1307"/>
      <c r="H437" s="1307"/>
      <c r="I437" s="1307"/>
      <c r="J437" s="1308"/>
    </row>
    <row r="438" spans="1:11">
      <c r="B438" s="821"/>
      <c r="C438" s="821"/>
      <c r="D438" s="821"/>
      <c r="E438" s="821"/>
      <c r="F438" s="822" t="s">
        <v>521</v>
      </c>
      <c r="G438" s="822" t="s">
        <v>521</v>
      </c>
      <c r="H438" s="822" t="s">
        <v>521</v>
      </c>
      <c r="I438" s="823" t="s">
        <v>521</v>
      </c>
      <c r="J438" s="823" t="s">
        <v>521</v>
      </c>
    </row>
    <row r="439" spans="1:11" ht="84" customHeight="1">
      <c r="B439" s="1309" t="s">
        <v>584</v>
      </c>
      <c r="C439" s="1309"/>
      <c r="D439" s="1309"/>
      <c r="E439" s="1309"/>
      <c r="F439" s="975">
        <f>F413</f>
        <v>2023</v>
      </c>
      <c r="G439" s="975">
        <f>G413</f>
        <v>2024</v>
      </c>
      <c r="H439" s="975">
        <f>H413</f>
        <v>2025</v>
      </c>
      <c r="I439" s="975">
        <f>I413</f>
        <v>2026</v>
      </c>
      <c r="J439" s="975">
        <f>J413</f>
        <v>2027</v>
      </c>
    </row>
    <row r="440" spans="1:11">
      <c r="B440" s="1162" t="s">
        <v>538</v>
      </c>
      <c r="C440" s="1163"/>
      <c r="D440" s="1163"/>
      <c r="E440" s="1164"/>
      <c r="F440" s="283">
        <f>P208</f>
        <v>589918.83600000001</v>
      </c>
      <c r="G440" s="283">
        <f>G423*G433</f>
        <v>639032.57293509261</v>
      </c>
      <c r="H440" s="283">
        <f t="shared" ref="H440:J440" si="36">H423*H433</f>
        <v>706121.22867556277</v>
      </c>
      <c r="I440" s="283">
        <f t="shared" si="36"/>
        <v>795625.86862815765</v>
      </c>
      <c r="J440" s="283">
        <f t="shared" si="36"/>
        <v>913829.57727134367</v>
      </c>
    </row>
    <row r="441" spans="1:11">
      <c r="B441" s="1162" t="s">
        <v>536</v>
      </c>
      <c r="C441" s="1163"/>
      <c r="D441" s="1163"/>
      <c r="E441" s="1164"/>
      <c r="F441" s="283">
        <f>P209</f>
        <v>503419.28040000005</v>
      </c>
      <c r="G441" s="283">
        <f t="shared" ref="G441:J442" si="37">G424*G434</f>
        <v>545331.49034614803</v>
      </c>
      <c r="H441" s="283">
        <f t="shared" si="37"/>
        <v>602582.96416732098</v>
      </c>
      <c r="I441" s="283">
        <f t="shared" si="37"/>
        <v>678963.57568147243</v>
      </c>
      <c r="J441" s="283">
        <f t="shared" si="37"/>
        <v>779835.12328156317</v>
      </c>
    </row>
    <row r="442" spans="1:11">
      <c r="B442" s="1162" t="s">
        <v>830</v>
      </c>
      <c r="C442" s="1163"/>
      <c r="D442" s="1163"/>
      <c r="E442" s="1164"/>
      <c r="F442" s="283">
        <f>P210</f>
        <v>141021.62000000002</v>
      </c>
      <c r="G442" s="283">
        <f t="shared" si="37"/>
        <v>152762.38554972145</v>
      </c>
      <c r="H442" s="283">
        <f t="shared" si="37"/>
        <v>168800.10182319101</v>
      </c>
      <c r="I442" s="283">
        <f t="shared" si="37"/>
        <v>190196.41696582473</v>
      </c>
      <c r="J442" s="283">
        <f t="shared" si="37"/>
        <v>218453.31853536557</v>
      </c>
    </row>
    <row r="443" spans="1:11" ht="42" customHeight="1">
      <c r="B443" s="1152" t="s">
        <v>585</v>
      </c>
      <c r="C443" s="1153"/>
      <c r="D443" s="1153"/>
      <c r="E443" s="1154"/>
      <c r="F443" s="283">
        <f>SUM(F440:F442)</f>
        <v>1234359.7364000003</v>
      </c>
      <c r="G443" s="283">
        <f>SUM(G440:G442)</f>
        <v>1337126.4488309622</v>
      </c>
      <c r="H443" s="283">
        <f t="shared" ref="H443:J443" si="38">SUM(H440:H442)</f>
        <v>1477504.2946660747</v>
      </c>
      <c r="I443" s="283">
        <f t="shared" si="38"/>
        <v>1664785.8612754548</v>
      </c>
      <c r="J443" s="283">
        <f t="shared" si="38"/>
        <v>1912118.0190882725</v>
      </c>
    </row>
    <row r="444" spans="1:11">
      <c r="B444" s="731"/>
      <c r="C444" s="731"/>
      <c r="D444" s="731"/>
      <c r="E444" s="731"/>
      <c r="F444" s="731"/>
      <c r="G444" s="731"/>
      <c r="H444" s="731"/>
      <c r="I444" s="731"/>
      <c r="J444" s="731"/>
      <c r="K444" s="635" t="s">
        <v>586</v>
      </c>
    </row>
    <row r="445" spans="1:11">
      <c r="B445" s="731"/>
      <c r="C445" s="731"/>
      <c r="D445" s="731"/>
      <c r="E445" s="731"/>
      <c r="F445" s="731"/>
      <c r="G445" s="731"/>
      <c r="H445" s="731"/>
      <c r="I445" s="731"/>
      <c r="J445" s="731"/>
    </row>
    <row r="446" spans="1:11">
      <c r="B446" s="731"/>
      <c r="C446" s="731"/>
      <c r="D446" s="731"/>
      <c r="E446" s="731"/>
      <c r="F446" s="731"/>
      <c r="G446" s="731"/>
      <c r="H446" s="731"/>
      <c r="I446" s="731"/>
      <c r="J446" s="731"/>
    </row>
    <row r="447" spans="1:11">
      <c r="B447" s="731"/>
      <c r="C447" s="731"/>
      <c r="D447" s="731"/>
      <c r="E447" s="731"/>
      <c r="F447" s="731"/>
      <c r="G447" s="731"/>
      <c r="H447" s="731"/>
      <c r="I447" s="731"/>
      <c r="J447" s="731"/>
    </row>
    <row r="448" spans="1:11" ht="59.25" customHeight="1">
      <c r="A448" s="759">
        <v>2</v>
      </c>
      <c r="B448" s="1289" t="s">
        <v>587</v>
      </c>
      <c r="C448" s="1289"/>
      <c r="D448" s="1289"/>
      <c r="E448" s="1289"/>
      <c r="F448" s="1289"/>
      <c r="G448" s="1289"/>
      <c r="H448" s="1289"/>
      <c r="I448" s="1289"/>
      <c r="J448" s="1289"/>
    </row>
    <row r="449" spans="2:10">
      <c r="B449" s="761"/>
      <c r="C449" s="761"/>
      <c r="D449" s="761"/>
      <c r="E449" s="761"/>
      <c r="F449" s="634"/>
    </row>
    <row r="450" spans="2:10">
      <c r="B450" s="819"/>
      <c r="C450" s="819"/>
      <c r="D450" s="819"/>
      <c r="E450" s="819"/>
      <c r="F450" s="824" t="s">
        <v>521</v>
      </c>
      <c r="G450" s="824" t="s">
        <v>521</v>
      </c>
      <c r="H450" s="824" t="s">
        <v>521</v>
      </c>
      <c r="I450" s="824" t="s">
        <v>521</v>
      </c>
      <c r="J450" s="824" t="s">
        <v>521</v>
      </c>
    </row>
    <row r="451" spans="2:10">
      <c r="B451" s="819"/>
      <c r="C451" s="819"/>
      <c r="D451" s="819"/>
      <c r="E451" s="819"/>
      <c r="F451" s="825">
        <v>1</v>
      </c>
      <c r="G451" s="825">
        <v>2</v>
      </c>
      <c r="H451" s="825">
        <v>3</v>
      </c>
      <c r="I451" s="825">
        <v>4</v>
      </c>
      <c r="J451" s="825">
        <v>5</v>
      </c>
    </row>
    <row r="452" spans="2:10">
      <c r="B452" s="819"/>
      <c r="C452" s="819"/>
      <c r="D452" s="819"/>
      <c r="E452" s="819"/>
      <c r="F452" s="776">
        <f>F439</f>
        <v>2023</v>
      </c>
      <c r="G452" s="776">
        <f>G439</f>
        <v>2024</v>
      </c>
      <c r="H452" s="776">
        <f>H439</f>
        <v>2025</v>
      </c>
      <c r="I452" s="776">
        <f>I439</f>
        <v>2026</v>
      </c>
      <c r="J452" s="776">
        <f>J439</f>
        <v>2027</v>
      </c>
    </row>
    <row r="453" spans="2:10" ht="21" customHeight="1">
      <c r="B453" s="1156" t="s">
        <v>828</v>
      </c>
      <c r="C453" s="1156"/>
      <c r="D453" s="1156"/>
      <c r="E453" s="1156"/>
      <c r="F453" s="986">
        <f t="shared" ref="F453:J454" si="39">F423</f>
        <v>287.97599999999994</v>
      </c>
      <c r="G453" s="986">
        <f t="shared" si="39"/>
        <v>297.09663188399992</v>
      </c>
      <c r="H453" s="986">
        <f t="shared" si="39"/>
        <v>306.81050336007917</v>
      </c>
      <c r="I453" s="986">
        <f t="shared" si="39"/>
        <v>317.15630693863267</v>
      </c>
      <c r="J453" s="986">
        <f t="shared" si="39"/>
        <v>328.17590282321544</v>
      </c>
    </row>
    <row r="454" spans="2:10" ht="21" customHeight="1">
      <c r="B454" s="1156" t="s">
        <v>588</v>
      </c>
      <c r="C454" s="1156"/>
      <c r="D454" s="1156"/>
      <c r="E454" s="1156"/>
      <c r="F454" s="986">
        <f t="shared" si="39"/>
        <v>383.99640000000005</v>
      </c>
      <c r="G454" s="986">
        <f t="shared" si="39"/>
        <v>396.1581419826</v>
      </c>
      <c r="H454" s="986">
        <f t="shared" si="39"/>
        <v>409.11092859286305</v>
      </c>
      <c r="I454" s="986">
        <f t="shared" si="39"/>
        <v>422.90635366047866</v>
      </c>
      <c r="J454" s="986">
        <f t="shared" si="39"/>
        <v>437.60023491841201</v>
      </c>
    </row>
    <row r="455" spans="2:10" ht="21" customHeight="1">
      <c r="B455" s="1156" t="s">
        <v>589</v>
      </c>
      <c r="C455" s="1156"/>
      <c r="D455" s="1156"/>
      <c r="E455" s="1156"/>
      <c r="F455" s="986">
        <f>+F425</f>
        <v>180.02759999999998</v>
      </c>
      <c r="G455" s="986">
        <f t="shared" ref="G455:J455" si="40">+G425</f>
        <v>185.72934413339993</v>
      </c>
      <c r="H455" s="986">
        <f t="shared" si="40"/>
        <v>191.80195076918557</v>
      </c>
      <c r="I455" s="986">
        <f t="shared" si="40"/>
        <v>198.26960845009788</v>
      </c>
      <c r="J455" s="986">
        <f t="shared" si="40"/>
        <v>205.15848599569654</v>
      </c>
    </row>
    <row r="456" spans="2:10">
      <c r="B456" s="819"/>
      <c r="C456" s="819"/>
      <c r="D456" s="819"/>
      <c r="E456" s="819"/>
      <c r="F456" s="826"/>
      <c r="G456" s="826"/>
      <c r="H456" s="826"/>
      <c r="I456" s="826"/>
      <c r="J456" s="826"/>
    </row>
    <row r="457" spans="2:10">
      <c r="B457" s="1350" t="s">
        <v>590</v>
      </c>
      <c r="C457" s="1350"/>
      <c r="D457" s="1350"/>
      <c r="E457" s="1351"/>
      <c r="F457" s="826"/>
      <c r="G457" s="826"/>
      <c r="H457" s="826"/>
      <c r="I457" s="826"/>
      <c r="J457" s="826"/>
    </row>
    <row r="458" spans="2:10">
      <c r="B458" s="819"/>
      <c r="C458" s="819"/>
      <c r="D458" s="819"/>
      <c r="E458" s="819"/>
      <c r="F458" s="799"/>
      <c r="G458" s="799"/>
      <c r="H458" s="799"/>
      <c r="I458" s="799"/>
      <c r="J458" s="799"/>
    </row>
    <row r="459" spans="2:10" ht="21" customHeight="1">
      <c r="B459" s="1156" t="s">
        <v>592</v>
      </c>
      <c r="C459" s="1156"/>
      <c r="D459" s="1156"/>
      <c r="E459" s="1156"/>
      <c r="F459" s="342"/>
      <c r="G459" s="282">
        <f>E404</f>
        <v>1.02</v>
      </c>
      <c r="H459" s="282">
        <f>F404</f>
        <v>1.02</v>
      </c>
      <c r="I459" s="282">
        <f>G404</f>
        <v>1.02</v>
      </c>
      <c r="J459" s="282">
        <f>H404</f>
        <v>1.02</v>
      </c>
    </row>
    <row r="460" spans="2:10" ht="21" customHeight="1">
      <c r="B460" s="1156" t="s">
        <v>591</v>
      </c>
      <c r="C460" s="1156"/>
      <c r="D460" s="1156"/>
      <c r="E460" s="1156"/>
      <c r="F460" s="342"/>
      <c r="G460" s="282">
        <f>E404</f>
        <v>1.02</v>
      </c>
      <c r="H460" s="282">
        <f>F404</f>
        <v>1.02</v>
      </c>
      <c r="I460" s="282">
        <f>G404</f>
        <v>1.02</v>
      </c>
      <c r="J460" s="282">
        <f>H404</f>
        <v>1.02</v>
      </c>
    </row>
    <row r="461" spans="2:10" ht="21" customHeight="1">
      <c r="B461" s="1156" t="s">
        <v>593</v>
      </c>
      <c r="C461" s="1156"/>
      <c r="D461" s="1156"/>
      <c r="E461" s="1156"/>
      <c r="F461" s="342"/>
      <c r="G461" s="282">
        <f>+E404</f>
        <v>1.02</v>
      </c>
      <c r="H461" s="282">
        <f>+F404</f>
        <v>1.02</v>
      </c>
      <c r="I461" s="282">
        <f>+G404</f>
        <v>1.02</v>
      </c>
      <c r="J461" s="282">
        <f>+H404</f>
        <v>1.02</v>
      </c>
    </row>
    <row r="462" spans="2:10">
      <c r="B462" s="819"/>
      <c r="C462" s="819"/>
      <c r="D462" s="819"/>
      <c r="E462" s="819"/>
      <c r="F462" s="803"/>
      <c r="G462" s="803"/>
      <c r="H462" s="803"/>
      <c r="I462" s="803"/>
      <c r="J462" s="803"/>
    </row>
    <row r="463" spans="2:10" ht="21" customHeight="1">
      <c r="B463" s="1156" t="s">
        <v>595</v>
      </c>
      <c r="C463" s="1156"/>
      <c r="D463" s="1156"/>
      <c r="E463" s="1156"/>
      <c r="F463" s="827">
        <f>D245</f>
        <v>1303.8</v>
      </c>
      <c r="G463" s="828">
        <f t="shared" ref="G463:J464" si="41">F463*G459</f>
        <v>1329.876</v>
      </c>
      <c r="H463" s="828">
        <f t="shared" si="41"/>
        <v>1356.47352</v>
      </c>
      <c r="I463" s="828">
        <f t="shared" si="41"/>
        <v>1383.6029904</v>
      </c>
      <c r="J463" s="828">
        <f t="shared" si="41"/>
        <v>1411.275050208</v>
      </c>
    </row>
    <row r="464" spans="2:10" ht="21" customHeight="1">
      <c r="B464" s="1156" t="s">
        <v>594</v>
      </c>
      <c r="C464" s="1156"/>
      <c r="D464" s="1156"/>
      <c r="E464" s="1156"/>
      <c r="F464" s="827">
        <f>D242</f>
        <v>803.8</v>
      </c>
      <c r="G464" s="828">
        <f t="shared" si="41"/>
        <v>819.87599999999998</v>
      </c>
      <c r="H464" s="828">
        <f t="shared" si="41"/>
        <v>836.27351999999996</v>
      </c>
      <c r="I464" s="828">
        <f t="shared" si="41"/>
        <v>852.99899040000003</v>
      </c>
      <c r="J464" s="828">
        <f t="shared" si="41"/>
        <v>870.05897020800001</v>
      </c>
    </row>
    <row r="465" spans="1:10" ht="21" customHeight="1">
      <c r="B465" s="1156" t="s">
        <v>596</v>
      </c>
      <c r="C465" s="1156"/>
      <c r="D465" s="1156"/>
      <c r="E465" s="1156"/>
      <c r="F465" s="827"/>
      <c r="G465" s="828"/>
      <c r="H465" s="828"/>
      <c r="I465" s="828"/>
      <c r="J465" s="828"/>
    </row>
    <row r="466" spans="1:10">
      <c r="B466" s="819"/>
      <c r="C466" s="819"/>
      <c r="D466" s="819"/>
      <c r="E466" s="819"/>
      <c r="F466" s="799"/>
      <c r="G466" s="829"/>
      <c r="H466" s="829"/>
      <c r="I466" s="829"/>
      <c r="J466" s="829"/>
    </row>
    <row r="467" spans="1:10" ht="66.75" customHeight="1">
      <c r="B467" s="1309" t="s">
        <v>597</v>
      </c>
      <c r="C467" s="1309"/>
      <c r="D467" s="1309"/>
      <c r="E467" s="1309"/>
      <c r="F467" s="975">
        <f>F452</f>
        <v>2023</v>
      </c>
      <c r="G467" s="975">
        <f>G452</f>
        <v>2024</v>
      </c>
      <c r="H467" s="975">
        <f>H452</f>
        <v>2025</v>
      </c>
      <c r="I467" s="975">
        <f>I452</f>
        <v>2026</v>
      </c>
      <c r="J467" s="975">
        <f>J452</f>
        <v>2027</v>
      </c>
    </row>
    <row r="468" spans="1:10" ht="21" customHeight="1">
      <c r="B468" s="1152" t="s">
        <v>599</v>
      </c>
      <c r="C468" s="1153"/>
      <c r="D468" s="1153"/>
      <c r="E468" s="1154"/>
      <c r="F468" s="212">
        <f t="shared" ref="F468:J469" si="42">F453*F463</f>
        <v>375463.10879999993</v>
      </c>
      <c r="G468" s="212">
        <f t="shared" si="42"/>
        <v>395101.68042336626</v>
      </c>
      <c r="H468" s="212">
        <f t="shared" si="42"/>
        <v>416180.32346581842</v>
      </c>
      <c r="I468" s="212">
        <f t="shared" si="42"/>
        <v>438818.4147045124</v>
      </c>
      <c r="J468" s="212">
        <f t="shared" si="42"/>
        <v>463146.4637338891</v>
      </c>
    </row>
    <row r="469" spans="1:10" ht="21" customHeight="1">
      <c r="B469" s="1152" t="s">
        <v>598</v>
      </c>
      <c r="C469" s="1153"/>
      <c r="D469" s="1153"/>
      <c r="E469" s="1154"/>
      <c r="F469" s="212">
        <f t="shared" si="42"/>
        <v>308656.30632000003</v>
      </c>
      <c r="G469" s="212">
        <f t="shared" si="42"/>
        <v>324800.55281612615</v>
      </c>
      <c r="H469" s="212">
        <f t="shared" si="42"/>
        <v>342128.6363248222</v>
      </c>
      <c r="I469" s="212">
        <f t="shared" si="42"/>
        <v>360738.69270613365</v>
      </c>
      <c r="J469" s="212">
        <f t="shared" si="42"/>
        <v>380738.00975589245</v>
      </c>
    </row>
    <row r="470" spans="1:10" ht="21" customHeight="1">
      <c r="B470" s="1152" t="s">
        <v>600</v>
      </c>
      <c r="C470" s="1153"/>
      <c r="D470" s="1153"/>
      <c r="E470" s="1154"/>
      <c r="F470" s="212">
        <f>+F455*F465</f>
        <v>0</v>
      </c>
      <c r="G470" s="212">
        <f t="shared" ref="G470:J470" si="43">+G455*G465</f>
        <v>0</v>
      </c>
      <c r="H470" s="212">
        <f t="shared" si="43"/>
        <v>0</v>
      </c>
      <c r="I470" s="212">
        <f t="shared" si="43"/>
        <v>0</v>
      </c>
      <c r="J470" s="212">
        <f t="shared" si="43"/>
        <v>0</v>
      </c>
    </row>
    <row r="471" spans="1:10" ht="42" customHeight="1">
      <c r="B471" s="1320" t="s">
        <v>601</v>
      </c>
      <c r="C471" s="1321"/>
      <c r="D471" s="1321"/>
      <c r="E471" s="1322"/>
      <c r="F471" s="785">
        <f>SUM(F468:F469)</f>
        <v>684119.41512000002</v>
      </c>
      <c r="G471" s="785">
        <f>SUM(G468:G469)</f>
        <v>719902.2332394924</v>
      </c>
      <c r="H471" s="785">
        <f>SUM(H468:H469)</f>
        <v>758308.95979064063</v>
      </c>
      <c r="I471" s="785">
        <f>SUM(I468:I469)</f>
        <v>799557.10741064604</v>
      </c>
      <c r="J471" s="785">
        <f>SUM(J468:J469)</f>
        <v>843884.47348978161</v>
      </c>
    </row>
    <row r="477" spans="1:10" ht="63" customHeight="1">
      <c r="A477" s="759">
        <v>3</v>
      </c>
      <c r="B477" s="1323" t="s">
        <v>602</v>
      </c>
      <c r="C477" s="1323"/>
      <c r="D477" s="1323"/>
      <c r="E477" s="1323"/>
      <c r="F477" s="1323"/>
      <c r="G477" s="1323"/>
      <c r="H477" s="1323"/>
      <c r="I477" s="1323"/>
      <c r="J477" s="830"/>
    </row>
    <row r="479" spans="1:10" ht="23.25">
      <c r="E479" s="831" t="str">
        <f t="shared" ref="E479:I481" si="44">F450</f>
        <v>año</v>
      </c>
      <c r="F479" s="831" t="str">
        <f t="shared" si="44"/>
        <v>año</v>
      </c>
      <c r="G479" s="831" t="str">
        <f t="shared" si="44"/>
        <v>año</v>
      </c>
      <c r="H479" s="831" t="str">
        <f t="shared" si="44"/>
        <v>año</v>
      </c>
      <c r="I479" s="831" t="str">
        <f t="shared" si="44"/>
        <v>año</v>
      </c>
    </row>
    <row r="480" spans="1:10" ht="23.25">
      <c r="E480" s="832">
        <f t="shared" si="44"/>
        <v>1</v>
      </c>
      <c r="F480" s="832">
        <f t="shared" si="44"/>
        <v>2</v>
      </c>
      <c r="G480" s="832">
        <f t="shared" si="44"/>
        <v>3</v>
      </c>
      <c r="H480" s="832">
        <f t="shared" si="44"/>
        <v>4</v>
      </c>
      <c r="I480" s="832">
        <f t="shared" si="44"/>
        <v>5</v>
      </c>
    </row>
    <row r="481" spans="1:9" ht="23.25">
      <c r="B481" s="833"/>
      <c r="C481" s="834"/>
      <c r="E481" s="966">
        <f t="shared" si="44"/>
        <v>2023</v>
      </c>
      <c r="F481" s="966">
        <f t="shared" si="44"/>
        <v>2024</v>
      </c>
      <c r="G481" s="966">
        <f t="shared" si="44"/>
        <v>2025</v>
      </c>
      <c r="H481" s="966">
        <f t="shared" si="44"/>
        <v>2026</v>
      </c>
      <c r="I481" s="966">
        <f t="shared" si="44"/>
        <v>2027</v>
      </c>
    </row>
    <row r="482" spans="1:9" ht="24" thickBot="1">
      <c r="B482" s="833"/>
      <c r="C482" s="834"/>
      <c r="E482" s="835"/>
      <c r="F482" s="835"/>
      <c r="G482" s="835"/>
      <c r="H482" s="835"/>
      <c r="I482" s="835"/>
    </row>
    <row r="483" spans="1:9" ht="84.75" customHeight="1" thickBot="1">
      <c r="A483" s="836" t="s">
        <v>803</v>
      </c>
      <c r="B483" s="1324" t="s">
        <v>603</v>
      </c>
      <c r="C483" s="1325"/>
      <c r="D483" s="1326"/>
      <c r="E483" s="967">
        <f>E481</f>
        <v>2023</v>
      </c>
      <c r="F483" s="967">
        <f t="shared" ref="F483:I483" si="45">F481</f>
        <v>2024</v>
      </c>
      <c r="G483" s="967">
        <f t="shared" si="45"/>
        <v>2025</v>
      </c>
      <c r="H483" s="967">
        <f t="shared" si="45"/>
        <v>2026</v>
      </c>
      <c r="I483" s="967">
        <f t="shared" si="45"/>
        <v>2027</v>
      </c>
    </row>
    <row r="484" spans="1:9" ht="23.25">
      <c r="A484" s="838">
        <v>1.0345</v>
      </c>
      <c r="B484" s="746" t="s">
        <v>469</v>
      </c>
      <c r="C484" s="739"/>
      <c r="D484" s="739"/>
      <c r="E484" s="839">
        <v>12097.987200000003</v>
      </c>
      <c r="F484" s="840">
        <v>12515.367758400003</v>
      </c>
      <c r="G484" s="840">
        <v>12947.147946064802</v>
      </c>
      <c r="H484" s="840">
        <v>13393.824550204037</v>
      </c>
      <c r="I484" s="840">
        <v>13855.911497186076</v>
      </c>
    </row>
    <row r="485" spans="1:9" ht="23.25">
      <c r="A485" s="838">
        <v>1.01</v>
      </c>
      <c r="B485" s="746" t="s">
        <v>470</v>
      </c>
      <c r="C485" s="739"/>
      <c r="D485" s="739"/>
      <c r="E485" s="839">
        <v>2400</v>
      </c>
      <c r="F485" s="840">
        <v>2424</v>
      </c>
      <c r="G485" s="840">
        <v>2448.2400000000002</v>
      </c>
      <c r="H485" s="840">
        <v>2472.7224000000001</v>
      </c>
      <c r="I485" s="840">
        <v>2497.4496240000003</v>
      </c>
    </row>
    <row r="486" spans="1:9" ht="23.25">
      <c r="A486" s="838">
        <v>1.04</v>
      </c>
      <c r="B486" s="746" t="s">
        <v>288</v>
      </c>
      <c r="C486" s="739"/>
      <c r="D486" s="739"/>
      <c r="E486" s="839">
        <v>12000</v>
      </c>
      <c r="F486" s="840">
        <v>12000</v>
      </c>
      <c r="G486" s="840">
        <v>12480</v>
      </c>
      <c r="H486" s="840">
        <v>12979.2</v>
      </c>
      <c r="I486" s="840">
        <v>13498.368</v>
      </c>
    </row>
    <row r="487" spans="1:9" ht="23.25">
      <c r="A487" s="838">
        <v>1.024</v>
      </c>
      <c r="B487" s="841" t="s">
        <v>471</v>
      </c>
      <c r="C487" s="739"/>
      <c r="D487" s="739"/>
      <c r="E487" s="839">
        <v>987</v>
      </c>
      <c r="F487" s="840">
        <v>987</v>
      </c>
      <c r="G487" s="840">
        <v>1010.688</v>
      </c>
      <c r="H487" s="840">
        <v>1034.944512</v>
      </c>
      <c r="I487" s="840">
        <v>1059.783180288</v>
      </c>
    </row>
    <row r="488" spans="1:9" ht="46.5">
      <c r="A488" s="838">
        <v>1.0349999999999999</v>
      </c>
      <c r="B488" s="746" t="s">
        <v>472</v>
      </c>
      <c r="C488" s="739"/>
      <c r="D488" s="739"/>
      <c r="E488" s="839">
        <v>1894.8000000000002</v>
      </c>
      <c r="F488" s="842">
        <v>1961.1179999999999</v>
      </c>
      <c r="G488" s="842">
        <v>2029.7571299999997</v>
      </c>
      <c r="H488" s="842">
        <v>2100.7986295499995</v>
      </c>
      <c r="I488" s="842">
        <v>2174.3265815842492</v>
      </c>
    </row>
    <row r="489" spans="1:9" ht="46.5">
      <c r="A489" s="838">
        <v>1.05</v>
      </c>
      <c r="B489" s="746" t="s">
        <v>289</v>
      </c>
      <c r="C489" s="739"/>
      <c r="D489" s="739"/>
      <c r="E489" s="839">
        <v>1000</v>
      </c>
      <c r="F489" s="840">
        <v>1050</v>
      </c>
      <c r="G489" s="840">
        <v>1102.5</v>
      </c>
      <c r="H489" s="840">
        <v>1157.625</v>
      </c>
      <c r="I489" s="840">
        <v>1215.5062500000001</v>
      </c>
    </row>
    <row r="490" spans="1:9" ht="23.25">
      <c r="A490" s="838">
        <v>1.04</v>
      </c>
      <c r="B490" s="746" t="s">
        <v>473</v>
      </c>
      <c r="C490" s="739"/>
      <c r="D490" s="739"/>
      <c r="E490" s="839">
        <v>21600</v>
      </c>
      <c r="F490" s="840">
        <v>21600</v>
      </c>
      <c r="G490" s="840">
        <v>22464</v>
      </c>
      <c r="H490" s="840">
        <v>23362.560000000001</v>
      </c>
      <c r="I490" s="840">
        <v>24297.062400000003</v>
      </c>
    </row>
    <row r="491" spans="1:9" ht="23.25">
      <c r="A491" s="838">
        <v>1.0249999999999999</v>
      </c>
      <c r="B491" s="746" t="s">
        <v>290</v>
      </c>
      <c r="C491" s="739"/>
      <c r="D491" s="739"/>
      <c r="E491" s="839">
        <v>121200</v>
      </c>
      <c r="F491" s="840">
        <v>124229.99999999999</v>
      </c>
      <c r="G491" s="840">
        <v>127335.74999999997</v>
      </c>
      <c r="H491" s="840">
        <v>130519.14374999996</v>
      </c>
      <c r="I491" s="840">
        <v>133782.12234374994</v>
      </c>
    </row>
    <row r="492" spans="1:9" ht="23.25">
      <c r="A492" s="838">
        <v>1.056</v>
      </c>
      <c r="B492" s="746" t="s">
        <v>291</v>
      </c>
      <c r="C492" s="739"/>
      <c r="D492" s="739"/>
      <c r="E492" s="839">
        <v>11304</v>
      </c>
      <c r="F492" s="840">
        <v>11937.024000000001</v>
      </c>
      <c r="G492" s="840">
        <v>12605.497344000001</v>
      </c>
      <c r="H492" s="840">
        <v>12605.497344000001</v>
      </c>
      <c r="I492" s="840">
        <v>13311.405195264002</v>
      </c>
    </row>
    <row r="493" spans="1:9" ht="23.25">
      <c r="A493" s="838">
        <v>1.03</v>
      </c>
      <c r="B493" s="746" t="s">
        <v>292</v>
      </c>
      <c r="C493" s="739"/>
      <c r="D493" s="739"/>
      <c r="E493" s="839">
        <v>14400</v>
      </c>
      <c r="F493" s="840">
        <v>14400</v>
      </c>
      <c r="G493" s="840">
        <v>14832</v>
      </c>
      <c r="H493" s="840">
        <v>15276.960000000001</v>
      </c>
      <c r="I493" s="840">
        <v>15735.268800000002</v>
      </c>
    </row>
    <row r="494" spans="1:9" ht="23.25">
      <c r="A494" s="838">
        <v>1.05</v>
      </c>
      <c r="B494" s="746" t="s">
        <v>474</v>
      </c>
      <c r="C494" s="739"/>
      <c r="D494" s="739"/>
      <c r="E494" s="839">
        <v>18000</v>
      </c>
      <c r="F494" s="840">
        <v>18900</v>
      </c>
      <c r="G494" s="840">
        <v>19845</v>
      </c>
      <c r="H494" s="840">
        <v>20837.25</v>
      </c>
      <c r="I494" s="840">
        <v>21879.112499999999</v>
      </c>
    </row>
    <row r="495" spans="1:9" ht="23.25">
      <c r="A495" s="838">
        <v>1.03</v>
      </c>
      <c r="B495" s="841" t="s">
        <v>475</v>
      </c>
      <c r="C495" s="739"/>
      <c r="D495" s="739"/>
      <c r="E495" s="839">
        <v>6000</v>
      </c>
      <c r="F495" s="840">
        <v>6000</v>
      </c>
      <c r="G495" s="840">
        <v>6180</v>
      </c>
      <c r="H495" s="840">
        <v>6365.4000000000005</v>
      </c>
      <c r="I495" s="840">
        <v>6556.362000000001</v>
      </c>
    </row>
    <row r="496" spans="1:9" ht="46.5">
      <c r="A496" s="913">
        <v>1.0149999999999999</v>
      </c>
      <c r="B496" s="841" t="s">
        <v>293</v>
      </c>
      <c r="C496" s="972"/>
      <c r="D496" s="739"/>
      <c r="E496" s="839">
        <v>6000</v>
      </c>
      <c r="F496" s="842">
        <v>6089.9999999999991</v>
      </c>
      <c r="G496" s="842">
        <v>6181.3499999999985</v>
      </c>
      <c r="H496" s="842">
        <v>6274.0702499999979</v>
      </c>
      <c r="I496" s="842">
        <v>6368.1813037499969</v>
      </c>
    </row>
    <row r="497" spans="1:10" ht="44.25" customHeight="1">
      <c r="A497" s="731"/>
      <c r="B497" s="1327" t="s">
        <v>604</v>
      </c>
      <c r="C497" s="1327"/>
      <c r="D497" s="1327"/>
      <c r="E497" s="843">
        <f>SUM(E484:E496)</f>
        <v>228883.78720000002</v>
      </c>
      <c r="F497" s="844">
        <f>SUM(F484:F496)</f>
        <v>234094.5097584</v>
      </c>
      <c r="G497" s="844">
        <f>SUM(G484:G496)</f>
        <v>241461.93042006477</v>
      </c>
      <c r="H497" s="844">
        <f>SUM(H484:H496)</f>
        <v>248379.99643575397</v>
      </c>
      <c r="I497" s="844">
        <f>SUM(I484:I496)</f>
        <v>256230.85967582226</v>
      </c>
    </row>
    <row r="498" spans="1:10" ht="23.25">
      <c r="A498" s="731"/>
      <c r="B498" s="739"/>
      <c r="C498" s="739"/>
      <c r="D498" s="739"/>
      <c r="E498" s="845">
        <f>E483</f>
        <v>2023</v>
      </c>
      <c r="F498" s="845">
        <f>F483</f>
        <v>2024</v>
      </c>
      <c r="G498" s="845">
        <f>G483</f>
        <v>2025</v>
      </c>
      <c r="H498" s="845">
        <f>H483</f>
        <v>2026</v>
      </c>
      <c r="I498" s="845">
        <f>I483</f>
        <v>2027</v>
      </c>
    </row>
    <row r="499" spans="1:10" ht="23.25">
      <c r="A499" s="731"/>
      <c r="B499" s="739" t="str">
        <f>B297</f>
        <v>DEPRECIACIÓN</v>
      </c>
      <c r="C499" s="739"/>
      <c r="D499" s="739"/>
      <c r="E499" s="839">
        <f>R297</f>
        <v>8849.1219999999994</v>
      </c>
      <c r="F499" s="840">
        <f t="shared" ref="F499:I500" si="46">E499</f>
        <v>8849.1219999999994</v>
      </c>
      <c r="G499" s="840">
        <f t="shared" si="46"/>
        <v>8849.1219999999994</v>
      </c>
      <c r="H499" s="840">
        <f t="shared" si="46"/>
        <v>8849.1219999999994</v>
      </c>
      <c r="I499" s="840">
        <f t="shared" si="46"/>
        <v>8849.1219999999994</v>
      </c>
    </row>
    <row r="500" spans="1:10" ht="23.25">
      <c r="A500" s="731"/>
      <c r="B500" s="739" t="str">
        <f>B298</f>
        <v>AMORTIZACIÓN</v>
      </c>
      <c r="C500" s="739"/>
      <c r="D500" s="739"/>
      <c r="E500" s="839">
        <f>R298</f>
        <v>542.15</v>
      </c>
      <c r="F500" s="840">
        <f t="shared" si="46"/>
        <v>542.15</v>
      </c>
      <c r="G500" s="840">
        <f t="shared" si="46"/>
        <v>542.15</v>
      </c>
      <c r="H500" s="840">
        <f t="shared" si="46"/>
        <v>542.15</v>
      </c>
      <c r="I500" s="840">
        <f t="shared" si="46"/>
        <v>542.15</v>
      </c>
    </row>
    <row r="501" spans="1:10" ht="23.25">
      <c r="A501" s="731"/>
      <c r="B501" s="739"/>
      <c r="C501" s="739"/>
      <c r="D501" s="739"/>
      <c r="E501" s="846"/>
      <c r="F501" s="847"/>
      <c r="G501" s="847"/>
      <c r="H501" s="847"/>
      <c r="I501" s="847"/>
    </row>
    <row r="502" spans="1:10" ht="23.25">
      <c r="A502" s="731"/>
      <c r="B502" s="1327" t="s">
        <v>605</v>
      </c>
      <c r="C502" s="1327"/>
      <c r="D502" s="1327"/>
      <c r="E502" s="848">
        <f>E497+E499+E500</f>
        <v>238275.05920000002</v>
      </c>
      <c r="F502" s="849">
        <f>F497+F499+F500</f>
        <v>243485.7817584</v>
      </c>
      <c r="G502" s="849">
        <f>G497+G499+G500</f>
        <v>250853.20242006477</v>
      </c>
      <c r="H502" s="849">
        <f>H497+H499+H500</f>
        <v>257771.26843575397</v>
      </c>
      <c r="I502" s="849">
        <f>I497+I499+I500</f>
        <v>265622.13167582225</v>
      </c>
    </row>
    <row r="503" spans="1:10">
      <c r="A503" s="731"/>
      <c r="B503" s="731"/>
      <c r="C503" s="731"/>
      <c r="D503" s="731"/>
      <c r="E503" s="789"/>
      <c r="F503" s="790"/>
      <c r="G503" s="790"/>
      <c r="H503" s="790"/>
      <c r="I503" s="790"/>
    </row>
    <row r="504" spans="1:10" ht="21.75" thickBot="1"/>
    <row r="505" spans="1:10" ht="41.25" customHeight="1" thickBot="1">
      <c r="A505" s="850">
        <v>4</v>
      </c>
      <c r="B505" s="1310" t="s">
        <v>606</v>
      </c>
      <c r="C505" s="1311"/>
      <c r="D505" s="1311"/>
      <c r="E505" s="1311"/>
      <c r="F505" s="1311"/>
      <c r="G505" s="1311"/>
      <c r="H505" s="1311"/>
      <c r="I505" s="1312"/>
      <c r="J505" s="807"/>
    </row>
    <row r="507" spans="1:10" ht="105" customHeight="1">
      <c r="A507" s="918" t="s">
        <v>803</v>
      </c>
      <c r="B507" s="1313" t="s">
        <v>607</v>
      </c>
      <c r="C507" s="1314"/>
      <c r="D507" s="1315"/>
      <c r="E507" s="973">
        <f>E481</f>
        <v>2023</v>
      </c>
      <c r="F507" s="975">
        <f>F481</f>
        <v>2024</v>
      </c>
      <c r="G507" s="975">
        <f>G481</f>
        <v>2025</v>
      </c>
      <c r="H507" s="975">
        <f>H481</f>
        <v>2026</v>
      </c>
      <c r="I507" s="975">
        <f>I481</f>
        <v>2027</v>
      </c>
    </row>
    <row r="508" spans="1:10">
      <c r="A508" s="852">
        <v>1.06</v>
      </c>
      <c r="B508" s="793" t="s">
        <v>485</v>
      </c>
      <c r="C508" s="739"/>
      <c r="D508" s="739"/>
      <c r="E508" s="853">
        <v>30000</v>
      </c>
      <c r="F508" s="793">
        <v>30000</v>
      </c>
      <c r="G508" s="793">
        <v>31800</v>
      </c>
      <c r="H508" s="793">
        <v>31800</v>
      </c>
      <c r="I508" s="793">
        <v>33708</v>
      </c>
    </row>
    <row r="509" spans="1:10">
      <c r="A509" s="852">
        <v>1.06</v>
      </c>
      <c r="B509" s="793" t="s">
        <v>486</v>
      </c>
      <c r="C509" s="739"/>
      <c r="D509" s="739"/>
      <c r="E509" s="853">
        <v>25200</v>
      </c>
      <c r="F509" s="793">
        <v>25200</v>
      </c>
      <c r="G509" s="793">
        <v>26712</v>
      </c>
      <c r="H509" s="793">
        <v>26712</v>
      </c>
      <c r="I509" s="793">
        <v>28314.720000000001</v>
      </c>
    </row>
    <row r="510" spans="1:10">
      <c r="A510" s="852">
        <v>1.04</v>
      </c>
      <c r="B510" s="793" t="s">
        <v>296</v>
      </c>
      <c r="C510" s="739"/>
      <c r="D510" s="739"/>
      <c r="E510" s="853">
        <v>14400</v>
      </c>
      <c r="F510" s="793">
        <v>14400</v>
      </c>
      <c r="G510" s="793">
        <v>14976</v>
      </c>
      <c r="H510" s="793">
        <v>14976</v>
      </c>
      <c r="I510" s="793">
        <v>15575.04</v>
      </c>
    </row>
    <row r="511" spans="1:10">
      <c r="A511" s="852">
        <v>1.02</v>
      </c>
      <c r="B511" s="793" t="s">
        <v>297</v>
      </c>
      <c r="C511" s="739"/>
      <c r="D511" s="739"/>
      <c r="E511" s="854">
        <v>11160</v>
      </c>
      <c r="F511" s="785">
        <v>11160</v>
      </c>
      <c r="G511" s="785">
        <v>11383.2</v>
      </c>
      <c r="H511" s="785">
        <v>11383.2</v>
      </c>
      <c r="I511" s="785">
        <v>11610.864000000001</v>
      </c>
    </row>
    <row r="512" spans="1:10" ht="42">
      <c r="A512" s="852">
        <v>1.06</v>
      </c>
      <c r="B512" s="793" t="s">
        <v>738</v>
      </c>
      <c r="C512" s="739"/>
      <c r="D512" s="739"/>
      <c r="E512" s="853">
        <v>22800</v>
      </c>
      <c r="F512" s="793">
        <v>22800</v>
      </c>
      <c r="G512" s="793">
        <v>24168</v>
      </c>
      <c r="H512" s="793">
        <v>24168</v>
      </c>
      <c r="I512" s="793">
        <v>25618.080000000002</v>
      </c>
    </row>
    <row r="513" spans="1:12">
      <c r="B513" s="1148" t="str">
        <f>B314</f>
        <v>SUB-TOTAL</v>
      </c>
      <c r="C513" s="1149"/>
      <c r="D513" s="1150"/>
      <c r="E513" s="453">
        <f>SUM(E508:E512)</f>
        <v>103560</v>
      </c>
      <c r="F513" s="454">
        <f>SUM(F508:F512)</f>
        <v>103560</v>
      </c>
      <c r="G513" s="454">
        <f>SUM(G508:G512)</f>
        <v>109039.2</v>
      </c>
      <c r="H513" s="454">
        <f>SUM(H508:H512)</f>
        <v>109039.2</v>
      </c>
      <c r="I513" s="454">
        <f>SUM(I508:I512)</f>
        <v>114826.70400000001</v>
      </c>
    </row>
    <row r="514" spans="1:12">
      <c r="B514" s="455" t="str">
        <f>B316</f>
        <v>Gratificación julio</v>
      </c>
      <c r="C514" s="218"/>
      <c r="D514" s="1120" t="s">
        <v>804</v>
      </c>
      <c r="E514" s="452">
        <f>(E513/12)*50%</f>
        <v>4315</v>
      </c>
      <c r="F514" s="452">
        <f>(F513/12)*50%</f>
        <v>4315</v>
      </c>
      <c r="G514" s="452">
        <f>(G513/12)*50%</f>
        <v>4543.3</v>
      </c>
      <c r="H514" s="452">
        <f>(H513/12)*50%</f>
        <v>4543.3</v>
      </c>
      <c r="I514" s="452">
        <f>(I513/12)*50%</f>
        <v>4784.4460000000008</v>
      </c>
    </row>
    <row r="515" spans="1:12">
      <c r="B515" s="455" t="str">
        <f>B317</f>
        <v>Gratifica. diciembre</v>
      </c>
      <c r="C515" s="218"/>
      <c r="D515" s="1120"/>
      <c r="E515" s="452">
        <f>E514</f>
        <v>4315</v>
      </c>
      <c r="F515" s="283">
        <f t="shared" ref="F515:I516" si="47">F514</f>
        <v>4315</v>
      </c>
      <c r="G515" s="283">
        <f t="shared" si="47"/>
        <v>4543.3</v>
      </c>
      <c r="H515" s="283">
        <f t="shared" si="47"/>
        <v>4543.3</v>
      </c>
      <c r="I515" s="283">
        <f t="shared" si="47"/>
        <v>4784.4460000000008</v>
      </c>
    </row>
    <row r="516" spans="1:12">
      <c r="B516" s="455" t="str">
        <f>B318</f>
        <v>CTS</v>
      </c>
      <c r="C516" s="218"/>
      <c r="D516" s="1120"/>
      <c r="E516" s="452">
        <f>E515</f>
        <v>4315</v>
      </c>
      <c r="F516" s="283">
        <f t="shared" si="47"/>
        <v>4315</v>
      </c>
      <c r="G516" s="283">
        <f t="shared" si="47"/>
        <v>4543.3</v>
      </c>
      <c r="H516" s="283">
        <f t="shared" si="47"/>
        <v>4543.3</v>
      </c>
      <c r="I516" s="283">
        <f t="shared" si="47"/>
        <v>4784.4460000000008</v>
      </c>
    </row>
    <row r="517" spans="1:12">
      <c r="B517" s="455" t="str">
        <f>B319</f>
        <v>ESSALUD/SIS</v>
      </c>
      <c r="C517" s="250">
        <v>60</v>
      </c>
      <c r="D517" s="1120"/>
      <c r="E517" s="452">
        <f>Q319</f>
        <v>2160</v>
      </c>
      <c r="F517" s="283">
        <f>E517</f>
        <v>2160</v>
      </c>
      <c r="G517" s="283">
        <f>F517</f>
        <v>2160</v>
      </c>
      <c r="H517" s="283">
        <f>G517</f>
        <v>2160</v>
      </c>
      <c r="I517" s="283">
        <f>H517</f>
        <v>2160</v>
      </c>
    </row>
    <row r="518" spans="1:12">
      <c r="B518" s="455" t="str">
        <f>B320</f>
        <v>Vacaciones</v>
      </c>
      <c r="C518" s="218"/>
      <c r="D518" s="1120"/>
      <c r="E518" s="452">
        <f>((E513/12))*50%</f>
        <v>4315</v>
      </c>
      <c r="F518" s="452">
        <f>(F513/12)*50%</f>
        <v>4315</v>
      </c>
      <c r="G518" s="452">
        <f>(G513/12)*50%</f>
        <v>4543.3</v>
      </c>
      <c r="H518" s="452">
        <f>(H513/12)*50%</f>
        <v>4543.3</v>
      </c>
      <c r="I518" s="452">
        <f>(I513/12)*50%</f>
        <v>4784.4460000000008</v>
      </c>
    </row>
    <row r="519" spans="1:12" ht="42" customHeight="1">
      <c r="B519" s="1316" t="s">
        <v>608</v>
      </c>
      <c r="C519" s="1316"/>
      <c r="D519" s="1316"/>
      <c r="E519" s="855">
        <f>SUM(E513:E518)</f>
        <v>122980</v>
      </c>
      <c r="F519" s="856">
        <f>SUM(F513:F518)</f>
        <v>122980</v>
      </c>
      <c r="G519" s="856">
        <f>SUM(G513:G518)</f>
        <v>129372.40000000001</v>
      </c>
      <c r="H519" s="856">
        <f>SUM(H513:H518)</f>
        <v>129372.40000000001</v>
      </c>
      <c r="I519" s="856">
        <f>SUM(I513:I518)</f>
        <v>136124.48800000001</v>
      </c>
    </row>
    <row r="520" spans="1:12" ht="42" customHeight="1">
      <c r="A520" s="634"/>
      <c r="B520" s="857"/>
      <c r="C520" s="857"/>
      <c r="D520" s="857"/>
      <c r="E520" s="858"/>
      <c r="F520" s="858"/>
      <c r="G520" s="858"/>
      <c r="H520" s="858"/>
      <c r="I520" s="858"/>
    </row>
    <row r="521" spans="1:12">
      <c r="A521" s="859"/>
      <c r="B521" s="860"/>
      <c r="C521" s="861"/>
      <c r="D521" s="861"/>
      <c r="E521" s="861"/>
      <c r="F521" s="861"/>
      <c r="G521" s="861"/>
      <c r="H521" s="861"/>
      <c r="I521" s="861"/>
    </row>
    <row r="522" spans="1:12" ht="21.75" thickBot="1">
      <c r="B522" s="731"/>
      <c r="C522" s="731"/>
      <c r="D522" s="731"/>
      <c r="E522" s="731"/>
      <c r="F522" s="731"/>
      <c r="G522" s="731"/>
      <c r="H522" s="731"/>
      <c r="I522" s="731"/>
    </row>
    <row r="523" spans="1:12" ht="126" customHeight="1" thickBot="1">
      <c r="B523" s="1317" t="s">
        <v>609</v>
      </c>
      <c r="C523" s="1318"/>
      <c r="D523" s="721"/>
      <c r="E523" s="1317" t="s">
        <v>836</v>
      </c>
      <c r="F523" s="1319"/>
      <c r="G523" s="1319"/>
      <c r="H523" s="1319"/>
      <c r="I523" s="1318"/>
      <c r="J523" s="715"/>
      <c r="K523" s="634"/>
    </row>
    <row r="524" spans="1:12" ht="23.25">
      <c r="B524" s="714"/>
      <c r="C524" s="714"/>
      <c r="D524" s="714"/>
      <c r="E524" s="714"/>
      <c r="F524" s="714"/>
      <c r="G524" s="714"/>
      <c r="H524" s="714"/>
      <c r="I524" s="714"/>
      <c r="J524" s="714"/>
    </row>
    <row r="525" spans="1:12" ht="39" customHeight="1">
      <c r="B525" s="1288" t="s">
        <v>611</v>
      </c>
      <c r="C525" s="1288"/>
      <c r="D525" s="1288"/>
      <c r="E525" s="1288"/>
      <c r="F525" s="1288"/>
      <c r="G525" s="1288"/>
      <c r="H525" s="1288"/>
      <c r="I525" s="1288"/>
      <c r="J525" s="714"/>
    </row>
    <row r="526" spans="1:12" s="192" customFormat="1" ht="63" customHeight="1">
      <c r="B526" s="1102" t="s">
        <v>837</v>
      </c>
      <c r="C526" s="1103"/>
      <c r="D526" s="463">
        <v>2022</v>
      </c>
      <c r="E526" s="464">
        <f>D526+1</f>
        <v>2023</v>
      </c>
      <c r="F526" s="464">
        <f>E526+1</f>
        <v>2024</v>
      </c>
      <c r="G526" s="464">
        <f>F526+1</f>
        <v>2025</v>
      </c>
      <c r="H526" s="464">
        <f>G526+1</f>
        <v>2026</v>
      </c>
      <c r="I526" s="464">
        <f>H526+1</f>
        <v>2027</v>
      </c>
      <c r="J526" s="198"/>
      <c r="K526" s="207"/>
      <c r="L526" s="193"/>
    </row>
    <row r="527" spans="1:12" s="192" customFormat="1" ht="23.25">
      <c r="B527" s="465" t="s">
        <v>613</v>
      </c>
      <c r="C527" s="465"/>
      <c r="D527" s="466">
        <v>0</v>
      </c>
      <c r="E527" s="466">
        <v>1</v>
      </c>
      <c r="F527" s="466">
        <v>2</v>
      </c>
      <c r="G527" s="466">
        <v>3</v>
      </c>
      <c r="H527" s="466">
        <v>4</v>
      </c>
      <c r="I527" s="466">
        <v>5</v>
      </c>
      <c r="J527" s="197"/>
    </row>
    <row r="528" spans="1:12" s="192" customFormat="1" ht="23.25">
      <c r="A528" s="467" t="s">
        <v>614</v>
      </c>
      <c r="B528" s="961" t="s">
        <v>615</v>
      </c>
      <c r="C528" s="962"/>
      <c r="D528" s="470"/>
      <c r="E528" s="470">
        <f>F443</f>
        <v>1234359.7364000003</v>
      </c>
      <c r="F528" s="470">
        <f>G443</f>
        <v>1337126.4488309622</v>
      </c>
      <c r="G528" s="470">
        <f>H443</f>
        <v>1477504.2946660747</v>
      </c>
      <c r="H528" s="470">
        <f>I443</f>
        <v>1664785.8612754548</v>
      </c>
      <c r="I528" s="470">
        <f>J443</f>
        <v>1912118.0190882725</v>
      </c>
      <c r="J528" s="471"/>
      <c r="K528" s="472"/>
    </row>
    <row r="529" spans="1:11" s="192" customFormat="1" ht="26.25">
      <c r="A529" s="473" t="s">
        <v>616</v>
      </c>
      <c r="B529" s="1130" t="s">
        <v>617</v>
      </c>
      <c r="C529" s="1131"/>
      <c r="D529" s="470"/>
      <c r="E529" s="470">
        <f>F471</f>
        <v>684119.41512000002</v>
      </c>
      <c r="F529" s="470">
        <f>G471</f>
        <v>719902.2332394924</v>
      </c>
      <c r="G529" s="470">
        <f>H471</f>
        <v>758308.95979064063</v>
      </c>
      <c r="H529" s="470">
        <f>I471</f>
        <v>799557.10741064604</v>
      </c>
      <c r="I529" s="470">
        <f>J471</f>
        <v>843884.47348978161</v>
      </c>
      <c r="J529" s="471"/>
      <c r="K529" s="472"/>
    </row>
    <row r="530" spans="1:11" s="192" customFormat="1" ht="47.25" customHeight="1">
      <c r="A530" s="473" t="s">
        <v>616</v>
      </c>
      <c r="B530" s="1130" t="s">
        <v>618</v>
      </c>
      <c r="C530" s="1131"/>
      <c r="D530" s="964" t="s">
        <v>619</v>
      </c>
      <c r="E530" s="475">
        <f>E497+E519</f>
        <v>351863.78720000002</v>
      </c>
      <c r="F530" s="475">
        <f>F497+F519</f>
        <v>357074.50975840003</v>
      </c>
      <c r="G530" s="475">
        <f>G497+G519</f>
        <v>370834.3304200648</v>
      </c>
      <c r="H530" s="475">
        <f>H497+H519</f>
        <v>377752.39643575397</v>
      </c>
      <c r="I530" s="475">
        <f>I497+I519</f>
        <v>392355.34767582227</v>
      </c>
      <c r="J530" s="471"/>
      <c r="K530" s="472"/>
    </row>
    <row r="531" spans="1:11" s="192" customFormat="1" ht="26.25">
      <c r="A531" s="473" t="s">
        <v>616</v>
      </c>
      <c r="B531" s="962" t="s">
        <v>526</v>
      </c>
      <c r="C531" s="1102" t="s">
        <v>620</v>
      </c>
      <c r="D531" s="1103"/>
      <c r="E531" s="476">
        <f t="shared" ref="E531:I532" si="48">E499</f>
        <v>8849.1219999999994</v>
      </c>
      <c r="F531" s="476">
        <f t="shared" si="48"/>
        <v>8849.1219999999994</v>
      </c>
      <c r="G531" s="476">
        <f t="shared" si="48"/>
        <v>8849.1219999999994</v>
      </c>
      <c r="H531" s="476">
        <f t="shared" si="48"/>
        <v>8849.1219999999994</v>
      </c>
      <c r="I531" s="476">
        <f t="shared" si="48"/>
        <v>8849.1219999999994</v>
      </c>
      <c r="J531" s="471"/>
      <c r="K531" s="472"/>
    </row>
    <row r="532" spans="1:11" s="192" customFormat="1" ht="26.25">
      <c r="A532" s="473" t="s">
        <v>616</v>
      </c>
      <c r="B532" s="962" t="s">
        <v>527</v>
      </c>
      <c r="C532" s="1102" t="s">
        <v>621</v>
      </c>
      <c r="D532" s="1103"/>
      <c r="E532" s="475">
        <f t="shared" si="48"/>
        <v>542.15</v>
      </c>
      <c r="F532" s="475">
        <f t="shared" si="48"/>
        <v>542.15</v>
      </c>
      <c r="G532" s="475">
        <f t="shared" si="48"/>
        <v>542.15</v>
      </c>
      <c r="H532" s="475">
        <f t="shared" si="48"/>
        <v>542.15</v>
      </c>
      <c r="I532" s="475">
        <f t="shared" si="48"/>
        <v>542.15</v>
      </c>
      <c r="J532" s="471"/>
      <c r="K532" s="472"/>
    </row>
    <row r="533" spans="1:11" s="192" customFormat="1" ht="23.25">
      <c r="A533" s="477"/>
      <c r="B533" s="1132" t="s">
        <v>622</v>
      </c>
      <c r="C533" s="1133"/>
      <c r="D533" s="478"/>
      <c r="E533" s="478">
        <f>E528-E529-E530-E531-E532</f>
        <v>188985.26208000025</v>
      </c>
      <c r="F533" s="478">
        <f>F528-F529-F530-F531-F532</f>
        <v>250758.43383306975</v>
      </c>
      <c r="G533" s="478">
        <f>G528-G529-G530-G531-G532</f>
        <v>338969.73245536926</v>
      </c>
      <c r="H533" s="478">
        <f>H528-H529-H530-H531-H532</f>
        <v>478085.08542905474</v>
      </c>
      <c r="I533" s="478">
        <f>I528-I529-I530-I531-I532</f>
        <v>666486.92592266866</v>
      </c>
      <c r="J533" s="471"/>
      <c r="K533" s="472"/>
    </row>
    <row r="534" spans="1:11" s="192" customFormat="1" ht="23.25">
      <c r="A534" s="479" t="s">
        <v>616</v>
      </c>
      <c r="B534" s="961" t="s">
        <v>623</v>
      </c>
      <c r="C534" s="963"/>
      <c r="D534" s="470"/>
      <c r="E534" s="470">
        <v>0</v>
      </c>
      <c r="F534" s="470">
        <v>0</v>
      </c>
      <c r="G534" s="470">
        <v>0</v>
      </c>
      <c r="H534" s="470">
        <v>0</v>
      </c>
      <c r="I534" s="963">
        <v>0</v>
      </c>
      <c r="J534" s="471"/>
      <c r="K534" s="472"/>
    </row>
    <row r="535" spans="1:11" s="192" customFormat="1" ht="23.25">
      <c r="A535" s="479" t="s">
        <v>616</v>
      </c>
      <c r="B535" s="1130" t="s">
        <v>624</v>
      </c>
      <c r="C535" s="1131"/>
      <c r="D535" s="470"/>
      <c r="E535" s="470">
        <v>0</v>
      </c>
      <c r="F535" s="470">
        <v>0</v>
      </c>
      <c r="G535" s="470">
        <v>0</v>
      </c>
      <c r="H535" s="470">
        <v>0</v>
      </c>
      <c r="I535" s="963">
        <v>0</v>
      </c>
      <c r="J535" s="197"/>
    </row>
    <row r="536" spans="1:11" s="192" customFormat="1" ht="23.25">
      <c r="A536" s="479"/>
      <c r="B536" s="1102" t="s">
        <v>625</v>
      </c>
      <c r="C536" s="1103"/>
      <c r="D536" s="478"/>
      <c r="E536" s="478">
        <f>E533-E534-E535</f>
        <v>188985.26208000025</v>
      </c>
      <c r="F536" s="478">
        <f>F533-F534-F535</f>
        <v>250758.43383306975</v>
      </c>
      <c r="G536" s="478">
        <f>G533-G534-G535</f>
        <v>338969.73245536926</v>
      </c>
      <c r="H536" s="478">
        <f>H533-H534-H535</f>
        <v>478085.08542905474</v>
      </c>
      <c r="I536" s="478">
        <f>I533-I534-I535</f>
        <v>666486.92592266866</v>
      </c>
      <c r="J536" s="197"/>
    </row>
    <row r="537" spans="1:11" s="192" customFormat="1" ht="23.25">
      <c r="A537" s="479" t="s">
        <v>616</v>
      </c>
      <c r="B537" s="962" t="s">
        <v>626</v>
      </c>
      <c r="C537" s="963"/>
      <c r="D537" s="481">
        <v>0.01</v>
      </c>
      <c r="E537" s="470">
        <f>E528*D537</f>
        <v>12343.597364000003</v>
      </c>
      <c r="F537" s="470">
        <f>F528*$D$537</f>
        <v>13371.264488309622</v>
      </c>
      <c r="G537" s="470">
        <f t="shared" ref="G537:I537" si="49">G528*$D$537</f>
        <v>14775.042946660747</v>
      </c>
      <c r="H537" s="470">
        <f t="shared" si="49"/>
        <v>16647.85861275455</v>
      </c>
      <c r="I537" s="470">
        <f t="shared" si="49"/>
        <v>19121.180190882726</v>
      </c>
      <c r="J537" s="197"/>
    </row>
    <row r="538" spans="1:11" s="192" customFormat="1" ht="116.25">
      <c r="B538" s="1102" t="s">
        <v>627</v>
      </c>
      <c r="C538" s="1103"/>
      <c r="D538" s="287" t="s">
        <v>628</v>
      </c>
      <c r="E538" s="482">
        <f>E536-E537</f>
        <v>176641.66471600023</v>
      </c>
      <c r="F538" s="482">
        <f>F536-F537</f>
        <v>237387.16934476013</v>
      </c>
      <c r="G538" s="482">
        <f>G536-G537</f>
        <v>324194.68950870848</v>
      </c>
      <c r="H538" s="482">
        <f>H536-H537</f>
        <v>461437.22681630019</v>
      </c>
      <c r="I538" s="482">
        <f>I536-I537</f>
        <v>647365.74573178589</v>
      </c>
      <c r="J538" s="197"/>
    </row>
    <row r="539" spans="1:11" s="192" customFormat="1" ht="26.25">
      <c r="A539" s="483" t="s">
        <v>629</v>
      </c>
      <c r="B539" s="484" t="s">
        <v>526</v>
      </c>
      <c r="C539" s="963"/>
      <c r="D539" s="470"/>
      <c r="E539" s="470">
        <f>E531</f>
        <v>8849.1219999999994</v>
      </c>
      <c r="F539" s="470">
        <f t="shared" ref="F539:I540" si="50">F531</f>
        <v>8849.1219999999994</v>
      </c>
      <c r="G539" s="470">
        <f t="shared" si="50"/>
        <v>8849.1219999999994</v>
      </c>
      <c r="H539" s="470">
        <f t="shared" si="50"/>
        <v>8849.1219999999994</v>
      </c>
      <c r="I539" s="470">
        <f t="shared" si="50"/>
        <v>8849.1219999999994</v>
      </c>
      <c r="J539" s="197"/>
    </row>
    <row r="540" spans="1:11" s="192" customFormat="1" ht="26.25">
      <c r="A540" s="483" t="s">
        <v>629</v>
      </c>
      <c r="B540" s="484" t="s">
        <v>527</v>
      </c>
      <c r="C540" s="963"/>
      <c r="D540" s="963"/>
      <c r="E540" s="470">
        <f>E532</f>
        <v>542.15</v>
      </c>
      <c r="F540" s="470">
        <f t="shared" si="50"/>
        <v>542.15</v>
      </c>
      <c r="G540" s="470">
        <f t="shared" si="50"/>
        <v>542.15</v>
      </c>
      <c r="H540" s="470">
        <f t="shared" si="50"/>
        <v>542.15</v>
      </c>
      <c r="I540" s="470">
        <f t="shared" si="50"/>
        <v>542.15</v>
      </c>
      <c r="J540" s="197"/>
    </row>
    <row r="541" spans="1:11" s="192" customFormat="1" ht="26.25">
      <c r="A541" s="483" t="s">
        <v>629</v>
      </c>
      <c r="B541" s="484" t="s">
        <v>623</v>
      </c>
      <c r="C541" s="963"/>
      <c r="D541" s="963"/>
      <c r="E541" s="319">
        <f>E534</f>
        <v>0</v>
      </c>
      <c r="F541" s="319">
        <f t="shared" ref="F541:I542" si="51">F534</f>
        <v>0</v>
      </c>
      <c r="G541" s="319">
        <f t="shared" si="51"/>
        <v>0</v>
      </c>
      <c r="H541" s="319">
        <f t="shared" si="51"/>
        <v>0</v>
      </c>
      <c r="I541" s="319">
        <f t="shared" si="51"/>
        <v>0</v>
      </c>
      <c r="J541" s="197"/>
    </row>
    <row r="542" spans="1:11" s="192" customFormat="1" ht="26.25">
      <c r="A542" s="483" t="s">
        <v>629</v>
      </c>
      <c r="B542" s="484" t="s">
        <v>624</v>
      </c>
      <c r="C542" s="963"/>
      <c r="D542" s="963"/>
      <c r="E542" s="319">
        <f>E535</f>
        <v>0</v>
      </c>
      <c r="F542" s="319">
        <f t="shared" si="51"/>
        <v>0</v>
      </c>
      <c r="G542" s="319">
        <f t="shared" si="51"/>
        <v>0</v>
      </c>
      <c r="H542" s="319">
        <f t="shared" si="51"/>
        <v>0</v>
      </c>
      <c r="I542" s="319">
        <f t="shared" si="51"/>
        <v>0</v>
      </c>
      <c r="J542" s="197"/>
    </row>
    <row r="543" spans="1:11" s="192" customFormat="1" ht="55.5" customHeight="1">
      <c r="A543" s="228"/>
      <c r="B543" s="1102" t="s">
        <v>630</v>
      </c>
      <c r="C543" s="1103"/>
      <c r="D543" s="943">
        <v>2022</v>
      </c>
      <c r="E543" s="485">
        <f>E538+E539+E540+E541+E542</f>
        <v>186032.93671600023</v>
      </c>
      <c r="F543" s="485">
        <f>F538+F539+F540+F541+F542</f>
        <v>246778.44134476013</v>
      </c>
      <c r="G543" s="485">
        <f>G538+G539+G540+G541+G542</f>
        <v>333585.96150870848</v>
      </c>
      <c r="H543" s="485">
        <f>H538+H539+H540+H541+H542</f>
        <v>470828.49881630018</v>
      </c>
      <c r="I543" s="485">
        <f>I538+I539+I540+I541+I542</f>
        <v>656757.01773178589</v>
      </c>
      <c r="J543" s="197"/>
    </row>
    <row r="544" spans="1:11" s="192" customFormat="1" ht="23.25">
      <c r="B544" s="1114" t="s">
        <v>631</v>
      </c>
      <c r="C544" s="1105"/>
      <c r="D544" s="475">
        <f>-D347</f>
        <v>-79471.002999999997</v>
      </c>
      <c r="E544" s="963"/>
      <c r="F544" s="963"/>
      <c r="G544" s="963"/>
      <c r="H544" s="963"/>
      <c r="I544" s="963"/>
      <c r="J544" s="197"/>
    </row>
    <row r="545" spans="1:11" s="192" customFormat="1" ht="23.25">
      <c r="B545" s="302"/>
      <c r="C545" s="197"/>
      <c r="D545" s="486">
        <f>D543</f>
        <v>2022</v>
      </c>
      <c r="E545" s="487">
        <f>D545+1</f>
        <v>2023</v>
      </c>
      <c r="F545" s="487">
        <f>E545+1</f>
        <v>2024</v>
      </c>
      <c r="G545" s="488">
        <f>F545+1</f>
        <v>2025</v>
      </c>
      <c r="H545" s="487">
        <f>G545+1</f>
        <v>2026</v>
      </c>
      <c r="I545" s="487">
        <f>H545+1</f>
        <v>2027</v>
      </c>
      <c r="J545" s="197"/>
    </row>
    <row r="546" spans="1:11" s="192" customFormat="1" ht="65.25" customHeight="1">
      <c r="B546" s="1102" t="s">
        <v>632</v>
      </c>
      <c r="C546" s="1103"/>
      <c r="D546" s="213">
        <f>D544</f>
        <v>-79471.002999999997</v>
      </c>
      <c r="E546" s="213">
        <f>E543</f>
        <v>186032.93671600023</v>
      </c>
      <c r="F546" s="213">
        <f>F543</f>
        <v>246778.44134476013</v>
      </c>
      <c r="G546" s="213">
        <f>G543</f>
        <v>333585.96150870848</v>
      </c>
      <c r="H546" s="213">
        <f>H543</f>
        <v>470828.49881630018</v>
      </c>
      <c r="I546" s="213">
        <f>I543</f>
        <v>656757.01773178589</v>
      </c>
      <c r="J546" s="489">
        <f>SUM(E546:I547)</f>
        <v>1893982.8561175549</v>
      </c>
    </row>
    <row r="547" spans="1:11" s="192" customFormat="1" ht="33.75">
      <c r="A547" s="490">
        <v>10.199999999999999</v>
      </c>
      <c r="B547" s="943" t="s">
        <v>633</v>
      </c>
      <c r="C547" s="491">
        <f>E350</f>
        <v>0.26392900000000002</v>
      </c>
      <c r="D547" s="492"/>
      <c r="E547" s="493"/>
      <c r="F547" s="493"/>
      <c r="G547" s="493"/>
      <c r="H547" s="493"/>
      <c r="I547" s="493"/>
    </row>
    <row r="548" spans="1:11" s="192" customFormat="1" ht="69.75">
      <c r="A548" s="1129" t="s">
        <v>634</v>
      </c>
      <c r="B548" s="941" t="s">
        <v>635</v>
      </c>
      <c r="C548" s="494" t="s">
        <v>636</v>
      </c>
      <c r="D548" s="475">
        <f>NPV(C547,E546:I546)+D546</f>
        <v>775498.82827427995</v>
      </c>
      <c r="E548" s="495"/>
      <c r="F548" s="496"/>
      <c r="G548" s="495"/>
      <c r="H548" s="495"/>
      <c r="I548" s="495"/>
      <c r="J548" s="497"/>
    </row>
    <row r="549" spans="1:11" s="192" customFormat="1" ht="69.75">
      <c r="A549" s="1129"/>
      <c r="B549" s="941" t="s">
        <v>637</v>
      </c>
      <c r="C549" s="494" t="s">
        <v>638</v>
      </c>
      <c r="D549" s="498">
        <f>IRR(D546:I546)</f>
        <v>2.6661720476226112</v>
      </c>
      <c r="E549" s="499"/>
      <c r="F549" s="500"/>
      <c r="G549" s="499"/>
      <c r="H549" s="499"/>
      <c r="I549" s="499"/>
    </row>
    <row r="550" spans="1:11" s="192" customFormat="1" ht="67.5" customHeight="1">
      <c r="A550" s="1129"/>
      <c r="B550" s="941" t="s">
        <v>639</v>
      </c>
      <c r="C550" s="494" t="s">
        <v>640</v>
      </c>
      <c r="D550" s="287">
        <f>NPV(C547,E546:I546)/-D544</f>
        <v>10.758261491606945</v>
      </c>
      <c r="E550" s="1126" t="s">
        <v>641</v>
      </c>
      <c r="F550" s="1126"/>
      <c r="G550" s="1126"/>
      <c r="H550" s="1126"/>
      <c r="I550" s="501">
        <f>D550-1</f>
        <v>9.7582614916069446</v>
      </c>
      <c r="J550" s="964" t="s">
        <v>284</v>
      </c>
    </row>
    <row r="551" spans="1:11" s="192" customFormat="1" ht="116.25">
      <c r="A551" s="1129"/>
      <c r="B551" s="941" t="s">
        <v>642</v>
      </c>
      <c r="C551" s="494" t="s">
        <v>643</v>
      </c>
      <c r="D551" s="312"/>
      <c r="E551" s="943">
        <v>2023</v>
      </c>
      <c r="F551" s="943">
        <f>E551+1</f>
        <v>2024</v>
      </c>
      <c r="G551" s="943">
        <f>F551+1</f>
        <v>2025</v>
      </c>
      <c r="H551" s="943">
        <f>G551+1</f>
        <v>2026</v>
      </c>
      <c r="I551" s="943">
        <f>H551+1</f>
        <v>2027</v>
      </c>
    </row>
    <row r="552" spans="1:11" s="192" customFormat="1" ht="51.75" customHeight="1">
      <c r="B552" s="943" t="s">
        <v>264</v>
      </c>
      <c r="C552" s="943" t="s">
        <v>644</v>
      </c>
      <c r="D552" s="213" t="s">
        <v>645</v>
      </c>
      <c r="E552" s="402" t="s">
        <v>646</v>
      </c>
      <c r="F552" s="1106" t="s">
        <v>647</v>
      </c>
      <c r="G552" s="1128"/>
      <c r="H552" s="1128"/>
      <c r="I552" s="1128"/>
      <c r="J552" s="356"/>
      <c r="K552" s="956"/>
    </row>
    <row r="553" spans="1:11" s="192" customFormat="1" ht="23.25">
      <c r="B553" s="946">
        <v>0</v>
      </c>
      <c r="C553" s="963"/>
      <c r="D553" s="470">
        <f>-D546</f>
        <v>79471.002999999997</v>
      </c>
      <c r="E553" s="502">
        <f>E546/(1+$C$547)^(1)</f>
        <v>147186.22384326984</v>
      </c>
      <c r="F553" s="502">
        <f>F546/(1+$C$547)^(2)</f>
        <v>154476.30037769841</v>
      </c>
      <c r="G553" s="502">
        <f>G546/(1+$C$547)^(3)</f>
        <v>165211.29294931755</v>
      </c>
      <c r="H553" s="502">
        <f>H546/(1+$C$547)^(4)</f>
        <v>184489.65902322787</v>
      </c>
      <c r="I553" s="503">
        <f>I546/(1+$C$547)^(5)</f>
        <v>203606.3550807662</v>
      </c>
      <c r="J553" s="327">
        <f>SUM(E553:I553)</f>
        <v>854969.83127427986</v>
      </c>
      <c r="K553" s="363"/>
    </row>
    <row r="554" spans="1:11" s="192" customFormat="1" ht="23.25">
      <c r="B554" s="946">
        <v>1</v>
      </c>
      <c r="C554" s="319">
        <f>E553</f>
        <v>147186.22384326984</v>
      </c>
      <c r="D554" s="470">
        <f>D553-C554</f>
        <v>-67715.220843269839</v>
      </c>
      <c r="E554" s="499"/>
      <c r="F554" s="499"/>
      <c r="G554" s="499"/>
      <c r="H554" s="499"/>
      <c r="I554" s="499"/>
      <c r="J554" s="504">
        <f>D546</f>
        <v>-79471.002999999997</v>
      </c>
      <c r="K554" s="956"/>
    </row>
    <row r="555" spans="1:11" s="192" customFormat="1" ht="23.25">
      <c r="B555" s="946">
        <v>2</v>
      </c>
      <c r="C555" s="319">
        <f>F553</f>
        <v>154476.30037769841</v>
      </c>
      <c r="D555" s="470">
        <f>D554-C555</f>
        <v>-222191.52122096825</v>
      </c>
      <c r="E555" s="499"/>
      <c r="F555" s="499"/>
      <c r="G555" s="499"/>
      <c r="H555" s="499"/>
      <c r="I555" s="943" t="s">
        <v>648</v>
      </c>
      <c r="J555" s="327">
        <f>SUM(J553:J554)</f>
        <v>775498.82827427983</v>
      </c>
      <c r="K555" s="505"/>
    </row>
    <row r="556" spans="1:11" s="192" customFormat="1" ht="23.25">
      <c r="B556" s="946">
        <v>3</v>
      </c>
      <c r="C556" s="319">
        <f>G553</f>
        <v>165211.29294931755</v>
      </c>
      <c r="D556" s="470">
        <f>D555-C556</f>
        <v>-387402.81417028583</v>
      </c>
      <c r="E556" s="506" t="s">
        <v>567</v>
      </c>
      <c r="F556" s="506" t="s">
        <v>649</v>
      </c>
      <c r="G556" s="506" t="s">
        <v>650</v>
      </c>
      <c r="H556" s="499"/>
      <c r="I556" s="499"/>
    </row>
    <row r="557" spans="1:11" s="192" customFormat="1" ht="23.25">
      <c r="B557" s="946">
        <v>4</v>
      </c>
      <c r="C557" s="319">
        <f>H553</f>
        <v>184489.65902322787</v>
      </c>
      <c r="D557" s="470">
        <f>D556-C557</f>
        <v>-571892.4731935137</v>
      </c>
      <c r="E557" s="506">
        <v>0</v>
      </c>
      <c r="F557" s="506">
        <v>6</v>
      </c>
      <c r="G557" s="506">
        <v>14</v>
      </c>
      <c r="H557" s="499"/>
      <c r="I557" s="499"/>
    </row>
    <row r="558" spans="1:11" s="192" customFormat="1" ht="23.25">
      <c r="A558" s="228"/>
      <c r="B558" s="946">
        <v>5</v>
      </c>
      <c r="C558" s="319">
        <f>I553</f>
        <v>203606.3550807662</v>
      </c>
      <c r="D558" s="470">
        <f>D557-C558</f>
        <v>-775498.82827427983</v>
      </c>
      <c r="E558" s="507"/>
      <c r="F558" s="506">
        <f>(D553/C554)*12</f>
        <v>6.4792207524495593</v>
      </c>
      <c r="G558" s="506">
        <f>(F558-F557)*30</f>
        <v>14.376622573486779</v>
      </c>
      <c r="H558" s="499"/>
      <c r="I558" s="495"/>
    </row>
    <row r="559" spans="1:11" s="192" customFormat="1">
      <c r="B559" s="215"/>
      <c r="C559" s="508"/>
      <c r="D559" s="509"/>
      <c r="E559" s="207"/>
      <c r="F559" s="949"/>
      <c r="G559" s="949"/>
      <c r="H559" s="207"/>
      <c r="I559" s="510"/>
    </row>
    <row r="560" spans="1:11" s="192" customFormat="1" ht="45" customHeight="1">
      <c r="B560" s="511">
        <v>10.5</v>
      </c>
      <c r="C560" s="1127" t="s">
        <v>651</v>
      </c>
      <c r="D560" s="1127"/>
      <c r="E560" s="1127"/>
      <c r="F560" s="1127"/>
      <c r="G560" s="1127"/>
      <c r="H560" s="207"/>
      <c r="I560" s="215"/>
    </row>
    <row r="561" spans="2:11" s="192" customFormat="1">
      <c r="B561" s="215"/>
      <c r="C561" s="508"/>
      <c r="D561" s="509"/>
      <c r="E561" s="207"/>
      <c r="F561" s="949"/>
      <c r="G561" s="949"/>
      <c r="H561" s="207"/>
      <c r="I561" s="215"/>
    </row>
    <row r="562" spans="2:11" s="192" customFormat="1" ht="45.75" customHeight="1">
      <c r="B562" s="1126" t="s">
        <v>652</v>
      </c>
      <c r="C562" s="1126"/>
      <c r="D562" s="1126"/>
      <c r="E562" s="1126"/>
      <c r="F562" s="1126"/>
      <c r="G562" s="1126"/>
      <c r="H562" s="207"/>
      <c r="I562" s="207"/>
      <c r="J562" s="193"/>
      <c r="K562" s="193"/>
    </row>
    <row r="563" spans="2:11" s="192" customFormat="1" ht="55.5" customHeight="1">
      <c r="B563" s="1126" t="s">
        <v>653</v>
      </c>
      <c r="C563" s="1126"/>
      <c r="D563" s="1126"/>
      <c r="E563" s="1126"/>
      <c r="F563" s="1126"/>
      <c r="G563" s="1126"/>
      <c r="H563" s="207"/>
      <c r="I563" s="207"/>
      <c r="J563" s="193"/>
      <c r="K563" s="193"/>
    </row>
    <row r="564" spans="2:11" s="192" customFormat="1" ht="41.25" customHeight="1">
      <c r="B564" s="1126" t="s">
        <v>654</v>
      </c>
      <c r="C564" s="1126"/>
      <c r="D564" s="1126"/>
      <c r="E564" s="1126"/>
      <c r="F564" s="1126"/>
      <c r="G564" s="1126"/>
      <c r="H564" s="207"/>
      <c r="I564" s="207"/>
      <c r="J564" s="193"/>
      <c r="K564" s="193"/>
    </row>
    <row r="565" spans="2:11" s="192" customFormat="1">
      <c r="B565" s="215"/>
      <c r="C565" s="508"/>
      <c r="D565" s="509"/>
      <c r="E565" s="207"/>
      <c r="F565" s="949"/>
      <c r="G565" s="949"/>
      <c r="H565" s="207"/>
      <c r="I565" s="215"/>
    </row>
    <row r="566" spans="2:11" s="192" customFormat="1" ht="78.75">
      <c r="B566" s="512" t="s">
        <v>655</v>
      </c>
      <c r="C566" s="513" t="s">
        <v>248</v>
      </c>
      <c r="D566" s="514">
        <v>10.6</v>
      </c>
      <c r="E566" s="207"/>
      <c r="F566" s="949"/>
      <c r="G566" s="949"/>
      <c r="H566" s="207"/>
      <c r="I566" s="215"/>
    </row>
    <row r="567" spans="2:11" s="192" customFormat="1" ht="26.25">
      <c r="B567" s="512" t="s">
        <v>656</v>
      </c>
      <c r="C567" s="361">
        <f>D351</f>
        <v>31788.4012</v>
      </c>
      <c r="D567" s="509"/>
      <c r="E567" s="207"/>
      <c r="F567" s="949"/>
      <c r="G567" s="949"/>
      <c r="H567" s="207"/>
      <c r="I567" s="215"/>
    </row>
    <row r="568" spans="2:11" s="192" customFormat="1" ht="26.25">
      <c r="B568" s="512" t="s">
        <v>657</v>
      </c>
      <c r="C568" s="512">
        <f>+'8'!G64</f>
        <v>5</v>
      </c>
      <c r="D568" s="515" t="s">
        <v>264</v>
      </c>
      <c r="E568" s="207"/>
      <c r="F568" s="949"/>
      <c r="G568" s="949"/>
      <c r="H568" s="207"/>
      <c r="I568" s="215"/>
    </row>
    <row r="569" spans="2:11" s="192" customFormat="1" ht="26.25">
      <c r="B569" s="512" t="s">
        <v>263</v>
      </c>
      <c r="C569" s="516">
        <f>+'8'!G63</f>
        <v>0.17199999999999999</v>
      </c>
      <c r="D569" s="515"/>
      <c r="E569" s="207"/>
      <c r="F569" s="949"/>
      <c r="G569" s="949"/>
      <c r="H569" s="207"/>
      <c r="I569" s="215"/>
    </row>
    <row r="570" spans="2:11" s="192" customFormat="1" ht="26.25">
      <c r="B570" s="512" t="s">
        <v>269</v>
      </c>
      <c r="C570" s="517">
        <f>+'8'!C71</f>
        <v>1.3313824334185265E-2</v>
      </c>
      <c r="D570" s="515"/>
      <c r="E570" s="207"/>
      <c r="F570" s="949"/>
      <c r="G570" s="949"/>
      <c r="H570" s="207"/>
      <c r="I570" s="215"/>
    </row>
    <row r="571" spans="2:11" s="192" customFormat="1" ht="52.5">
      <c r="B571" s="512" t="s">
        <v>270</v>
      </c>
      <c r="C571" s="512">
        <f>+'8'!G65</f>
        <v>12</v>
      </c>
      <c r="D571" s="515" t="s">
        <v>658</v>
      </c>
      <c r="E571" s="207"/>
      <c r="F571" s="949"/>
      <c r="G571" s="949"/>
      <c r="H571" s="207"/>
      <c r="I571" s="215"/>
    </row>
    <row r="572" spans="2:11" s="192" customFormat="1" ht="52.5">
      <c r="B572" s="512" t="s">
        <v>272</v>
      </c>
      <c r="C572" s="512">
        <f>+'8'!G66</f>
        <v>60</v>
      </c>
      <c r="D572" s="515" t="s">
        <v>659</v>
      </c>
      <c r="E572" s="207"/>
      <c r="F572" s="949"/>
      <c r="G572" s="949"/>
      <c r="H572" s="207"/>
      <c r="I572" s="215"/>
    </row>
    <row r="573" spans="2:11">
      <c r="B573" s="779"/>
      <c r="C573" s="873"/>
      <c r="D573" s="675"/>
      <c r="E573" s="761"/>
      <c r="F573" s="979"/>
      <c r="G573" s="979"/>
      <c r="H573" s="761"/>
      <c r="I573" s="731"/>
    </row>
    <row r="574" spans="2:11" ht="42" customHeight="1">
      <c r="B574" s="1277" t="s">
        <v>660</v>
      </c>
      <c r="C574" s="1277"/>
      <c r="D574" s="694">
        <v>10.6</v>
      </c>
      <c r="E574" s="761"/>
      <c r="F574" s="979"/>
      <c r="G574" s="979"/>
      <c r="H574" s="761"/>
      <c r="I574" s="731"/>
    </row>
    <row r="575" spans="2:11">
      <c r="B575" s="779"/>
      <c r="C575" s="873"/>
      <c r="D575" s="675"/>
      <c r="E575" s="761"/>
      <c r="F575" s="979"/>
      <c r="G575" s="979"/>
      <c r="H575" s="761"/>
      <c r="I575" s="731"/>
    </row>
    <row r="576" spans="2:11" ht="31.5">
      <c r="B576" s="739"/>
      <c r="C576" s="739"/>
      <c r="D576" s="739"/>
      <c r="E576" s="739"/>
      <c r="F576" s="978" t="s">
        <v>661</v>
      </c>
      <c r="G576" s="978" t="s">
        <v>662</v>
      </c>
      <c r="H576" s="875">
        <f>((1+D577)^(D578)-1)</f>
        <v>1.2112510819256475</v>
      </c>
      <c r="I576" s="978">
        <f>H576/H577</f>
        <v>41.142748137327573</v>
      </c>
      <c r="J576" s="693">
        <f>D579/I576</f>
        <v>772.63679844369324</v>
      </c>
    </row>
    <row r="577" spans="2:12" ht="42">
      <c r="B577" s="976" t="s">
        <v>663</v>
      </c>
      <c r="C577" s="977"/>
      <c r="D577" s="752">
        <f>C570</f>
        <v>1.3313824334185265E-2</v>
      </c>
      <c r="E577" s="739"/>
      <c r="F577" s="877">
        <f>C570</f>
        <v>1.3313824334185265E-2</v>
      </c>
      <c r="G577" s="972"/>
      <c r="H577" s="972">
        <f xml:space="preserve"> D577*((1+D577)^(D578))</f>
        <v>2.9440208463535178E-2</v>
      </c>
      <c r="I577" s="978"/>
      <c r="J577" s="975" t="s">
        <v>664</v>
      </c>
    </row>
    <row r="578" spans="2:12">
      <c r="B578" s="739" t="s">
        <v>665</v>
      </c>
      <c r="C578" s="739"/>
      <c r="D578" s="978">
        <f>C572</f>
        <v>60</v>
      </c>
      <c r="E578" s="978" t="s">
        <v>666</v>
      </c>
      <c r="F578" s="739"/>
      <c r="G578" s="739"/>
      <c r="H578" s="739"/>
      <c r="I578" s="739"/>
      <c r="J578" s="739"/>
      <c r="K578" s="761"/>
      <c r="L578" s="761"/>
    </row>
    <row r="579" spans="2:12">
      <c r="B579" s="739" t="s">
        <v>667</v>
      </c>
      <c r="C579" s="739"/>
      <c r="D579" s="668">
        <f>C567</f>
        <v>31788.4012</v>
      </c>
      <c r="E579" s="739"/>
      <c r="F579" s="739"/>
      <c r="G579" s="739"/>
      <c r="H579" s="739"/>
      <c r="I579" s="739"/>
      <c r="J579" s="739"/>
      <c r="K579" s="761"/>
      <c r="L579" s="761"/>
    </row>
    <row r="580" spans="2:12" ht="42">
      <c r="B580" s="739"/>
      <c r="C580" s="739"/>
      <c r="D580" s="739"/>
      <c r="E580" s="739"/>
      <c r="F580" s="739"/>
      <c r="G580" s="972" t="s">
        <v>668</v>
      </c>
      <c r="H580" s="972" t="s">
        <v>669</v>
      </c>
      <c r="I580" s="972" t="s">
        <v>276</v>
      </c>
      <c r="J580" s="978" t="s">
        <v>670</v>
      </c>
      <c r="K580" s="761"/>
      <c r="L580" s="761"/>
    </row>
    <row r="581" spans="2:12">
      <c r="B581" s="739"/>
      <c r="C581" s="739"/>
      <c r="D581" s="739"/>
      <c r="E581" s="739"/>
      <c r="F581" s="739"/>
      <c r="G581" s="739"/>
      <c r="H581" s="978" t="s">
        <v>671</v>
      </c>
      <c r="I581" s="978" t="s">
        <v>672</v>
      </c>
      <c r="J581" s="739"/>
      <c r="K581" s="761"/>
      <c r="L581" s="761"/>
    </row>
    <row r="582" spans="2:12">
      <c r="B582" s="739"/>
      <c r="C582" s="739"/>
      <c r="D582" s="739"/>
      <c r="E582" s="739"/>
      <c r="F582" s="739"/>
      <c r="G582" s="739"/>
      <c r="H582" s="978" t="s">
        <v>673</v>
      </c>
      <c r="I582" s="739"/>
      <c r="J582" s="739"/>
      <c r="K582" s="761"/>
      <c r="L582" s="761"/>
    </row>
    <row r="583" spans="2:12">
      <c r="B583" s="739"/>
      <c r="C583" s="739"/>
      <c r="D583" s="739"/>
      <c r="E583" s="739"/>
      <c r="F583" s="739"/>
      <c r="G583" s="739"/>
      <c r="H583" s="739"/>
      <c r="I583" s="739"/>
      <c r="J583" s="739"/>
      <c r="K583" s="761"/>
      <c r="L583" s="761"/>
    </row>
    <row r="584" spans="2:12" ht="63">
      <c r="B584" s="739"/>
      <c r="C584" s="736" t="s">
        <v>674</v>
      </c>
      <c r="D584" s="736" t="s">
        <v>675</v>
      </c>
      <c r="E584" s="736" t="s">
        <v>676</v>
      </c>
      <c r="F584" s="878" t="s">
        <v>283</v>
      </c>
      <c r="G584" s="736" t="s">
        <v>677</v>
      </c>
      <c r="H584" s="739"/>
      <c r="I584" s="739"/>
      <c r="J584" s="739"/>
      <c r="K584" s="761"/>
      <c r="L584" s="761"/>
    </row>
    <row r="585" spans="2:12">
      <c r="B585" s="739"/>
      <c r="C585" s="739"/>
      <c r="D585" s="739"/>
      <c r="E585" s="739"/>
      <c r="F585" s="739"/>
      <c r="G585" s="739"/>
      <c r="H585" s="978"/>
      <c r="I585" s="739"/>
      <c r="J585" s="739"/>
      <c r="K585" s="761"/>
      <c r="L585" s="761"/>
    </row>
    <row r="586" spans="2:12">
      <c r="B586" s="739"/>
      <c r="C586" s="736" t="s">
        <v>678</v>
      </c>
      <c r="D586" s="736" t="s">
        <v>262</v>
      </c>
      <c r="E586" s="736" t="s">
        <v>679</v>
      </c>
      <c r="F586" s="736" t="s">
        <v>680</v>
      </c>
      <c r="G586" s="736" t="s">
        <v>681</v>
      </c>
      <c r="H586" s="879"/>
      <c r="I586" s="978"/>
      <c r="J586" s="739"/>
      <c r="K586" s="761"/>
      <c r="L586" s="761"/>
    </row>
    <row r="587" spans="2:12">
      <c r="B587" s="739"/>
      <c r="C587" s="880"/>
      <c r="D587" s="880"/>
      <c r="E587" s="880"/>
      <c r="F587" s="880"/>
      <c r="G587" s="880"/>
      <c r="H587" s="739"/>
      <c r="I587" s="739"/>
      <c r="J587" s="739"/>
      <c r="K587" s="761"/>
      <c r="L587" s="761"/>
    </row>
    <row r="588" spans="2:12">
      <c r="B588" s="739"/>
      <c r="C588" s="676">
        <v>1</v>
      </c>
      <c r="D588" s="676">
        <f>D579</f>
        <v>31788.4012</v>
      </c>
      <c r="E588" s="676">
        <f>G588-F588</f>
        <v>349.41160900228914</v>
      </c>
      <c r="F588" s="676">
        <f>D588*$D$577</f>
        <v>423.2251894414041</v>
      </c>
      <c r="G588" s="676">
        <f>J576</f>
        <v>772.63679844369324</v>
      </c>
      <c r="H588" s="647"/>
      <c r="I588" s="647"/>
      <c r="J588" s="739"/>
      <c r="K588" s="761"/>
      <c r="L588" s="761"/>
    </row>
    <row r="589" spans="2:12">
      <c r="B589" s="739"/>
      <c r="C589" s="676">
        <f>+C588+1</f>
        <v>2</v>
      </c>
      <c r="D589" s="676">
        <f>D588-E588</f>
        <v>31438.989590997709</v>
      </c>
      <c r="E589" s="676">
        <f>G589-F589</f>
        <v>354.06361378487071</v>
      </c>
      <c r="F589" s="676">
        <f>D589*$D$577</f>
        <v>418.57318465882253</v>
      </c>
      <c r="G589" s="676">
        <f>G588</f>
        <v>772.63679844369324</v>
      </c>
      <c r="H589" s="647"/>
      <c r="I589" s="647"/>
      <c r="J589" s="739"/>
      <c r="K589" s="761"/>
      <c r="L589" s="761"/>
    </row>
    <row r="590" spans="2:12">
      <c r="B590" s="739"/>
      <c r="C590" s="676">
        <f>+C589+1</f>
        <v>3</v>
      </c>
      <c r="D590" s="676">
        <f>D589-E589</f>
        <v>31084.925977212839</v>
      </c>
      <c r="E590" s="676">
        <f>G590-F590</f>
        <v>358.77755454192925</v>
      </c>
      <c r="F590" s="676">
        <f>D590*$D$577</f>
        <v>413.85924390176399</v>
      </c>
      <c r="G590" s="676">
        <f>G589</f>
        <v>772.63679844369324</v>
      </c>
      <c r="H590" s="647"/>
      <c r="I590" s="647"/>
      <c r="J590" s="739"/>
      <c r="K590" s="761"/>
      <c r="L590" s="761"/>
    </row>
    <row r="591" spans="2:12">
      <c r="B591" s="739"/>
      <c r="C591" s="676">
        <f>+C590+1</f>
        <v>4</v>
      </c>
      <c r="D591" s="676">
        <f>D590-E590</f>
        <v>30726.148422670911</v>
      </c>
      <c r="E591" s="676">
        <f>G591-F591</f>
        <v>363.55425587814909</v>
      </c>
      <c r="F591" s="676">
        <f>D591*$D$577</f>
        <v>409.08254256554414</v>
      </c>
      <c r="G591" s="676">
        <f>G590</f>
        <v>772.63679844369324</v>
      </c>
      <c r="H591" s="647"/>
      <c r="I591" s="647"/>
      <c r="J591" s="739"/>
      <c r="K591" s="761"/>
      <c r="L591" s="761"/>
    </row>
    <row r="592" spans="2:12">
      <c r="B592" s="739"/>
      <c r="C592" s="676">
        <f>+C591+1</f>
        <v>5</v>
      </c>
      <c r="D592" s="676">
        <f>D591-E591</f>
        <v>30362.594166792762</v>
      </c>
      <c r="E592" s="676">
        <f>G592-F592</f>
        <v>368.39455337685621</v>
      </c>
      <c r="F592" s="676">
        <f>D592*$D$577</f>
        <v>404.24224506683703</v>
      </c>
      <c r="G592" s="676">
        <f>G591</f>
        <v>772.63679844369324</v>
      </c>
      <c r="H592" s="647">
        <f>SUM(G588:G592)</f>
        <v>3863.1839922184663</v>
      </c>
      <c r="I592" s="647"/>
      <c r="J592" s="739"/>
      <c r="K592" s="761"/>
      <c r="L592" s="761"/>
    </row>
    <row r="593" spans="2:12">
      <c r="B593" s="881"/>
      <c r="C593" s="676">
        <f t="shared" ref="C593:C647" si="52">+C592+1</f>
        <v>6</v>
      </c>
      <c r="D593" s="676">
        <f t="shared" ref="D593:D647" si="53">D592-E592</f>
        <v>29994.199613415905</v>
      </c>
      <c r="E593" s="676">
        <f t="shared" ref="E593:E647" si="54">G593-F593</f>
        <v>373.29929374618632</v>
      </c>
      <c r="F593" s="676">
        <f t="shared" ref="F593:F647" si="55">D593*$D$577</f>
        <v>399.33750469750692</v>
      </c>
      <c r="G593" s="676">
        <f>G592</f>
        <v>772.63679844369324</v>
      </c>
      <c r="H593" s="683"/>
      <c r="I593" s="683"/>
      <c r="J593" s="881"/>
      <c r="K593" s="761"/>
      <c r="L593" s="761"/>
    </row>
    <row r="594" spans="2:12">
      <c r="B594" s="881"/>
      <c r="C594" s="676">
        <f t="shared" si="52"/>
        <v>7</v>
      </c>
      <c r="D594" s="676">
        <f t="shared" si="53"/>
        <v>29620.900319669719</v>
      </c>
      <c r="E594" s="676">
        <f t="shared" si="54"/>
        <v>378.26933496719846</v>
      </c>
      <c r="F594" s="676">
        <f t="shared" si="55"/>
        <v>394.36746347649478</v>
      </c>
      <c r="G594" s="676">
        <f t="shared" ref="G594:G647" si="56">G593</f>
        <v>772.63679844369324</v>
      </c>
      <c r="H594" s="683"/>
      <c r="I594" s="683"/>
      <c r="J594" s="881"/>
      <c r="K594" s="761"/>
      <c r="L594" s="761"/>
    </row>
    <row r="595" spans="2:12">
      <c r="B595" s="881"/>
      <c r="C595" s="676">
        <f t="shared" si="52"/>
        <v>8</v>
      </c>
      <c r="D595" s="676">
        <f t="shared" si="53"/>
        <v>29242.630984702522</v>
      </c>
      <c r="E595" s="676">
        <f t="shared" si="54"/>
        <v>383.30554644396079</v>
      </c>
      <c r="F595" s="676">
        <f t="shared" si="55"/>
        <v>389.33125199973244</v>
      </c>
      <c r="G595" s="676">
        <f t="shared" si="56"/>
        <v>772.63679844369324</v>
      </c>
      <c r="H595" s="683"/>
      <c r="I595" s="683"/>
      <c r="J595" s="881"/>
      <c r="K595" s="761"/>
      <c r="L595" s="761"/>
    </row>
    <row r="596" spans="2:12">
      <c r="B596" s="881"/>
      <c r="C596" s="676">
        <f t="shared" si="52"/>
        <v>9</v>
      </c>
      <c r="D596" s="676">
        <f t="shared" si="53"/>
        <v>28859.325438258562</v>
      </c>
      <c r="E596" s="676">
        <f t="shared" si="54"/>
        <v>388.40880915563457</v>
      </c>
      <c r="F596" s="676">
        <f t="shared" si="55"/>
        <v>384.22798928805867</v>
      </c>
      <c r="G596" s="676">
        <f t="shared" si="56"/>
        <v>772.63679844369324</v>
      </c>
      <c r="H596" s="683"/>
      <c r="I596" s="683"/>
      <c r="J596" s="881"/>
      <c r="K596" s="761"/>
      <c r="L596" s="761"/>
    </row>
    <row r="597" spans="2:12">
      <c r="B597" s="881"/>
      <c r="C597" s="676">
        <f t="shared" si="52"/>
        <v>10</v>
      </c>
      <c r="D597" s="676">
        <f t="shared" si="53"/>
        <v>28470.916629102929</v>
      </c>
      <c r="E597" s="676">
        <f t="shared" si="54"/>
        <v>393.58001581058278</v>
      </c>
      <c r="F597" s="676">
        <f t="shared" si="55"/>
        <v>379.05678263311046</v>
      </c>
      <c r="G597" s="676">
        <f t="shared" si="56"/>
        <v>772.63679844369324</v>
      </c>
      <c r="H597" s="683"/>
      <c r="I597" s="683"/>
      <c r="J597" s="881"/>
      <c r="K597" s="761"/>
      <c r="L597" s="761"/>
    </row>
    <row r="598" spans="2:12">
      <c r="B598" s="881"/>
      <c r="C598" s="676">
        <f t="shared" si="52"/>
        <v>11</v>
      </c>
      <c r="D598" s="676">
        <f t="shared" si="53"/>
        <v>28077.336613292347</v>
      </c>
      <c r="E598" s="676">
        <f t="shared" si="54"/>
        <v>398.82007100253071</v>
      </c>
      <c r="F598" s="676">
        <f t="shared" si="55"/>
        <v>373.81672744116253</v>
      </c>
      <c r="G598" s="676">
        <f t="shared" si="56"/>
        <v>772.63679844369324</v>
      </c>
      <c r="H598" s="683"/>
      <c r="I598" s="683"/>
      <c r="J598" s="881"/>
      <c r="K598" s="761"/>
      <c r="L598" s="761"/>
    </row>
    <row r="599" spans="2:12">
      <c r="B599" s="881"/>
      <c r="C599" s="676">
        <f t="shared" si="52"/>
        <v>12</v>
      </c>
      <c r="D599" s="676">
        <f t="shared" si="53"/>
        <v>27678.516542289817</v>
      </c>
      <c r="E599" s="676">
        <f t="shared" si="54"/>
        <v>404.12989136880566</v>
      </c>
      <c r="F599" s="676">
        <f t="shared" si="55"/>
        <v>368.50690707488758</v>
      </c>
      <c r="G599" s="676">
        <f t="shared" si="56"/>
        <v>772.63679844369324</v>
      </c>
      <c r="H599" s="683"/>
      <c r="I599" s="683"/>
      <c r="J599" s="881"/>
      <c r="K599" s="761"/>
      <c r="L599" s="761"/>
    </row>
    <row r="600" spans="2:12">
      <c r="B600" s="881"/>
      <c r="C600" s="676">
        <f t="shared" si="52"/>
        <v>13</v>
      </c>
      <c r="D600" s="676">
        <f t="shared" si="53"/>
        <v>27274.386650921013</v>
      </c>
      <c r="E600" s="676">
        <f t="shared" si="54"/>
        <v>409.51040575068333</v>
      </c>
      <c r="F600" s="676">
        <f t="shared" si="55"/>
        <v>363.1263926930099</v>
      </c>
      <c r="G600" s="676">
        <f t="shared" si="56"/>
        <v>772.63679844369324</v>
      </c>
      <c r="H600" s="683"/>
      <c r="I600" s="683"/>
      <c r="J600" s="881"/>
      <c r="K600" s="761"/>
      <c r="L600" s="761"/>
    </row>
    <row r="601" spans="2:12">
      <c r="B601" s="881"/>
      <c r="C601" s="676">
        <f t="shared" si="52"/>
        <v>14</v>
      </c>
      <c r="D601" s="676">
        <f t="shared" si="53"/>
        <v>26864.87624517033</v>
      </c>
      <c r="E601" s="676">
        <f t="shared" si="54"/>
        <v>414.96255535586886</v>
      </c>
      <c r="F601" s="676">
        <f t="shared" si="55"/>
        <v>357.67424308782438</v>
      </c>
      <c r="G601" s="676">
        <f t="shared" si="56"/>
        <v>772.63679844369324</v>
      </c>
      <c r="H601" s="683"/>
      <c r="I601" s="683"/>
      <c r="J601" s="881"/>
      <c r="K601" s="761"/>
      <c r="L601" s="761"/>
    </row>
    <row r="602" spans="2:12">
      <c r="B602" s="881"/>
      <c r="C602" s="676">
        <f t="shared" si="52"/>
        <v>15</v>
      </c>
      <c r="D602" s="676">
        <f t="shared" si="53"/>
        <v>26449.913689814461</v>
      </c>
      <c r="E602" s="676">
        <f t="shared" si="54"/>
        <v>420.48729392314152</v>
      </c>
      <c r="F602" s="676">
        <f t="shared" si="55"/>
        <v>352.14950452055172</v>
      </c>
      <c r="G602" s="676">
        <f t="shared" si="56"/>
        <v>772.63679844369324</v>
      </c>
      <c r="H602" s="683"/>
      <c r="I602" s="683"/>
      <c r="J602" s="881"/>
      <c r="K602" s="761"/>
      <c r="L602" s="761"/>
    </row>
    <row r="603" spans="2:12">
      <c r="B603" s="881"/>
      <c r="C603" s="676">
        <f t="shared" si="52"/>
        <v>16</v>
      </c>
      <c r="D603" s="676">
        <f t="shared" si="53"/>
        <v>26029.426395891318</v>
      </c>
      <c r="E603" s="676">
        <f t="shared" si="54"/>
        <v>426.08558788919117</v>
      </c>
      <c r="F603" s="676">
        <f t="shared" si="55"/>
        <v>346.55121055450206</v>
      </c>
      <c r="G603" s="676">
        <f t="shared" si="56"/>
        <v>772.63679844369324</v>
      </c>
      <c r="H603" s="683"/>
      <c r="I603" s="683"/>
      <c r="J603" s="881"/>
      <c r="K603" s="761"/>
      <c r="L603" s="761"/>
    </row>
    <row r="604" spans="2:12">
      <c r="B604" s="881"/>
      <c r="C604" s="676">
        <f t="shared" si="52"/>
        <v>17</v>
      </c>
      <c r="D604" s="676">
        <f t="shared" si="53"/>
        <v>25603.340808002125</v>
      </c>
      <c r="E604" s="676">
        <f t="shared" si="54"/>
        <v>431.7584165576759</v>
      </c>
      <c r="F604" s="676">
        <f t="shared" si="55"/>
        <v>340.87838188601734</v>
      </c>
      <c r="G604" s="676">
        <f t="shared" si="56"/>
        <v>772.63679844369324</v>
      </c>
      <c r="H604" s="683"/>
      <c r="I604" s="683"/>
      <c r="J604" s="881"/>
      <c r="K604" s="761"/>
      <c r="L604" s="761"/>
    </row>
    <row r="605" spans="2:12">
      <c r="B605" s="881"/>
      <c r="C605" s="676">
        <f t="shared" si="52"/>
        <v>18</v>
      </c>
      <c r="D605" s="676">
        <f t="shared" si="53"/>
        <v>25171.582391444448</v>
      </c>
      <c r="E605" s="676">
        <f t="shared" si="54"/>
        <v>437.5067722705308</v>
      </c>
      <c r="F605" s="676">
        <f t="shared" si="55"/>
        <v>335.13002617316243</v>
      </c>
      <c r="G605" s="676">
        <f t="shared" si="56"/>
        <v>772.63679844369324</v>
      </c>
      <c r="H605" s="683"/>
      <c r="I605" s="683"/>
      <c r="J605" s="881"/>
      <c r="K605" s="761"/>
      <c r="L605" s="761"/>
    </row>
    <row r="606" spans="2:12">
      <c r="B606" s="881"/>
      <c r="C606" s="676">
        <f t="shared" si="52"/>
        <v>19</v>
      </c>
      <c r="D606" s="676">
        <f t="shared" si="53"/>
        <v>24734.075619173916</v>
      </c>
      <c r="E606" s="676">
        <f t="shared" si="54"/>
        <v>443.33166058155706</v>
      </c>
      <c r="F606" s="676">
        <f t="shared" si="55"/>
        <v>329.30513786213618</v>
      </c>
      <c r="G606" s="676">
        <f t="shared" si="56"/>
        <v>772.63679844369324</v>
      </c>
      <c r="H606" s="683"/>
      <c r="I606" s="683"/>
      <c r="J606" s="881"/>
      <c r="K606" s="761"/>
      <c r="L606" s="761"/>
    </row>
    <row r="607" spans="2:12">
      <c r="B607" s="881"/>
      <c r="C607" s="676">
        <f t="shared" si="52"/>
        <v>20</v>
      </c>
      <c r="D607" s="676">
        <f t="shared" si="53"/>
        <v>24290.74395859236</v>
      </c>
      <c r="E607" s="676">
        <f t="shared" si="54"/>
        <v>449.23410043232258</v>
      </c>
      <c r="F607" s="676">
        <f t="shared" si="55"/>
        <v>323.40269801137066</v>
      </c>
      <c r="G607" s="676">
        <f t="shared" si="56"/>
        <v>772.63679844369324</v>
      </c>
      <c r="H607" s="683"/>
      <c r="I607" s="683"/>
      <c r="J607" s="881"/>
      <c r="K607" s="761"/>
      <c r="L607" s="761"/>
    </row>
    <row r="608" spans="2:12">
      <c r="B608" s="881"/>
      <c r="C608" s="676">
        <f t="shared" si="52"/>
        <v>21</v>
      </c>
      <c r="D608" s="676">
        <f t="shared" si="53"/>
        <v>23841.509858160036</v>
      </c>
      <c r="E608" s="676">
        <f t="shared" si="54"/>
        <v>455.21512433040425</v>
      </c>
      <c r="F608" s="676">
        <f t="shared" si="55"/>
        <v>317.42167411328899</v>
      </c>
      <c r="G608" s="676">
        <f t="shared" si="56"/>
        <v>772.63679844369324</v>
      </c>
      <c r="H608" s="683"/>
      <c r="I608" s="683"/>
      <c r="J608" s="881"/>
      <c r="K608" s="761"/>
      <c r="L608" s="761"/>
    </row>
    <row r="609" spans="2:12">
      <c r="B609" s="881"/>
      <c r="C609" s="676">
        <f t="shared" si="52"/>
        <v>22</v>
      </c>
      <c r="D609" s="676">
        <f t="shared" si="53"/>
        <v>23386.294733829633</v>
      </c>
      <c r="E609" s="676">
        <f t="shared" si="54"/>
        <v>461.27577853000355</v>
      </c>
      <c r="F609" s="676">
        <f t="shared" si="55"/>
        <v>311.36101991368969</v>
      </c>
      <c r="G609" s="676">
        <f t="shared" si="56"/>
        <v>772.63679844369324</v>
      </c>
      <c r="H609" s="683"/>
      <c r="I609" s="683"/>
      <c r="J609" s="881"/>
      <c r="K609" s="761"/>
      <c r="L609" s="761"/>
    </row>
    <row r="610" spans="2:12">
      <c r="B610" s="881"/>
      <c r="C610" s="676">
        <f t="shared" si="52"/>
        <v>23</v>
      </c>
      <c r="D610" s="676">
        <f t="shared" si="53"/>
        <v>22925.018955299631</v>
      </c>
      <c r="E610" s="676">
        <f t="shared" si="54"/>
        <v>467.41712321496658</v>
      </c>
      <c r="F610" s="676">
        <f t="shared" si="55"/>
        <v>305.21967522872666</v>
      </c>
      <c r="G610" s="676">
        <f t="shared" si="56"/>
        <v>772.63679844369324</v>
      </c>
      <c r="H610" s="683"/>
      <c r="I610" s="683"/>
      <c r="J610" s="881"/>
      <c r="K610" s="761"/>
      <c r="L610" s="761"/>
    </row>
    <row r="611" spans="2:12">
      <c r="B611" s="881"/>
      <c r="C611" s="676">
        <f t="shared" si="52"/>
        <v>24</v>
      </c>
      <c r="D611" s="676">
        <f t="shared" si="53"/>
        <v>22457.601832084663</v>
      </c>
      <c r="E611" s="676">
        <f t="shared" si="54"/>
        <v>473.64023268424086</v>
      </c>
      <c r="F611" s="676">
        <f t="shared" si="55"/>
        <v>298.99656575945238</v>
      </c>
      <c r="G611" s="676">
        <f t="shared" si="56"/>
        <v>772.63679844369324</v>
      </c>
      <c r="H611" s="683"/>
      <c r="I611" s="683"/>
      <c r="J611" s="881"/>
      <c r="K611" s="761"/>
      <c r="L611" s="761"/>
    </row>
    <row r="612" spans="2:12">
      <c r="B612" s="881"/>
      <c r="C612" s="676">
        <f t="shared" si="52"/>
        <v>25</v>
      </c>
      <c r="D612" s="676">
        <f t="shared" si="53"/>
        <v>21983.961599400423</v>
      </c>
      <c r="E612" s="676">
        <f t="shared" si="54"/>
        <v>479.94619553980147</v>
      </c>
      <c r="F612" s="676">
        <f t="shared" si="55"/>
        <v>292.69060290389177</v>
      </c>
      <c r="G612" s="676">
        <f t="shared" si="56"/>
        <v>772.63679844369324</v>
      </c>
      <c r="H612" s="683"/>
      <c r="I612" s="683"/>
      <c r="J612" s="881"/>
      <c r="K612" s="761"/>
      <c r="L612" s="761"/>
    </row>
    <row r="613" spans="2:12">
      <c r="B613" s="881"/>
      <c r="C613" s="676">
        <f t="shared" si="52"/>
        <v>26</v>
      </c>
      <c r="D613" s="676">
        <f t="shared" si="53"/>
        <v>21504.015403860623</v>
      </c>
      <c r="E613" s="676">
        <f t="shared" si="54"/>
        <v>486.3361148770789</v>
      </c>
      <c r="F613" s="676">
        <f t="shared" si="55"/>
        <v>286.30068356661434</v>
      </c>
      <c r="G613" s="676">
        <f t="shared" si="56"/>
        <v>772.63679844369324</v>
      </c>
      <c r="H613" s="683"/>
      <c r="I613" s="683"/>
      <c r="J613" s="881"/>
      <c r="K613" s="761"/>
      <c r="L613" s="761"/>
    </row>
    <row r="614" spans="2:12">
      <c r="B614" s="881"/>
      <c r="C614" s="676">
        <f t="shared" si="52"/>
        <v>27</v>
      </c>
      <c r="D614" s="676">
        <f t="shared" si="53"/>
        <v>21017.679288983545</v>
      </c>
      <c r="E614" s="676">
        <f t="shared" si="54"/>
        <v>492.81110847792246</v>
      </c>
      <c r="F614" s="676">
        <f t="shared" si="55"/>
        <v>279.82568996577078</v>
      </c>
      <c r="G614" s="676">
        <f t="shared" si="56"/>
        <v>772.63679844369324</v>
      </c>
      <c r="H614" s="683"/>
      <c r="I614" s="683"/>
      <c r="J614" s="881"/>
      <c r="K614" s="761"/>
      <c r="L614" s="761"/>
    </row>
    <row r="615" spans="2:12">
      <c r="B615" s="881"/>
      <c r="C615" s="676">
        <f t="shared" si="52"/>
        <v>28</v>
      </c>
      <c r="D615" s="676">
        <f t="shared" si="53"/>
        <v>20524.868180505622</v>
      </c>
      <c r="E615" s="676">
        <f t="shared" si="54"/>
        <v>499.37230900613264</v>
      </c>
      <c r="F615" s="676">
        <f t="shared" si="55"/>
        <v>273.2644894375606</v>
      </c>
      <c r="G615" s="676">
        <f t="shared" si="56"/>
        <v>772.63679844369324</v>
      </c>
      <c r="H615" s="683"/>
      <c r="I615" s="683"/>
      <c r="J615" s="881"/>
      <c r="K615" s="761"/>
      <c r="L615" s="761"/>
    </row>
    <row r="616" spans="2:12">
      <c r="B616" s="881"/>
      <c r="C616" s="676">
        <f t="shared" si="52"/>
        <v>29</v>
      </c>
      <c r="D616" s="676">
        <f t="shared" si="53"/>
        <v>20025.49587149949</v>
      </c>
      <c r="E616" s="676">
        <f t="shared" si="54"/>
        <v>506.02086420559675</v>
      </c>
      <c r="F616" s="676">
        <f t="shared" si="55"/>
        <v>266.61593423809649</v>
      </c>
      <c r="G616" s="676">
        <f t="shared" si="56"/>
        <v>772.63679844369324</v>
      </c>
      <c r="H616" s="683"/>
      <c r="I616" s="683"/>
      <c r="J616" s="881"/>
      <c r="K616" s="761"/>
      <c r="L616" s="761"/>
    </row>
    <row r="617" spans="2:12">
      <c r="B617" s="881"/>
      <c r="C617" s="676">
        <f t="shared" si="52"/>
        <v>30</v>
      </c>
      <c r="D617" s="676">
        <f t="shared" si="53"/>
        <v>19519.475007293895</v>
      </c>
      <c r="E617" s="676">
        <f t="shared" si="54"/>
        <v>512.75793710106268</v>
      </c>
      <c r="F617" s="676">
        <f t="shared" si="55"/>
        <v>259.87886134263056</v>
      </c>
      <c r="G617" s="676">
        <f t="shared" si="56"/>
        <v>772.63679844369324</v>
      </c>
      <c r="H617" s="683"/>
      <c r="I617" s="683"/>
      <c r="J617" s="881"/>
      <c r="K617" s="761"/>
      <c r="L617" s="761"/>
    </row>
    <row r="618" spans="2:12">
      <c r="B618" s="881"/>
      <c r="C618" s="676">
        <f t="shared" si="52"/>
        <v>31</v>
      </c>
      <c r="D618" s="676">
        <f t="shared" si="53"/>
        <v>19006.717070192833</v>
      </c>
      <c r="E618" s="676">
        <f t="shared" si="54"/>
        <v>519.58470620158539</v>
      </c>
      <c r="F618" s="676">
        <f t="shared" si="55"/>
        <v>253.05209224210782</v>
      </c>
      <c r="G618" s="676">
        <f t="shared" si="56"/>
        <v>772.63679844369324</v>
      </c>
      <c r="H618" s="683"/>
      <c r="I618" s="683"/>
      <c r="J618" s="881"/>
      <c r="K618" s="761"/>
      <c r="L618" s="761"/>
    </row>
    <row r="619" spans="2:12">
      <c r="B619" s="881"/>
      <c r="C619" s="676">
        <f t="shared" si="52"/>
        <v>32</v>
      </c>
      <c r="D619" s="676">
        <f t="shared" si="53"/>
        <v>18487.132363991248</v>
      </c>
      <c r="E619" s="676">
        <f t="shared" si="54"/>
        <v>526.50236570668267</v>
      </c>
      <c r="F619" s="676">
        <f t="shared" si="55"/>
        <v>246.13443273701063</v>
      </c>
      <c r="G619" s="676">
        <f t="shared" si="56"/>
        <v>772.63679844369324</v>
      </c>
      <c r="H619" s="683"/>
      <c r="I619" s="683"/>
      <c r="J619" s="881"/>
      <c r="K619" s="761"/>
      <c r="L619" s="761"/>
    </row>
    <row r="620" spans="2:12">
      <c r="B620" s="881"/>
      <c r="C620" s="676">
        <f t="shared" si="52"/>
        <v>33</v>
      </c>
      <c r="D620" s="676">
        <f t="shared" si="53"/>
        <v>17960.629998284567</v>
      </c>
      <c r="E620" s="676">
        <f t="shared" si="54"/>
        <v>533.51212571523433</v>
      </c>
      <c r="F620" s="676">
        <f t="shared" si="55"/>
        <v>239.1246727284589</v>
      </c>
      <c r="G620" s="676">
        <f t="shared" si="56"/>
        <v>772.63679844369324</v>
      </c>
      <c r="H620" s="683"/>
      <c r="I620" s="683"/>
      <c r="J620" s="881"/>
      <c r="K620" s="761"/>
      <c r="L620" s="761"/>
    </row>
    <row r="621" spans="2:12">
      <c r="B621" s="881"/>
      <c r="C621" s="676">
        <f t="shared" si="52"/>
        <v>34</v>
      </c>
      <c r="D621" s="676">
        <f t="shared" si="53"/>
        <v>17427.117872569332</v>
      </c>
      <c r="E621" s="676">
        <f t="shared" si="54"/>
        <v>540.6152124371647</v>
      </c>
      <c r="F621" s="676">
        <f t="shared" si="55"/>
        <v>232.02158600652851</v>
      </c>
      <c r="G621" s="676">
        <f t="shared" si="56"/>
        <v>772.63679844369324</v>
      </c>
      <c r="H621" s="683"/>
      <c r="I621" s="683"/>
      <c r="J621" s="881"/>
      <c r="K621" s="761"/>
      <c r="L621" s="761"/>
    </row>
    <row r="622" spans="2:12">
      <c r="B622" s="881"/>
      <c r="C622" s="676">
        <f t="shared" si="52"/>
        <v>35</v>
      </c>
      <c r="D622" s="676">
        <f t="shared" si="53"/>
        <v>16886.502660132166</v>
      </c>
      <c r="E622" s="676">
        <f t="shared" si="54"/>
        <v>547.81286840794144</v>
      </c>
      <c r="F622" s="676">
        <f t="shared" si="55"/>
        <v>224.82393003575183</v>
      </c>
      <c r="G622" s="676">
        <f t="shared" si="56"/>
        <v>772.63679844369324</v>
      </c>
      <c r="H622" s="683"/>
      <c r="I622" s="683"/>
      <c r="J622" s="881"/>
      <c r="K622" s="761"/>
      <c r="L622" s="761"/>
    </row>
    <row r="623" spans="2:12">
      <c r="B623" s="881"/>
      <c r="C623" s="676">
        <f t="shared" si="52"/>
        <v>36</v>
      </c>
      <c r="D623" s="676">
        <f t="shared" si="53"/>
        <v>16338.689791724224</v>
      </c>
      <c r="E623" s="676">
        <f t="shared" si="54"/>
        <v>555.10635270593093</v>
      </c>
      <c r="F623" s="676">
        <f t="shared" si="55"/>
        <v>217.53044573776234</v>
      </c>
      <c r="G623" s="676">
        <f t="shared" si="56"/>
        <v>772.63679844369324</v>
      </c>
      <c r="H623" s="683"/>
      <c r="I623" s="683"/>
      <c r="J623" s="881"/>
      <c r="K623" s="761"/>
      <c r="L623" s="761"/>
    </row>
    <row r="624" spans="2:12">
      <c r="B624" s="881"/>
      <c r="C624" s="676">
        <f t="shared" si="52"/>
        <v>37</v>
      </c>
      <c r="D624" s="676">
        <f t="shared" si="53"/>
        <v>15783.583439018294</v>
      </c>
      <c r="E624" s="676">
        <f t="shared" si="54"/>
        <v>562.49694117264789</v>
      </c>
      <c r="F624" s="676">
        <f t="shared" si="55"/>
        <v>210.13985727104532</v>
      </c>
      <c r="G624" s="676">
        <f t="shared" si="56"/>
        <v>772.63679844369324</v>
      </c>
      <c r="H624" s="683"/>
      <c r="I624" s="683"/>
      <c r="J624" s="881"/>
      <c r="K624" s="761"/>
      <c r="L624" s="761"/>
    </row>
    <row r="625" spans="2:12">
      <c r="B625" s="881"/>
      <c r="C625" s="676">
        <f t="shared" si="52"/>
        <v>38</v>
      </c>
      <c r="D625" s="676">
        <f t="shared" si="53"/>
        <v>15221.086497845645</v>
      </c>
      <c r="E625" s="676">
        <f t="shared" si="54"/>
        <v>569.98592663593718</v>
      </c>
      <c r="F625" s="676">
        <f t="shared" si="55"/>
        <v>202.65087180775612</v>
      </c>
      <c r="G625" s="676">
        <f t="shared" si="56"/>
        <v>772.63679844369324</v>
      </c>
      <c r="H625" s="683"/>
      <c r="I625" s="683"/>
      <c r="J625" s="881"/>
      <c r="K625" s="761"/>
      <c r="L625" s="761"/>
    </row>
    <row r="626" spans="2:12">
      <c r="B626" s="881"/>
      <c r="C626" s="676">
        <f t="shared" si="52"/>
        <v>39</v>
      </c>
      <c r="D626" s="676">
        <f t="shared" si="53"/>
        <v>14651.100571209707</v>
      </c>
      <c r="E626" s="676">
        <f t="shared" si="54"/>
        <v>577.57461913612588</v>
      </c>
      <c r="F626" s="676">
        <f t="shared" si="55"/>
        <v>195.06217930756742</v>
      </c>
      <c r="G626" s="676">
        <f t="shared" si="56"/>
        <v>772.63679844369324</v>
      </c>
      <c r="H626" s="683"/>
      <c r="I626" s="683"/>
      <c r="J626" s="881"/>
      <c r="K626" s="761"/>
      <c r="L626" s="761"/>
    </row>
    <row r="627" spans="2:12">
      <c r="B627" s="881"/>
      <c r="C627" s="676">
        <f t="shared" si="52"/>
        <v>40</v>
      </c>
      <c r="D627" s="676">
        <f t="shared" si="53"/>
        <v>14073.525952073582</v>
      </c>
      <c r="E627" s="676">
        <f t="shared" si="54"/>
        <v>585.26434615518815</v>
      </c>
      <c r="F627" s="676">
        <f t="shared" si="55"/>
        <v>187.37245228850509</v>
      </c>
      <c r="G627" s="676">
        <f t="shared" si="56"/>
        <v>772.63679844369324</v>
      </c>
      <c r="H627" s="683"/>
      <c r="I627" s="683"/>
      <c r="J627" s="881"/>
      <c r="K627" s="761"/>
      <c r="L627" s="761"/>
    </row>
    <row r="628" spans="2:12">
      <c r="B628" s="881"/>
      <c r="C628" s="676">
        <f t="shared" si="52"/>
        <v>41</v>
      </c>
      <c r="D628" s="676">
        <f t="shared" si="53"/>
        <v>13488.261605918393</v>
      </c>
      <c r="E628" s="676">
        <f t="shared" si="54"/>
        <v>593.05645284896013</v>
      </c>
      <c r="F628" s="676">
        <f t="shared" si="55"/>
        <v>179.5803455947331</v>
      </c>
      <c r="G628" s="676">
        <f t="shared" si="56"/>
        <v>772.63679844369324</v>
      </c>
      <c r="H628" s="683"/>
      <c r="I628" s="683"/>
      <c r="J628" s="881"/>
      <c r="K628" s="761"/>
      <c r="L628" s="761"/>
    </row>
    <row r="629" spans="2:12">
      <c r="B629" s="881"/>
      <c r="C629" s="676">
        <f t="shared" si="52"/>
        <v>42</v>
      </c>
      <c r="D629" s="676">
        <f t="shared" si="53"/>
        <v>12895.205153069433</v>
      </c>
      <c r="E629" s="676">
        <f t="shared" si="54"/>
        <v>600.95230228244623</v>
      </c>
      <c r="F629" s="676">
        <f t="shared" si="55"/>
        <v>171.68449616124704</v>
      </c>
      <c r="G629" s="676">
        <f t="shared" si="56"/>
        <v>772.63679844369324</v>
      </c>
      <c r="H629" s="683"/>
      <c r="I629" s="683"/>
      <c r="J629" s="881"/>
      <c r="K629" s="761"/>
      <c r="L629" s="761"/>
    </row>
    <row r="630" spans="2:12">
      <c r="B630" s="881"/>
      <c r="C630" s="676">
        <f t="shared" si="52"/>
        <v>43</v>
      </c>
      <c r="D630" s="676">
        <f t="shared" si="53"/>
        <v>12294.252850786987</v>
      </c>
      <c r="E630" s="676">
        <f t="shared" si="54"/>
        <v>608.95327566825893</v>
      </c>
      <c r="F630" s="676">
        <f t="shared" si="55"/>
        <v>163.68352277543434</v>
      </c>
      <c r="G630" s="676">
        <f t="shared" si="56"/>
        <v>772.63679844369324</v>
      </c>
      <c r="H630" s="683"/>
      <c r="I630" s="683"/>
      <c r="J630" s="881"/>
      <c r="K630" s="761"/>
      <c r="L630" s="761"/>
    </row>
    <row r="631" spans="2:12">
      <c r="B631" s="881"/>
      <c r="C631" s="676">
        <f t="shared" si="52"/>
        <v>44</v>
      </c>
      <c r="D631" s="676">
        <f t="shared" si="53"/>
        <v>11685.299575118728</v>
      </c>
      <c r="E631" s="676">
        <f t="shared" si="54"/>
        <v>617.06077260823281</v>
      </c>
      <c r="F631" s="676">
        <f t="shared" si="55"/>
        <v>155.57602583546046</v>
      </c>
      <c r="G631" s="676">
        <f t="shared" si="56"/>
        <v>772.63679844369324</v>
      </c>
      <c r="H631" s="683"/>
      <c r="I631" s="683"/>
      <c r="J631" s="881"/>
      <c r="K631" s="761"/>
      <c r="L631" s="761"/>
    </row>
    <row r="632" spans="2:12">
      <c r="B632" s="881"/>
      <c r="C632" s="676">
        <f t="shared" si="52"/>
        <v>45</v>
      </c>
      <c r="D632" s="676">
        <f t="shared" si="53"/>
        <v>11068.238802510496</v>
      </c>
      <c r="E632" s="676">
        <f t="shared" si="54"/>
        <v>625.27621133825539</v>
      </c>
      <c r="F632" s="676">
        <f t="shared" si="55"/>
        <v>147.36058710543782</v>
      </c>
      <c r="G632" s="676">
        <f t="shared" si="56"/>
        <v>772.63679844369324</v>
      </c>
      <c r="H632" s="683"/>
      <c r="I632" s="683"/>
      <c r="J632" s="881"/>
      <c r="K632" s="761"/>
      <c r="L632" s="761"/>
    </row>
    <row r="633" spans="2:12">
      <c r="B633" s="881"/>
      <c r="C633" s="676">
        <f t="shared" si="52"/>
        <v>46</v>
      </c>
      <c r="D633" s="676">
        <f t="shared" si="53"/>
        <v>10442.96259117224</v>
      </c>
      <c r="E633" s="676">
        <f t="shared" si="54"/>
        <v>633.60102897635784</v>
      </c>
      <c r="F633" s="676">
        <f t="shared" si="55"/>
        <v>139.03576946733537</v>
      </c>
      <c r="G633" s="676">
        <f t="shared" si="56"/>
        <v>772.63679844369324</v>
      </c>
      <c r="H633" s="683"/>
      <c r="I633" s="683"/>
      <c r="J633" s="881"/>
      <c r="K633" s="761"/>
      <c r="L633" s="761"/>
    </row>
    <row r="634" spans="2:12">
      <c r="B634" s="881"/>
      <c r="C634" s="676">
        <f t="shared" si="52"/>
        <v>47</v>
      </c>
      <c r="D634" s="676">
        <f t="shared" si="53"/>
        <v>9809.3615621958816</v>
      </c>
      <c r="E634" s="676">
        <f t="shared" si="54"/>
        <v>642.03668177410816</v>
      </c>
      <c r="F634" s="676">
        <f t="shared" si="55"/>
        <v>130.60011666958511</v>
      </c>
      <c r="G634" s="676">
        <f t="shared" si="56"/>
        <v>772.63679844369324</v>
      </c>
      <c r="H634" s="683"/>
      <c r="I634" s="683"/>
      <c r="J634" s="881"/>
      <c r="K634" s="761"/>
      <c r="L634" s="761"/>
    </row>
    <row r="635" spans="2:12">
      <c r="B635" s="881"/>
      <c r="C635" s="676">
        <f t="shared" si="52"/>
        <v>48</v>
      </c>
      <c r="D635" s="676">
        <f t="shared" si="53"/>
        <v>9167.3248804217728</v>
      </c>
      <c r="E635" s="676">
        <f t="shared" si="54"/>
        <v>650.58464537135183</v>
      </c>
      <c r="F635" s="676">
        <f t="shared" si="55"/>
        <v>122.05215307234143</v>
      </c>
      <c r="G635" s="676">
        <f t="shared" si="56"/>
        <v>772.63679844369324</v>
      </c>
      <c r="H635" s="683"/>
      <c r="I635" s="683"/>
      <c r="J635" s="881"/>
      <c r="K635" s="761"/>
      <c r="L635" s="761"/>
    </row>
    <row r="636" spans="2:12">
      <c r="B636" s="881"/>
      <c r="C636" s="676">
        <f t="shared" si="52"/>
        <v>49</v>
      </c>
      <c r="D636" s="676">
        <f t="shared" si="53"/>
        <v>8516.7402350504217</v>
      </c>
      <c r="E636" s="676">
        <f t="shared" si="54"/>
        <v>659.2464150543442</v>
      </c>
      <c r="F636" s="676">
        <f t="shared" si="55"/>
        <v>113.39038338934904</v>
      </c>
      <c r="G636" s="676">
        <f t="shared" si="56"/>
        <v>772.63679844369324</v>
      </c>
      <c r="H636" s="683"/>
      <c r="I636" s="683"/>
      <c r="J636" s="881"/>
      <c r="K636" s="761"/>
      <c r="L636" s="761"/>
    </row>
    <row r="637" spans="2:12">
      <c r="B637" s="881"/>
      <c r="C637" s="676">
        <f t="shared" si="52"/>
        <v>50</v>
      </c>
      <c r="D637" s="676">
        <f t="shared" si="53"/>
        <v>7857.4938199960779</v>
      </c>
      <c r="E637" s="676">
        <f t="shared" si="54"/>
        <v>668.02350601731916</v>
      </c>
      <c r="F637" s="676">
        <f t="shared" si="55"/>
        <v>104.61329242637412</v>
      </c>
      <c r="G637" s="676">
        <f t="shared" si="56"/>
        <v>772.63679844369324</v>
      </c>
      <c r="H637" s="683"/>
      <c r="I637" s="683"/>
      <c r="J637" s="881"/>
      <c r="K637" s="761"/>
      <c r="L637" s="761"/>
    </row>
    <row r="638" spans="2:12">
      <c r="B638" s="881"/>
      <c r="C638" s="676">
        <f t="shared" si="52"/>
        <v>51</v>
      </c>
      <c r="D638" s="676">
        <f t="shared" si="53"/>
        <v>7189.4703139787589</v>
      </c>
      <c r="E638" s="676">
        <f t="shared" si="54"/>
        <v>676.91745362754023</v>
      </c>
      <c r="F638" s="676">
        <f t="shared" si="55"/>
        <v>95.719344816152969</v>
      </c>
      <c r="G638" s="676">
        <f t="shared" si="56"/>
        <v>772.63679844369324</v>
      </c>
      <c r="H638" s="683"/>
      <c r="I638" s="683"/>
      <c r="J638" s="881"/>
      <c r="K638" s="761"/>
      <c r="L638" s="761"/>
    </row>
    <row r="639" spans="2:12">
      <c r="B639" s="881"/>
      <c r="C639" s="676">
        <f t="shared" si="52"/>
        <v>52</v>
      </c>
      <c r="D639" s="676">
        <f t="shared" si="53"/>
        <v>6512.5528603512184</v>
      </c>
      <c r="E639" s="676">
        <f t="shared" si="54"/>
        <v>685.92981369388133</v>
      </c>
      <c r="F639" s="676">
        <f t="shared" si="55"/>
        <v>86.706984749811909</v>
      </c>
      <c r="G639" s="676">
        <f t="shared" si="56"/>
        <v>772.63679844369324</v>
      </c>
      <c r="H639" s="683"/>
      <c r="I639" s="683"/>
      <c r="J639" s="881"/>
      <c r="K639" s="761"/>
      <c r="L639" s="761"/>
    </row>
    <row r="640" spans="2:12">
      <c r="B640" s="881"/>
      <c r="C640" s="676">
        <f t="shared" si="52"/>
        <v>53</v>
      </c>
      <c r="D640" s="676">
        <f t="shared" si="53"/>
        <v>5826.623046657337</v>
      </c>
      <c r="E640" s="676">
        <f t="shared" si="54"/>
        <v>695.06216273898212</v>
      </c>
      <c r="F640" s="676">
        <f t="shared" si="55"/>
        <v>77.574635704711142</v>
      </c>
      <c r="G640" s="676">
        <f t="shared" si="56"/>
        <v>772.63679844369324</v>
      </c>
      <c r="H640" s="683"/>
      <c r="I640" s="683"/>
      <c r="J640" s="881"/>
      <c r="K640" s="761"/>
      <c r="L640" s="761"/>
    </row>
    <row r="641" spans="2:12">
      <c r="B641" s="881"/>
      <c r="C641" s="676">
        <f t="shared" si="52"/>
        <v>54</v>
      </c>
      <c r="D641" s="676">
        <f t="shared" si="53"/>
        <v>5131.5608839183551</v>
      </c>
      <c r="E641" s="676">
        <f t="shared" si="54"/>
        <v>704.3160982750278</v>
      </c>
      <c r="F641" s="676">
        <f t="shared" si="55"/>
        <v>68.320700168665439</v>
      </c>
      <c r="G641" s="676">
        <f t="shared" si="56"/>
        <v>772.63679844369324</v>
      </c>
      <c r="H641" s="683"/>
      <c r="I641" s="683"/>
      <c r="J641" s="881"/>
      <c r="K641" s="761"/>
      <c r="L641" s="761"/>
    </row>
    <row r="642" spans="2:12">
      <c r="B642" s="881"/>
      <c r="C642" s="676">
        <f t="shared" si="52"/>
        <v>55</v>
      </c>
      <c r="D642" s="676">
        <f t="shared" si="53"/>
        <v>4427.2447856433273</v>
      </c>
      <c r="E642" s="676">
        <f t="shared" si="54"/>
        <v>713.6932390832003</v>
      </c>
      <c r="F642" s="676">
        <f t="shared" si="55"/>
        <v>58.943559360492955</v>
      </c>
      <c r="G642" s="676">
        <f t="shared" si="56"/>
        <v>772.63679844369324</v>
      </c>
      <c r="H642" s="683"/>
      <c r="I642" s="683"/>
      <c r="J642" s="881"/>
      <c r="K642" s="761"/>
      <c r="L642" s="761"/>
    </row>
    <row r="643" spans="2:12">
      <c r="B643" s="881"/>
      <c r="C643" s="676">
        <f t="shared" si="52"/>
        <v>56</v>
      </c>
      <c r="D643" s="676">
        <f t="shared" si="53"/>
        <v>3713.551546560127</v>
      </c>
      <c r="E643" s="676">
        <f t="shared" si="54"/>
        <v>723.19522549684973</v>
      </c>
      <c r="F643" s="676">
        <f t="shared" si="55"/>
        <v>49.441572946843543</v>
      </c>
      <c r="G643" s="676">
        <f t="shared" si="56"/>
        <v>772.63679844369324</v>
      </c>
      <c r="H643" s="683"/>
      <c r="I643" s="683"/>
      <c r="J643" s="881"/>
      <c r="K643" s="761"/>
      <c r="L643" s="761"/>
    </row>
    <row r="644" spans="2:12">
      <c r="B644" s="881"/>
      <c r="C644" s="676">
        <f t="shared" si="52"/>
        <v>57</v>
      </c>
      <c r="D644" s="676">
        <f t="shared" si="53"/>
        <v>2990.3563210632774</v>
      </c>
      <c r="E644" s="676">
        <f t="shared" si="54"/>
        <v>732.8237196884362</v>
      </c>
      <c r="F644" s="676">
        <f t="shared" si="55"/>
        <v>39.813078755256988</v>
      </c>
      <c r="G644" s="676">
        <f t="shared" si="56"/>
        <v>772.63679844369324</v>
      </c>
      <c r="H644" s="683"/>
      <c r="I644" s="683"/>
      <c r="J644" s="881"/>
      <c r="K644" s="761"/>
      <c r="L644" s="761"/>
    </row>
    <row r="645" spans="2:12">
      <c r="B645" s="881"/>
      <c r="C645" s="676">
        <f t="shared" si="52"/>
        <v>58</v>
      </c>
      <c r="D645" s="676">
        <f t="shared" si="53"/>
        <v>2257.5326013748413</v>
      </c>
      <c r="E645" s="676">
        <f t="shared" si="54"/>
        <v>742.5804059602923</v>
      </c>
      <c r="F645" s="676">
        <f t="shared" si="55"/>
        <v>30.056392483400924</v>
      </c>
      <c r="G645" s="676">
        <f t="shared" si="56"/>
        <v>772.63679844369324</v>
      </c>
      <c r="H645" s="683"/>
      <c r="I645" s="683"/>
      <c r="J645" s="881"/>
      <c r="K645" s="761"/>
      <c r="L645" s="761"/>
    </row>
    <row r="646" spans="2:12">
      <c r="B646" s="881"/>
      <c r="C646" s="676">
        <f t="shared" si="52"/>
        <v>59</v>
      </c>
      <c r="D646" s="676">
        <f t="shared" si="53"/>
        <v>1514.9521954145489</v>
      </c>
      <c r="E646" s="676">
        <f t="shared" si="54"/>
        <v>752.46699103925562</v>
      </c>
      <c r="F646" s="676">
        <f t="shared" si="55"/>
        <v>20.169807404437613</v>
      </c>
      <c r="G646" s="676">
        <f t="shared" si="56"/>
        <v>772.63679844369324</v>
      </c>
      <c r="H646" s="683"/>
      <c r="I646" s="683"/>
      <c r="J646" s="881"/>
      <c r="K646" s="761"/>
      <c r="L646" s="761"/>
    </row>
    <row r="647" spans="2:12" ht="26.25">
      <c r="B647" s="881"/>
      <c r="C647" s="676">
        <f t="shared" si="52"/>
        <v>60</v>
      </c>
      <c r="D647" s="684">
        <f t="shared" si="53"/>
        <v>762.48520437529328</v>
      </c>
      <c r="E647" s="684">
        <f t="shared" si="54"/>
        <v>762.48520437522518</v>
      </c>
      <c r="F647" s="676">
        <f t="shared" si="55"/>
        <v>10.151594068468004</v>
      </c>
      <c r="G647" s="676">
        <f t="shared" si="56"/>
        <v>772.63679844369324</v>
      </c>
      <c r="H647" s="683"/>
      <c r="I647" s="683"/>
      <c r="J647" s="881"/>
      <c r="K647" s="761"/>
      <c r="L647" s="761"/>
    </row>
    <row r="649" spans="2:12" ht="33.75">
      <c r="B649" s="882">
        <v>10.7</v>
      </c>
    </row>
    <row r="650" spans="2:12" ht="47.25" customHeight="1">
      <c r="B650" s="1288" t="s">
        <v>682</v>
      </c>
      <c r="C650" s="1288"/>
      <c r="D650" s="1288"/>
      <c r="E650" s="1288"/>
      <c r="F650" s="714"/>
      <c r="G650" s="966" t="s">
        <v>683</v>
      </c>
      <c r="H650" s="714"/>
      <c r="I650" s="714"/>
      <c r="J650" s="714"/>
    </row>
    <row r="651" spans="2:12" ht="23.25">
      <c r="B651" s="714"/>
      <c r="C651" s="714"/>
      <c r="D651" s="714"/>
      <c r="E651" s="714"/>
      <c r="F651" s="714"/>
      <c r="G651" s="883">
        <v>0</v>
      </c>
      <c r="H651" s="714"/>
      <c r="I651" s="714"/>
      <c r="J651" s="714"/>
    </row>
    <row r="652" spans="2:12" ht="69.75">
      <c r="B652" s="841" t="s">
        <v>684</v>
      </c>
      <c r="C652" s="969" t="s">
        <v>784</v>
      </c>
      <c r="D652" s="969" t="s">
        <v>685</v>
      </c>
      <c r="E652" s="969" t="s">
        <v>686</v>
      </c>
      <c r="F652" s="969" t="s">
        <v>687</v>
      </c>
      <c r="G652" s="969" t="s">
        <v>688</v>
      </c>
      <c r="H652" s="969" t="s">
        <v>689</v>
      </c>
      <c r="I652" s="969" t="s">
        <v>690</v>
      </c>
      <c r="J652" s="714"/>
    </row>
    <row r="653" spans="2:12" ht="23.25">
      <c r="B653" s="784" t="s">
        <v>691</v>
      </c>
      <c r="C653" s="884">
        <f>C350</f>
        <v>0.6</v>
      </c>
      <c r="D653" s="677">
        <f>D350</f>
        <v>47682.601799999997</v>
      </c>
      <c r="E653" s="883">
        <f>E350</f>
        <v>0.26392900000000002</v>
      </c>
      <c r="F653" s="884">
        <f>C653*E653</f>
        <v>0.15835740000000001</v>
      </c>
      <c r="G653" s="969" t="s">
        <v>692</v>
      </c>
      <c r="H653" s="969" t="s">
        <v>693</v>
      </c>
      <c r="I653" s="688">
        <f>F653</f>
        <v>0.15835740000000001</v>
      </c>
      <c r="J653" s="714"/>
    </row>
    <row r="654" spans="2:12" ht="23.25">
      <c r="B654" s="784" t="s">
        <v>694</v>
      </c>
      <c r="C654" s="884">
        <f>C351</f>
        <v>0.4</v>
      </c>
      <c r="D654" s="677">
        <f>D351</f>
        <v>31788.4012</v>
      </c>
      <c r="E654" s="883">
        <f>F351</f>
        <v>0.17199999999999999</v>
      </c>
      <c r="F654" s="884">
        <f>C654*E654</f>
        <v>6.88E-2</v>
      </c>
      <c r="G654" s="692" t="s">
        <v>692</v>
      </c>
      <c r="H654" s="883" t="s">
        <v>693</v>
      </c>
      <c r="I654" s="688">
        <f>F654</f>
        <v>6.88E-2</v>
      </c>
      <c r="J654" s="714"/>
    </row>
    <row r="655" spans="2:12" ht="23.25">
      <c r="B655" s="784"/>
      <c r="C655" s="885"/>
      <c r="D655" s="677"/>
      <c r="E655" s="886"/>
      <c r="F655" s="885">
        <f>C655*E655</f>
        <v>0</v>
      </c>
      <c r="G655" s="887"/>
      <c r="H655" s="746"/>
      <c r="I655" s="688">
        <f>F655*G655</f>
        <v>0</v>
      </c>
      <c r="J655" s="714"/>
    </row>
    <row r="656" spans="2:12" ht="69.75">
      <c r="B656" s="969" t="s">
        <v>183</v>
      </c>
      <c r="C656" s="888">
        <f>SUM(C653:C655)</f>
        <v>1</v>
      </c>
      <c r="D656" s="794">
        <f>SUM(D653:D655)</f>
        <v>79471.002999999997</v>
      </c>
      <c r="E656" s="969"/>
      <c r="F656" s="888">
        <f>SUM(F653:F655)</f>
        <v>0.22715740000000001</v>
      </c>
      <c r="G656" s="784"/>
      <c r="H656" s="746"/>
      <c r="I656" s="889">
        <f>SUM(I653:I655)</f>
        <v>0.22715740000000001</v>
      </c>
      <c r="J656" s="965" t="s">
        <v>695</v>
      </c>
    </row>
    <row r="657" spans="2:10" ht="23.25">
      <c r="B657" s="714"/>
      <c r="C657" s="714"/>
      <c r="D657" s="714"/>
      <c r="E657" s="714"/>
      <c r="F657" s="714"/>
      <c r="G657" s="714"/>
      <c r="H657" s="714"/>
      <c r="I657" s="871" t="s">
        <v>696</v>
      </c>
      <c r="J657" s="714"/>
    </row>
    <row r="658" spans="2:10">
      <c r="B658" s="761"/>
      <c r="C658" s="761"/>
      <c r="D658" s="761"/>
    </row>
    <row r="659" spans="2:10" ht="34.5" thickBot="1">
      <c r="B659" s="874">
        <v>10.8</v>
      </c>
      <c r="C659" s="761"/>
      <c r="D659" s="761"/>
    </row>
    <row r="660" spans="2:10" ht="27" thickBot="1">
      <c r="B660" s="1328" t="s">
        <v>785</v>
      </c>
      <c r="C660" s="1329"/>
      <c r="D660" s="1329"/>
      <c r="E660" s="1330"/>
    </row>
    <row r="662" spans="2:10" ht="26.25">
      <c r="B662" s="1331" t="s">
        <v>698</v>
      </c>
      <c r="C662" s="1332"/>
      <c r="D662" s="1267" t="s">
        <v>699</v>
      </c>
      <c r="E662" s="1269"/>
    </row>
    <row r="663" spans="2:10" ht="69.75">
      <c r="B663" s="969" t="s">
        <v>786</v>
      </c>
      <c r="C663" s="840">
        <f>D346</f>
        <v>10365.782999999999</v>
      </c>
      <c r="D663" s="969" t="s">
        <v>701</v>
      </c>
      <c r="E663" s="639">
        <f>(D654+D655)/5</f>
        <v>6357.6802399999997</v>
      </c>
      <c r="F663" s="776" t="s">
        <v>702</v>
      </c>
    </row>
    <row r="664" spans="2:10" ht="42">
      <c r="B664" s="969" t="s">
        <v>703</v>
      </c>
      <c r="C664" s="969"/>
      <c r="D664" s="969" t="s">
        <v>704</v>
      </c>
      <c r="E664" s="639">
        <f>((D654+D655)/5)*4</f>
        <v>25430.720959999999</v>
      </c>
      <c r="F664" s="777" t="s">
        <v>705</v>
      </c>
    </row>
    <row r="665" spans="2:10" ht="46.5">
      <c r="B665" s="969" t="s">
        <v>706</v>
      </c>
      <c r="C665" s="840">
        <f>D344+D345</f>
        <v>69105.22</v>
      </c>
      <c r="D665" s="890" t="s">
        <v>707</v>
      </c>
      <c r="E665" s="891">
        <f>SUM(E663:E664)</f>
        <v>31788.4012</v>
      </c>
      <c r="F665" s="776"/>
    </row>
    <row r="666" spans="2:10" ht="23.25">
      <c r="B666" s="841"/>
      <c r="C666" s="841"/>
      <c r="D666" s="965" t="s">
        <v>708</v>
      </c>
      <c r="E666" s="841"/>
      <c r="F666" s="776"/>
    </row>
    <row r="667" spans="2:10" ht="23.25">
      <c r="B667" s="841"/>
      <c r="C667" s="840"/>
      <c r="D667" s="965" t="s">
        <v>709</v>
      </c>
      <c r="E667" s="844">
        <f>D653</f>
        <v>47682.601799999997</v>
      </c>
      <c r="F667" s="777" t="s">
        <v>710</v>
      </c>
    </row>
    <row r="668" spans="2:10" ht="23.25">
      <c r="B668" s="890" t="s">
        <v>711</v>
      </c>
      <c r="C668" s="892">
        <f>SUM(C663:C667)</f>
        <v>79471.002999999997</v>
      </c>
      <c r="D668" s="890" t="s">
        <v>712</v>
      </c>
      <c r="E668" s="892">
        <f>E665+E667</f>
        <v>79471.002999999997</v>
      </c>
      <c r="F668" s="777" t="s">
        <v>713</v>
      </c>
    </row>
    <row r="669" spans="2:10" ht="23.25">
      <c r="B669" s="893"/>
      <c r="C669" s="893"/>
      <c r="D669" s="893"/>
      <c r="E669" s="893"/>
    </row>
    <row r="672" spans="2:10" ht="26.25">
      <c r="B672" s="1336" t="s">
        <v>714</v>
      </c>
      <c r="C672" s="1336"/>
      <c r="D672" s="1336"/>
      <c r="E672" s="1336"/>
      <c r="F672" s="1336"/>
      <c r="G672" s="1336"/>
      <c r="H672" s="1336"/>
      <c r="I672" s="634"/>
      <c r="J672" s="634"/>
    </row>
    <row r="673" spans="1:13" ht="26.25">
      <c r="A673" s="634"/>
      <c r="B673" s="894"/>
      <c r="C673" s="894"/>
      <c r="D673" s="894"/>
      <c r="E673" s="894"/>
      <c r="F673" s="895"/>
      <c r="G673" s="895"/>
      <c r="H673" s="895"/>
      <c r="I673" s="634"/>
      <c r="J673" s="634"/>
      <c r="K673" s="634"/>
    </row>
    <row r="674" spans="1:13" ht="57.75" customHeight="1">
      <c r="B674" s="1278" t="s">
        <v>715</v>
      </c>
      <c r="C674" s="1279"/>
      <c r="D674" s="1279"/>
      <c r="E674" s="1279"/>
      <c r="F674" s="1279"/>
      <c r="G674" s="1279"/>
      <c r="H674" s="1279"/>
      <c r="I674" s="728"/>
      <c r="J674" s="772"/>
    </row>
    <row r="675" spans="1:13">
      <c r="A675" s="772"/>
      <c r="B675" s="728"/>
      <c r="C675" s="728"/>
      <c r="D675" s="666"/>
      <c r="E675" s="728"/>
      <c r="F675" s="728"/>
      <c r="G675" s="728"/>
      <c r="H675" s="728"/>
      <c r="I675" s="728"/>
      <c r="J675" s="772"/>
      <c r="K675" s="634"/>
    </row>
    <row r="676" spans="1:13">
      <c r="A676" s="772"/>
      <c r="B676" s="728"/>
      <c r="C676" s="728"/>
      <c r="D676" s="666"/>
      <c r="E676" s="728"/>
      <c r="F676" s="728"/>
      <c r="G676" s="728"/>
      <c r="H676" s="728"/>
      <c r="I676" s="728"/>
      <c r="J676" s="772"/>
      <c r="K676" s="634"/>
      <c r="L676" s="634"/>
      <c r="M676" s="634"/>
    </row>
    <row r="677" spans="1:13" ht="23.25" customHeight="1">
      <c r="A677" s="772"/>
      <c r="B677" s="1288" t="s">
        <v>716</v>
      </c>
      <c r="C677" s="1288"/>
      <c r="D677" s="1288"/>
      <c r="E677" s="1288"/>
      <c r="F677" s="1288"/>
      <c r="G677" s="1288"/>
      <c r="H677" s="1288"/>
      <c r="I677" s="1288"/>
      <c r="J677" s="718"/>
      <c r="K677" s="715"/>
      <c r="L677" s="634"/>
      <c r="M677" s="634"/>
    </row>
    <row r="678" spans="1:13" ht="51.75" customHeight="1">
      <c r="A678" s="772"/>
      <c r="B678" s="1288" t="s">
        <v>839</v>
      </c>
      <c r="C678" s="1288"/>
      <c r="D678" s="969">
        <f t="shared" ref="D678:I678" si="57">D526</f>
        <v>2022</v>
      </c>
      <c r="E678" s="969">
        <f t="shared" si="57"/>
        <v>2023</v>
      </c>
      <c r="F678" s="969">
        <f t="shared" si="57"/>
        <v>2024</v>
      </c>
      <c r="G678" s="969">
        <f t="shared" si="57"/>
        <v>2025</v>
      </c>
      <c r="H678" s="969">
        <f t="shared" si="57"/>
        <v>2026</v>
      </c>
      <c r="I678" s="969">
        <f t="shared" si="57"/>
        <v>2027</v>
      </c>
      <c r="J678" s="718"/>
      <c r="K678" s="715"/>
      <c r="L678" s="634"/>
      <c r="M678" s="634"/>
    </row>
    <row r="679" spans="1:13" ht="23.25">
      <c r="A679" s="772"/>
      <c r="B679" s="896" t="s">
        <v>613</v>
      </c>
      <c r="C679" s="896"/>
      <c r="D679" s="862">
        <v>0</v>
      </c>
      <c r="E679" s="862">
        <v>1</v>
      </c>
      <c r="F679" s="862">
        <v>2</v>
      </c>
      <c r="G679" s="862">
        <v>3</v>
      </c>
      <c r="H679" s="862">
        <v>4</v>
      </c>
      <c r="I679" s="862">
        <v>5</v>
      </c>
      <c r="J679" s="718"/>
      <c r="K679" s="715"/>
      <c r="L679" s="634"/>
      <c r="M679" s="634"/>
    </row>
    <row r="680" spans="1:13" ht="23.25">
      <c r="A680" s="772"/>
      <c r="B680" s="971" t="s">
        <v>718</v>
      </c>
      <c r="C680" s="971"/>
      <c r="D680" s="682"/>
      <c r="E680" s="682">
        <f t="shared" ref="E680:I684" si="58">E528</f>
        <v>1234359.7364000003</v>
      </c>
      <c r="F680" s="682">
        <f t="shared" si="58"/>
        <v>1337126.4488309622</v>
      </c>
      <c r="G680" s="682">
        <f t="shared" si="58"/>
        <v>1477504.2946660747</v>
      </c>
      <c r="H680" s="682">
        <f t="shared" si="58"/>
        <v>1664785.8612754548</v>
      </c>
      <c r="I680" s="682">
        <f t="shared" si="58"/>
        <v>1912118.0190882725</v>
      </c>
      <c r="J680" s="718"/>
      <c r="K680" s="715"/>
      <c r="L680" s="634"/>
      <c r="M680" s="634"/>
    </row>
    <row r="681" spans="1:13" ht="23.25">
      <c r="A681" s="772"/>
      <c r="B681" s="1337" t="s">
        <v>617</v>
      </c>
      <c r="C681" s="1337"/>
      <c r="D681" s="682"/>
      <c r="E681" s="682">
        <f t="shared" si="58"/>
        <v>684119.41512000002</v>
      </c>
      <c r="F681" s="682">
        <f t="shared" si="58"/>
        <v>719902.2332394924</v>
      </c>
      <c r="G681" s="682">
        <f t="shared" si="58"/>
        <v>758308.95979064063</v>
      </c>
      <c r="H681" s="682">
        <f t="shared" si="58"/>
        <v>799557.10741064604</v>
      </c>
      <c r="I681" s="682">
        <f t="shared" si="58"/>
        <v>843884.47348978161</v>
      </c>
      <c r="J681" s="718"/>
      <c r="K681" s="715"/>
      <c r="L681" s="634"/>
      <c r="M681" s="634"/>
    </row>
    <row r="682" spans="1:13" ht="23.25">
      <c r="A682" s="772"/>
      <c r="B682" s="1338" t="s">
        <v>618</v>
      </c>
      <c r="C682" s="1338"/>
      <c r="D682" s="682"/>
      <c r="E682" s="682">
        <f t="shared" si="58"/>
        <v>351863.78720000002</v>
      </c>
      <c r="F682" s="682">
        <f t="shared" si="58"/>
        <v>357074.50975840003</v>
      </c>
      <c r="G682" s="682">
        <f t="shared" si="58"/>
        <v>370834.3304200648</v>
      </c>
      <c r="H682" s="682">
        <f t="shared" si="58"/>
        <v>377752.39643575397</v>
      </c>
      <c r="I682" s="682">
        <f t="shared" si="58"/>
        <v>392355.34767582227</v>
      </c>
      <c r="J682" s="718"/>
      <c r="K682" s="715"/>
      <c r="L682" s="634"/>
      <c r="M682" s="634"/>
    </row>
    <row r="683" spans="1:13" ht="23.25">
      <c r="A683" s="772"/>
      <c r="B683" s="970" t="s">
        <v>526</v>
      </c>
      <c r="C683" s="897"/>
      <c r="D683" s="897"/>
      <c r="E683" s="682">
        <f t="shared" si="58"/>
        <v>8849.1219999999994</v>
      </c>
      <c r="F683" s="682">
        <f t="shared" si="58"/>
        <v>8849.1219999999994</v>
      </c>
      <c r="G683" s="682">
        <f t="shared" si="58"/>
        <v>8849.1219999999994</v>
      </c>
      <c r="H683" s="682">
        <f t="shared" si="58"/>
        <v>8849.1219999999994</v>
      </c>
      <c r="I683" s="682">
        <f t="shared" si="58"/>
        <v>8849.1219999999994</v>
      </c>
      <c r="J683" s="718"/>
      <c r="K683" s="715"/>
      <c r="L683" s="634"/>
      <c r="M683" s="634"/>
    </row>
    <row r="684" spans="1:13" ht="23.25">
      <c r="A684" s="772"/>
      <c r="B684" s="971" t="s">
        <v>527</v>
      </c>
      <c r="C684" s="971"/>
      <c r="D684" s="682"/>
      <c r="E684" s="682">
        <f t="shared" si="58"/>
        <v>542.15</v>
      </c>
      <c r="F684" s="682">
        <f t="shared" si="58"/>
        <v>542.15</v>
      </c>
      <c r="G684" s="682">
        <f t="shared" si="58"/>
        <v>542.15</v>
      </c>
      <c r="H684" s="682">
        <f t="shared" si="58"/>
        <v>542.15</v>
      </c>
      <c r="I684" s="682">
        <f t="shared" si="58"/>
        <v>542.15</v>
      </c>
      <c r="J684" s="718"/>
      <c r="K684" s="715"/>
      <c r="L684" s="634"/>
      <c r="M684" s="634"/>
    </row>
    <row r="685" spans="1:13" ht="23.25">
      <c r="A685" s="772"/>
      <c r="B685" s="1268" t="s">
        <v>719</v>
      </c>
      <c r="C685" s="1269"/>
      <c r="D685" s="638"/>
      <c r="E685" s="689">
        <f>E680-E681-E682-E683-E684</f>
        <v>188985.26208000025</v>
      </c>
      <c r="F685" s="689">
        <f>F680-F681-F682-F683-F684</f>
        <v>250758.43383306975</v>
      </c>
      <c r="G685" s="689">
        <f>G680-G681-G682-G683-G684</f>
        <v>338969.73245536926</v>
      </c>
      <c r="H685" s="689">
        <f>H680-H681-H682-H683-H684</f>
        <v>478085.08542905474</v>
      </c>
      <c r="I685" s="689">
        <f>I680-I681-I682-I683-I684</f>
        <v>666486.92592266866</v>
      </c>
      <c r="J685" s="718"/>
      <c r="K685" s="715"/>
      <c r="L685" s="634"/>
      <c r="M685" s="634"/>
    </row>
    <row r="686" spans="1:13" ht="37.5" customHeight="1">
      <c r="A686" s="772"/>
      <c r="B686" s="1333" t="s">
        <v>623</v>
      </c>
      <c r="C686" s="1334"/>
      <c r="D686" s="682"/>
      <c r="E686" s="685">
        <f>SUM(F588:F599)</f>
        <v>4757.6270322453256</v>
      </c>
      <c r="F686" s="685">
        <f>SUM(F600:F611)</f>
        <v>3981.2165298037335</v>
      </c>
      <c r="G686" s="685">
        <f>SUM(F612:F623)</f>
        <v>3071.2634209421849</v>
      </c>
      <c r="H686" s="685">
        <f>SUM(F624:F635)</f>
        <v>2004.7983773564488</v>
      </c>
      <c r="I686" s="898">
        <f>SUM(F636:F647)</f>
        <v>754.90134627396469</v>
      </c>
      <c r="J686" s="718"/>
      <c r="K686" s="715"/>
      <c r="L686" s="634"/>
      <c r="M686" s="634"/>
    </row>
    <row r="687" spans="1:13" ht="23.25">
      <c r="A687" s="772"/>
      <c r="B687" s="1335" t="s">
        <v>624</v>
      </c>
      <c r="C687" s="1335"/>
      <c r="D687" s="682"/>
      <c r="E687" s="682">
        <v>0</v>
      </c>
      <c r="F687" s="682">
        <v>0</v>
      </c>
      <c r="G687" s="682">
        <v>0</v>
      </c>
      <c r="H687" s="682">
        <v>0</v>
      </c>
      <c r="I687" s="682">
        <v>0</v>
      </c>
      <c r="J687" s="718"/>
      <c r="K687" s="715"/>
      <c r="L687" s="634"/>
      <c r="M687" s="634"/>
    </row>
    <row r="688" spans="1:13" ht="23.25">
      <c r="A688" s="772"/>
      <c r="B688" s="1267" t="s">
        <v>625</v>
      </c>
      <c r="C688" s="1269"/>
      <c r="D688" s="638"/>
      <c r="E688" s="638">
        <f>E685-E686-E687</f>
        <v>184227.63504775491</v>
      </c>
      <c r="F688" s="638">
        <f>F685-F686-F687</f>
        <v>246777.21730326602</v>
      </c>
      <c r="G688" s="638">
        <f>G685-G686-G687</f>
        <v>335898.46903442708</v>
      </c>
      <c r="H688" s="638">
        <f>H685-H686-H687</f>
        <v>476080.28705169831</v>
      </c>
      <c r="I688" s="638">
        <f>I685-I686-I687</f>
        <v>665732.0245763947</v>
      </c>
      <c r="J688" s="718"/>
      <c r="K688" s="715"/>
      <c r="L688" s="634"/>
      <c r="M688" s="634"/>
    </row>
    <row r="689" spans="1:13" ht="23.25">
      <c r="A689" s="772"/>
      <c r="B689" s="1335" t="s">
        <v>626</v>
      </c>
      <c r="C689" s="1335"/>
      <c r="D689" s="708">
        <v>0.01</v>
      </c>
      <c r="E689" s="682">
        <f>E680*$D$689</f>
        <v>12343.597364000003</v>
      </c>
      <c r="F689" s="682">
        <f t="shared" ref="F689:I689" si="59">F680*$D$689</f>
        <v>13371.264488309622</v>
      </c>
      <c r="G689" s="682">
        <f t="shared" si="59"/>
        <v>14775.042946660747</v>
      </c>
      <c r="H689" s="682">
        <f t="shared" si="59"/>
        <v>16647.85861275455</v>
      </c>
      <c r="I689" s="682">
        <f t="shared" si="59"/>
        <v>19121.180190882726</v>
      </c>
      <c r="J689" s="718"/>
      <c r="K689" s="715"/>
      <c r="L689" s="634"/>
      <c r="M689" s="634"/>
    </row>
    <row r="690" spans="1:13" ht="93">
      <c r="A690" s="772"/>
      <c r="B690" s="1267" t="s">
        <v>627</v>
      </c>
      <c r="C690" s="1269"/>
      <c r="D690" s="690" t="s">
        <v>720</v>
      </c>
      <c r="E690" s="689">
        <f>E688-E689</f>
        <v>171884.0376837549</v>
      </c>
      <c r="F690" s="689">
        <f>F688-F689</f>
        <v>233405.9528149564</v>
      </c>
      <c r="G690" s="689">
        <f>G688-G689</f>
        <v>321123.4260877663</v>
      </c>
      <c r="H690" s="689">
        <f>H688-H689</f>
        <v>459432.42843894375</v>
      </c>
      <c r="I690" s="689">
        <f>I688-I689</f>
        <v>646610.84438551194</v>
      </c>
      <c r="J690" s="718"/>
      <c r="K690" s="715"/>
      <c r="L690" s="634"/>
      <c r="M690" s="634"/>
    </row>
    <row r="691" spans="1:13" ht="23.25">
      <c r="A691" s="825" t="s">
        <v>721</v>
      </c>
      <c r="B691" s="867" t="s">
        <v>526</v>
      </c>
      <c r="C691" s="971"/>
      <c r="D691" s="682"/>
      <c r="E691" s="682">
        <f t="shared" ref="E691:I692" si="60">E683</f>
        <v>8849.1219999999994</v>
      </c>
      <c r="F691" s="682">
        <f t="shared" si="60"/>
        <v>8849.1219999999994</v>
      </c>
      <c r="G691" s="682">
        <f t="shared" si="60"/>
        <v>8849.1219999999994</v>
      </c>
      <c r="H691" s="682">
        <f t="shared" si="60"/>
        <v>8849.1219999999994</v>
      </c>
      <c r="I691" s="682">
        <f t="shared" si="60"/>
        <v>8849.1219999999994</v>
      </c>
      <c r="J691" s="718"/>
      <c r="K691" s="715"/>
      <c r="L691" s="634"/>
      <c r="M691" s="634"/>
    </row>
    <row r="692" spans="1:13" ht="23.25">
      <c r="A692" s="825" t="s">
        <v>721</v>
      </c>
      <c r="B692" s="867" t="s">
        <v>527</v>
      </c>
      <c r="C692" s="971"/>
      <c r="D692" s="971"/>
      <c r="E692" s="682">
        <f t="shared" si="60"/>
        <v>542.15</v>
      </c>
      <c r="F692" s="682">
        <f t="shared" si="60"/>
        <v>542.15</v>
      </c>
      <c r="G692" s="682">
        <f t="shared" si="60"/>
        <v>542.15</v>
      </c>
      <c r="H692" s="682">
        <f t="shared" si="60"/>
        <v>542.15</v>
      </c>
      <c r="I692" s="682">
        <f t="shared" si="60"/>
        <v>542.15</v>
      </c>
      <c r="J692" s="718"/>
      <c r="K692" s="715"/>
      <c r="L692" s="634"/>
      <c r="M692" s="634"/>
    </row>
    <row r="693" spans="1:13" ht="23.25">
      <c r="A693" s="899" t="s">
        <v>721</v>
      </c>
      <c r="B693" s="863" t="s">
        <v>623</v>
      </c>
      <c r="C693" s="970"/>
      <c r="D693" s="970"/>
      <c r="E693" s="865">
        <f>E686</f>
        <v>4757.6270322453256</v>
      </c>
      <c r="F693" s="865">
        <f t="shared" ref="F693:I693" si="61">F686</f>
        <v>3981.2165298037335</v>
      </c>
      <c r="G693" s="865">
        <f t="shared" si="61"/>
        <v>3071.2634209421849</v>
      </c>
      <c r="H693" s="865">
        <f t="shared" si="61"/>
        <v>2004.7983773564488</v>
      </c>
      <c r="I693" s="865">
        <f t="shared" si="61"/>
        <v>754.90134627396469</v>
      </c>
      <c r="J693" s="718"/>
      <c r="K693" s="715"/>
      <c r="L693" s="634"/>
      <c r="M693" s="634"/>
    </row>
    <row r="694" spans="1:13" ht="23.25">
      <c r="A694" s="899" t="s">
        <v>721</v>
      </c>
      <c r="B694" s="863" t="s">
        <v>624</v>
      </c>
      <c r="C694" s="970"/>
      <c r="D694" s="970"/>
      <c r="E694" s="865">
        <f t="shared" ref="E694:I694" si="62">E687</f>
        <v>0</v>
      </c>
      <c r="F694" s="865">
        <f t="shared" si="62"/>
        <v>0</v>
      </c>
      <c r="G694" s="865">
        <f t="shared" si="62"/>
        <v>0</v>
      </c>
      <c r="H694" s="865">
        <f t="shared" si="62"/>
        <v>0</v>
      </c>
      <c r="I694" s="865">
        <f t="shared" si="62"/>
        <v>0</v>
      </c>
      <c r="J694" s="718"/>
      <c r="K694" s="715"/>
      <c r="L694" s="634"/>
      <c r="M694" s="634"/>
    </row>
    <row r="695" spans="1:13" ht="45.75" customHeight="1">
      <c r="A695" s="772"/>
      <c r="B695" s="1267" t="s">
        <v>630</v>
      </c>
      <c r="C695" s="1269"/>
      <c r="D695" s="969" t="s">
        <v>722</v>
      </c>
      <c r="E695" s="868">
        <f>E690+E691+E692+E693+E694</f>
        <v>186032.93671600023</v>
      </c>
      <c r="F695" s="868">
        <f>F690+F691+F692+F693+F694</f>
        <v>246778.44134476013</v>
      </c>
      <c r="G695" s="868">
        <f>G690+G691+G692+G693+G694</f>
        <v>333585.96150870848</v>
      </c>
      <c r="H695" s="868">
        <f>H690+H691+H692+H693+H694</f>
        <v>470828.49881630018</v>
      </c>
      <c r="I695" s="868">
        <f>I690+I691+I692+I693+I694</f>
        <v>656757.01773178589</v>
      </c>
      <c r="J695" s="718"/>
      <c r="K695" s="715"/>
      <c r="L695" s="634"/>
      <c r="M695" s="634"/>
    </row>
    <row r="696" spans="1:13" ht="23.25">
      <c r="A696" s="772"/>
      <c r="B696" s="1346" t="s">
        <v>631</v>
      </c>
      <c r="C696" s="1347"/>
      <c r="D696" s="695">
        <f>D544</f>
        <v>-79471.002999999997</v>
      </c>
      <c r="E696" s="872"/>
      <c r="F696" s="872"/>
      <c r="G696" s="872"/>
      <c r="H696" s="872"/>
      <c r="I696" s="872"/>
      <c r="J696" s="718"/>
      <c r="K696" s="715"/>
      <c r="L696" s="634"/>
      <c r="M696" s="634"/>
    </row>
    <row r="697" spans="1:13" ht="69.75" customHeight="1">
      <c r="A697" s="772"/>
      <c r="B697" s="1333" t="s">
        <v>723</v>
      </c>
      <c r="C697" s="1334"/>
      <c r="D697" s="707">
        <f>D654</f>
        <v>31788.4012</v>
      </c>
      <c r="E697" s="872"/>
      <c r="F697" s="872"/>
      <c r="G697" s="872"/>
      <c r="H697" s="872"/>
      <c r="I697" s="872"/>
      <c r="J697" s="718"/>
      <c r="K697" s="715"/>
      <c r="L697" s="634"/>
      <c r="M697" s="634"/>
    </row>
    <row r="698" spans="1:13" ht="46.5" customHeight="1">
      <c r="A698" s="772"/>
      <c r="B698" s="1333" t="s">
        <v>724</v>
      </c>
      <c r="C698" s="1334"/>
      <c r="D698" s="695"/>
      <c r="E698" s="900">
        <f>SUM(E588:E599)</f>
        <v>4514.0145490789937</v>
      </c>
      <c r="F698" s="900">
        <f>SUM(E600:E611)</f>
        <v>5290.4250515205867</v>
      </c>
      <c r="G698" s="900">
        <f>SUM(E612:E623)</f>
        <v>6200.3781603821335</v>
      </c>
      <c r="H698" s="900">
        <f>SUM(E624:E635)</f>
        <v>7266.8432039678701</v>
      </c>
      <c r="I698" s="900">
        <f>SUM(E636:E647)</f>
        <v>8516.7402350503544</v>
      </c>
      <c r="J698" s="901" t="s">
        <v>725</v>
      </c>
      <c r="K698" s="715"/>
      <c r="L698" s="634"/>
      <c r="M698" s="634"/>
    </row>
    <row r="699" spans="1:13" ht="46.5" customHeight="1">
      <c r="A699" s="772"/>
      <c r="B699" s="1333" t="s">
        <v>726</v>
      </c>
      <c r="C699" s="1334"/>
      <c r="D699" s="695"/>
      <c r="E699" s="900">
        <f>E693</f>
        <v>4757.6270322453256</v>
      </c>
      <c r="F699" s="900">
        <f t="shared" ref="F699:I699" si="63">F693</f>
        <v>3981.2165298037335</v>
      </c>
      <c r="G699" s="900">
        <f t="shared" si="63"/>
        <v>3071.2634209421849</v>
      </c>
      <c r="H699" s="900">
        <f t="shared" si="63"/>
        <v>2004.7983773564488</v>
      </c>
      <c r="I699" s="900">
        <f t="shared" si="63"/>
        <v>754.90134627396469</v>
      </c>
      <c r="J699" s="901" t="s">
        <v>725</v>
      </c>
      <c r="K699" s="715"/>
      <c r="L699" s="634"/>
      <c r="M699" s="634"/>
    </row>
    <row r="700" spans="1:13" ht="52.5" customHeight="1">
      <c r="A700" s="772"/>
      <c r="B700" s="1348" t="s">
        <v>727</v>
      </c>
      <c r="C700" s="1349"/>
      <c r="D700" s="689">
        <f>D696+D697</f>
        <v>-47682.601799999997</v>
      </c>
      <c r="E700" s="689">
        <f>E695-E698-E699</f>
        <v>176761.29513467589</v>
      </c>
      <c r="F700" s="689">
        <f>F695-F698-F699</f>
        <v>237506.79976343582</v>
      </c>
      <c r="G700" s="689">
        <f>G695-G698-G699</f>
        <v>324314.31992738415</v>
      </c>
      <c r="H700" s="689">
        <f>H695-H698-H699</f>
        <v>461556.85723497591</v>
      </c>
      <c r="I700" s="689">
        <f>I695-I698-I699</f>
        <v>647485.37615046161</v>
      </c>
      <c r="J700" s="902">
        <f>SUM(E700:I700)</f>
        <v>1847624.6482109332</v>
      </c>
      <c r="K700" s="715"/>
      <c r="L700" s="634"/>
      <c r="M700" s="634"/>
    </row>
    <row r="701" spans="1:13" ht="23.25">
      <c r="A701" s="772"/>
      <c r="B701" s="784" t="s">
        <v>728</v>
      </c>
      <c r="C701" s="903">
        <f>I656</f>
        <v>0.22715740000000001</v>
      </c>
      <c r="D701" s="704"/>
      <c r="E701" s="705"/>
      <c r="F701" s="705"/>
      <c r="G701" s="705"/>
      <c r="H701" s="705"/>
      <c r="I701" s="705"/>
      <c r="J701" s="718"/>
      <c r="K701" s="715"/>
      <c r="L701" s="634"/>
      <c r="M701" s="634"/>
    </row>
    <row r="702" spans="1:13" ht="23.25">
      <c r="A702" s="772"/>
      <c r="B702" s="904"/>
      <c r="C702" s="905"/>
      <c r="D702" s="704"/>
      <c r="E702" s="705"/>
      <c r="F702" s="705"/>
      <c r="G702" s="705"/>
      <c r="H702" s="705"/>
      <c r="I702" s="705"/>
      <c r="J702" s="718"/>
      <c r="K702" s="715"/>
      <c r="L702" s="634"/>
      <c r="M702" s="634"/>
    </row>
    <row r="703" spans="1:13" ht="23.25">
      <c r="A703" s="772"/>
      <c r="B703" s="1339"/>
      <c r="C703" s="906" t="s">
        <v>729</v>
      </c>
      <c r="D703" s="710">
        <f>NPV(C701,E700:I700)+D700</f>
        <v>865761.46560581157</v>
      </c>
      <c r="E703" s="706"/>
      <c r="F703" s="706"/>
      <c r="G703" s="706"/>
      <c r="H703" s="706"/>
      <c r="I703" s="706"/>
      <c r="J703" s="718"/>
      <c r="K703" s="715"/>
      <c r="L703" s="634"/>
      <c r="M703" s="634"/>
    </row>
    <row r="704" spans="1:13" ht="23.25">
      <c r="A704" s="772"/>
      <c r="B704" s="1339"/>
      <c r="C704" s="906" t="s">
        <v>730</v>
      </c>
      <c r="D704" s="907">
        <f>IRR(D700:I700)</f>
        <v>4.0544907524498219</v>
      </c>
      <c r="E704" s="870"/>
      <c r="F704" s="870"/>
      <c r="G704" s="870"/>
      <c r="H704" s="870"/>
      <c r="I704" s="870"/>
      <c r="J704" s="718"/>
      <c r="K704" s="715"/>
      <c r="L704" s="634"/>
      <c r="M704" s="634"/>
    </row>
    <row r="705" spans="1:13" ht="36.75" customHeight="1">
      <c r="A705" s="772"/>
      <c r="B705" s="1339"/>
      <c r="C705" s="890" t="s">
        <v>731</v>
      </c>
      <c r="D705" s="681">
        <f>NPV(C701,E700:I700)/-D700</f>
        <v>19.156758082060271</v>
      </c>
      <c r="E705" s="1340" t="s">
        <v>732</v>
      </c>
      <c r="F705" s="1341"/>
      <c r="G705" s="1341"/>
      <c r="H705" s="1341"/>
      <c r="I705" s="908">
        <f>D705-1</f>
        <v>18.156758082060271</v>
      </c>
      <c r="J705" s="716" t="s">
        <v>284</v>
      </c>
      <c r="K705" s="715"/>
      <c r="L705" s="634"/>
      <c r="M705" s="634"/>
    </row>
    <row r="706" spans="1:13" ht="23.25">
      <c r="A706" s="772"/>
      <c r="B706" s="1339"/>
      <c r="C706" s="906" t="s">
        <v>733</v>
      </c>
      <c r="D706" s="680"/>
      <c r="E706" s="870"/>
      <c r="F706" s="870"/>
      <c r="G706" s="870"/>
      <c r="H706" s="870"/>
      <c r="I706" s="870"/>
      <c r="J706" s="718"/>
      <c r="K706" s="715"/>
      <c r="L706" s="634"/>
      <c r="M706" s="634"/>
    </row>
    <row r="707" spans="1:13" ht="52.5" customHeight="1">
      <c r="A707" s="772"/>
      <c r="B707" s="969" t="s">
        <v>264</v>
      </c>
      <c r="C707" s="969" t="s">
        <v>644</v>
      </c>
      <c r="D707" s="637" t="s">
        <v>645</v>
      </c>
      <c r="E707" s="1342" t="s">
        <v>647</v>
      </c>
      <c r="F707" s="1343"/>
      <c r="G707" s="1343"/>
      <c r="H707" s="1343"/>
      <c r="I707" s="1356"/>
      <c r="J707" s="841"/>
      <c r="K707" s="715"/>
      <c r="L707" s="634"/>
      <c r="M707" s="634"/>
    </row>
    <row r="708" spans="1:13" ht="23.25">
      <c r="A708" s="772"/>
      <c r="B708" s="726">
        <v>0</v>
      </c>
      <c r="C708" s="971"/>
      <c r="D708" s="682">
        <f>-D700</f>
        <v>47682.601799999997</v>
      </c>
      <c r="E708" s="686">
        <f>E700/(1+$C$701)^(1)</f>
        <v>144041.25757191039</v>
      </c>
      <c r="F708" s="686">
        <f>F700/(1+$C$701)^(2)</f>
        <v>157715.91020277486</v>
      </c>
      <c r="G708" s="686">
        <f>G700/(1+$C$701)^(3)</f>
        <v>175495.22861880818</v>
      </c>
      <c r="H708" s="686">
        <f>H700/(1+$C$701)^(4)</f>
        <v>203527.98133666738</v>
      </c>
      <c r="I708" s="687">
        <f>I700/(1+$C$701)^(5)</f>
        <v>232663.68967565073</v>
      </c>
      <c r="J708" s="740">
        <f>SUM(E708:I709)</f>
        <v>913444.06740581151</v>
      </c>
      <c r="K708" s="715"/>
      <c r="L708" s="634"/>
      <c r="M708" s="634"/>
    </row>
    <row r="709" spans="1:13" ht="23.25">
      <c r="A709" s="772"/>
      <c r="B709" s="726">
        <v>1</v>
      </c>
      <c r="C709" s="791">
        <f>E708</f>
        <v>144041.25757191039</v>
      </c>
      <c r="D709" s="682">
        <f>D708-C709</f>
        <v>-96358.655771910388</v>
      </c>
      <c r="E709" s="870"/>
      <c r="F709" s="870"/>
      <c r="G709" s="870"/>
      <c r="H709" s="870"/>
      <c r="I709" s="870"/>
      <c r="J709" s="740">
        <f>D700</f>
        <v>-47682.601799999997</v>
      </c>
      <c r="K709" s="715"/>
      <c r="L709" s="634"/>
      <c r="M709" s="634"/>
    </row>
    <row r="710" spans="1:13" ht="23.25">
      <c r="A710" s="772"/>
      <c r="B710" s="726">
        <v>2</v>
      </c>
      <c r="C710" s="791">
        <f>F708</f>
        <v>157715.91020277486</v>
      </c>
      <c r="D710" s="682">
        <f>D709-C710</f>
        <v>-254074.56597468525</v>
      </c>
      <c r="E710" s="870"/>
      <c r="F710" s="870"/>
      <c r="G710" s="870"/>
      <c r="H710" s="870"/>
      <c r="I710" s="870"/>
      <c r="J710" s="910">
        <f>SUM(J708:J709)</f>
        <v>865761.46560581157</v>
      </c>
      <c r="K710" s="715"/>
      <c r="L710" s="634"/>
      <c r="M710" s="634"/>
    </row>
    <row r="711" spans="1:13" ht="23.25">
      <c r="A711" s="772"/>
      <c r="B711" s="726">
        <v>3</v>
      </c>
      <c r="C711" s="791">
        <f>G708</f>
        <v>175495.22861880818</v>
      </c>
      <c r="D711" s="682">
        <f>D710-C711</f>
        <v>-429569.79459349345</v>
      </c>
      <c r="E711" s="911" t="s">
        <v>567</v>
      </c>
      <c r="F711" s="911" t="s">
        <v>649</v>
      </c>
      <c r="G711" s="911" t="s">
        <v>650</v>
      </c>
      <c r="H711" s="870"/>
      <c r="I711" s="870"/>
      <c r="J711" s="871" t="s">
        <v>734</v>
      </c>
      <c r="K711" s="715"/>
      <c r="L711" s="634"/>
      <c r="M711" s="634"/>
    </row>
    <row r="712" spans="1:13" ht="23.25">
      <c r="A712" s="772"/>
      <c r="B712" s="726">
        <v>4</v>
      </c>
      <c r="C712" s="791">
        <f>H708</f>
        <v>203527.98133666738</v>
      </c>
      <c r="D712" s="682">
        <f>D711-C712</f>
        <v>-633097.77593016089</v>
      </c>
      <c r="E712" s="911">
        <v>0</v>
      </c>
      <c r="F712" s="911">
        <v>3</v>
      </c>
      <c r="G712" s="911">
        <v>29</v>
      </c>
      <c r="H712" s="870"/>
      <c r="I712" s="870"/>
      <c r="J712" s="718"/>
      <c r="K712" s="715"/>
      <c r="L712" s="634"/>
      <c r="M712" s="634"/>
    </row>
    <row r="713" spans="1:13" ht="23.25">
      <c r="A713" s="772"/>
      <c r="B713" s="726">
        <v>5</v>
      </c>
      <c r="C713" s="791">
        <f>I708</f>
        <v>232663.68967565073</v>
      </c>
      <c r="D713" s="710">
        <f>D712-C713</f>
        <v>-865761.46560581168</v>
      </c>
      <c r="E713" s="971"/>
      <c r="F713" s="869">
        <f>(D708/C709)*12</f>
        <v>3.9724120105959377</v>
      </c>
      <c r="G713" s="869">
        <f>(F713-F712)*30</f>
        <v>29.17236031787813</v>
      </c>
      <c r="H713" s="870"/>
      <c r="I713" s="870"/>
      <c r="J713" s="718"/>
      <c r="K713" s="715"/>
      <c r="L713" s="634"/>
      <c r="M713" s="634"/>
    </row>
    <row r="714" spans="1:13" ht="23.25">
      <c r="A714" s="772"/>
      <c r="B714" s="722"/>
      <c r="C714" s="722"/>
      <c r="D714" s="709"/>
      <c r="E714" s="722"/>
      <c r="F714" s="722"/>
      <c r="G714" s="722"/>
      <c r="H714" s="722"/>
      <c r="I714" s="722"/>
      <c r="J714" s="718"/>
      <c r="K714" s="715"/>
      <c r="L714" s="634"/>
      <c r="M714" s="634"/>
    </row>
    <row r="715" spans="1:13" ht="23.25">
      <c r="A715" s="772"/>
      <c r="B715" s="722"/>
      <c r="C715" s="1344" t="s">
        <v>735</v>
      </c>
      <c r="D715" s="1345"/>
      <c r="E715" s="1345"/>
      <c r="F715" s="722"/>
      <c r="G715" s="722"/>
      <c r="H715" s="722"/>
      <c r="I715" s="722"/>
      <c r="J715" s="718"/>
      <c r="K715" s="715"/>
      <c r="L715" s="634"/>
      <c r="M715" s="634"/>
    </row>
    <row r="716" spans="1:13" ht="23.25">
      <c r="A716" s="772"/>
      <c r="B716" s="722"/>
      <c r="C716" s="722"/>
      <c r="D716" s="709"/>
      <c r="E716" s="722"/>
      <c r="F716" s="722"/>
      <c r="G716" s="912"/>
      <c r="H716" s="722"/>
      <c r="I716" s="722"/>
      <c r="J716" s="718"/>
      <c r="K716" s="715"/>
      <c r="L716" s="634"/>
      <c r="M716" s="634"/>
    </row>
    <row r="717" spans="1:13" ht="23.25">
      <c r="A717" s="772"/>
      <c r="B717" s="966">
        <v>10.119999999999999</v>
      </c>
      <c r="C717" s="722"/>
      <c r="D717" s="709"/>
      <c r="E717" s="722"/>
      <c r="F717" s="722"/>
      <c r="G717" s="722"/>
      <c r="H717" s="722"/>
      <c r="I717" s="722"/>
      <c r="J717" s="718"/>
      <c r="K717" s="715"/>
      <c r="L717" s="634"/>
      <c r="M717" s="634"/>
    </row>
    <row r="718" spans="1:13" ht="23.25">
      <c r="A718" s="772"/>
      <c r="B718" s="912" t="s">
        <v>736</v>
      </c>
      <c r="C718" s="714"/>
      <c r="D718" s="709"/>
      <c r="E718" s="722"/>
      <c r="F718" s="722"/>
      <c r="G718" s="722"/>
      <c r="H718" s="722"/>
      <c r="I718" s="722"/>
      <c r="J718" s="718"/>
      <c r="K718" s="715"/>
      <c r="L718" s="634"/>
      <c r="M718" s="634"/>
    </row>
    <row r="719" spans="1:13" ht="23.25">
      <c r="A719" s="772"/>
      <c r="B719" s="722"/>
      <c r="C719" s="722"/>
      <c r="D719" s="709"/>
      <c r="E719" s="722"/>
      <c r="F719" s="722"/>
      <c r="G719" s="722"/>
      <c r="H719" s="722"/>
      <c r="I719" s="722"/>
      <c r="J719" s="718"/>
      <c r="K719" s="715"/>
      <c r="L719" s="634"/>
      <c r="M719" s="634"/>
    </row>
    <row r="720" spans="1:13">
      <c r="A720" s="772"/>
      <c r="B720" s="728"/>
      <c r="C720" s="728"/>
      <c r="D720" s="666"/>
      <c r="E720" s="728"/>
      <c r="F720" s="728"/>
      <c r="G720" s="728"/>
      <c r="H720" s="728"/>
      <c r="I720" s="728"/>
      <c r="J720" s="772"/>
      <c r="K720" s="634"/>
      <c r="L720" s="634"/>
      <c r="M720" s="634"/>
    </row>
    <row r="721" spans="1:13">
      <c r="A721" s="772"/>
      <c r="B721" s="728"/>
      <c r="C721" s="728"/>
      <c r="D721" s="666"/>
      <c r="E721" s="728"/>
      <c r="F721" s="728"/>
      <c r="G721" s="728"/>
      <c r="H721" s="728"/>
      <c r="I721" s="728"/>
      <c r="J721" s="772"/>
      <c r="K721" s="634"/>
      <c r="L721" s="634"/>
      <c r="M721" s="634"/>
    </row>
    <row r="722" spans="1:13">
      <c r="A722" s="772"/>
      <c r="B722" s="728"/>
      <c r="C722" s="728"/>
      <c r="D722" s="666"/>
      <c r="E722" s="728"/>
      <c r="F722" s="728"/>
      <c r="G722" s="728"/>
      <c r="H722" s="728"/>
      <c r="I722" s="728"/>
      <c r="J722" s="772"/>
      <c r="K722" s="634"/>
      <c r="L722" s="634"/>
      <c r="M722" s="634"/>
    </row>
  </sheetData>
  <mergeCells count="217">
    <mergeCell ref="C715:E715"/>
    <mergeCell ref="B525:I525"/>
    <mergeCell ref="B677:I677"/>
    <mergeCell ref="E707:I707"/>
    <mergeCell ref="B698:C698"/>
    <mergeCell ref="B699:C699"/>
    <mergeCell ref="B700:C700"/>
    <mergeCell ref="B703:B706"/>
    <mergeCell ref="E705:H705"/>
    <mergeCell ref="B688:C688"/>
    <mergeCell ref="B689:C689"/>
    <mergeCell ref="B690:C690"/>
    <mergeCell ref="B695:C695"/>
    <mergeCell ref="B696:C696"/>
    <mergeCell ref="B697:C697"/>
    <mergeCell ref="B678:C678"/>
    <mergeCell ref="B681:C681"/>
    <mergeCell ref="B682:C682"/>
    <mergeCell ref="B685:C685"/>
    <mergeCell ref="B686:C686"/>
    <mergeCell ref="B687:C687"/>
    <mergeCell ref="B660:E660"/>
    <mergeCell ref="B662:C662"/>
    <mergeCell ref="D662:E662"/>
    <mergeCell ref="B672:H672"/>
    <mergeCell ref="B674:H674"/>
    <mergeCell ref="C560:G560"/>
    <mergeCell ref="B562:G562"/>
    <mergeCell ref="B563:G563"/>
    <mergeCell ref="B564:G564"/>
    <mergeCell ref="B574:C574"/>
    <mergeCell ref="B650:E650"/>
    <mergeCell ref="B543:C543"/>
    <mergeCell ref="B544:C544"/>
    <mergeCell ref="B546:C546"/>
    <mergeCell ref="A548:A551"/>
    <mergeCell ref="E550:H550"/>
    <mergeCell ref="F552:I552"/>
    <mergeCell ref="C531:D531"/>
    <mergeCell ref="C532:D532"/>
    <mergeCell ref="B533:C533"/>
    <mergeCell ref="B535:C535"/>
    <mergeCell ref="B536:C536"/>
    <mergeCell ref="B538:C538"/>
    <mergeCell ref="B523:C523"/>
    <mergeCell ref="E523:I523"/>
    <mergeCell ref="B526:C526"/>
    <mergeCell ref="B529:C529"/>
    <mergeCell ref="B530:C530"/>
    <mergeCell ref="B502:D502"/>
    <mergeCell ref="B505:I505"/>
    <mergeCell ref="B507:D507"/>
    <mergeCell ref="B513:D513"/>
    <mergeCell ref="D514:D518"/>
    <mergeCell ref="B519:D519"/>
    <mergeCell ref="B469:E469"/>
    <mergeCell ref="B470:E470"/>
    <mergeCell ref="B471:E471"/>
    <mergeCell ref="B477:I477"/>
    <mergeCell ref="B483:D483"/>
    <mergeCell ref="B497:D497"/>
    <mergeCell ref="B461:E461"/>
    <mergeCell ref="B463:E463"/>
    <mergeCell ref="B464:E464"/>
    <mergeCell ref="B465:E465"/>
    <mergeCell ref="B467:E467"/>
    <mergeCell ref="B468:E468"/>
    <mergeCell ref="B453:E453"/>
    <mergeCell ref="B454:E454"/>
    <mergeCell ref="B455:E455"/>
    <mergeCell ref="B457:E457"/>
    <mergeCell ref="B459:E459"/>
    <mergeCell ref="B460:E460"/>
    <mergeCell ref="B439:E439"/>
    <mergeCell ref="B440:E440"/>
    <mergeCell ref="B441:E441"/>
    <mergeCell ref="B442:E442"/>
    <mergeCell ref="B443:E443"/>
    <mergeCell ref="B448:J448"/>
    <mergeCell ref="B430:E430"/>
    <mergeCell ref="B431:E431"/>
    <mergeCell ref="B433:D433"/>
    <mergeCell ref="B434:D434"/>
    <mergeCell ref="B435:D435"/>
    <mergeCell ref="B437:J437"/>
    <mergeCell ref="B422:C422"/>
    <mergeCell ref="B423:D423"/>
    <mergeCell ref="B424:D424"/>
    <mergeCell ref="B425:D425"/>
    <mergeCell ref="B427:D427"/>
    <mergeCell ref="B429:E429"/>
    <mergeCell ref="B415:E415"/>
    <mergeCell ref="B416:E416"/>
    <mergeCell ref="B417:E417"/>
    <mergeCell ref="B418:E418"/>
    <mergeCell ref="B419:E419"/>
    <mergeCell ref="B420:E420"/>
    <mergeCell ref="A400:C400"/>
    <mergeCell ref="A401:C401"/>
    <mergeCell ref="A403:C403"/>
    <mergeCell ref="A404:C404"/>
    <mergeCell ref="B409:H409"/>
    <mergeCell ref="B413:D413"/>
    <mergeCell ref="A392:C392"/>
    <mergeCell ref="A393:C393"/>
    <mergeCell ref="A394:C394"/>
    <mergeCell ref="A395:C395"/>
    <mergeCell ref="A397:C397"/>
    <mergeCell ref="A398:C398"/>
    <mergeCell ref="A380:B380"/>
    <mergeCell ref="I380:J380"/>
    <mergeCell ref="A382:B382"/>
    <mergeCell ref="I383:J383"/>
    <mergeCell ref="I386:J386"/>
    <mergeCell ref="D391:H391"/>
    <mergeCell ref="A370:B370"/>
    <mergeCell ref="A372:B372"/>
    <mergeCell ref="A374:H374"/>
    <mergeCell ref="A378:B378"/>
    <mergeCell ref="I378:J378"/>
    <mergeCell ref="I379:J379"/>
    <mergeCell ref="A355:C355"/>
    <mergeCell ref="A359:C359"/>
    <mergeCell ref="A360:C360"/>
    <mergeCell ref="A361:C361"/>
    <mergeCell ref="A365:F365"/>
    <mergeCell ref="A368:B368"/>
    <mergeCell ref="A347:C347"/>
    <mergeCell ref="A349:B349"/>
    <mergeCell ref="A350:B350"/>
    <mergeCell ref="A351:B351"/>
    <mergeCell ref="A353:C353"/>
    <mergeCell ref="A354:C354"/>
    <mergeCell ref="A340:C340"/>
    <mergeCell ref="A341:C341"/>
    <mergeCell ref="A343:C343"/>
    <mergeCell ref="A344:C344"/>
    <mergeCell ref="A345:C345"/>
    <mergeCell ref="A346:C346"/>
    <mergeCell ref="A332:H332"/>
    <mergeCell ref="I332:J332"/>
    <mergeCell ref="A334:C334"/>
    <mergeCell ref="A335:C335"/>
    <mergeCell ref="A337:C337"/>
    <mergeCell ref="A338:C338"/>
    <mergeCell ref="A325:A326"/>
    <mergeCell ref="B325:B326"/>
    <mergeCell ref="C325:H325"/>
    <mergeCell ref="C326:H326"/>
    <mergeCell ref="B329:F329"/>
    <mergeCell ref="B331:C331"/>
    <mergeCell ref="B295:D295"/>
    <mergeCell ref="B300:D300"/>
    <mergeCell ref="B304:G304"/>
    <mergeCell ref="A316:A320"/>
    <mergeCell ref="D316:D320"/>
    <mergeCell ref="B322:D322"/>
    <mergeCell ref="B257:C257"/>
    <mergeCell ref="B259:C259"/>
    <mergeCell ref="C264:D264"/>
    <mergeCell ref="G264:G273"/>
    <mergeCell ref="C269:D269"/>
    <mergeCell ref="B278:F278"/>
    <mergeCell ref="A230:F230"/>
    <mergeCell ref="D232:E232"/>
    <mergeCell ref="A246:E247"/>
    <mergeCell ref="B250:C250"/>
    <mergeCell ref="B255:C255"/>
    <mergeCell ref="B256:C256"/>
    <mergeCell ref="B210:C210"/>
    <mergeCell ref="C212:D212"/>
    <mergeCell ref="G212:G221"/>
    <mergeCell ref="C217:D217"/>
    <mergeCell ref="B226:F226"/>
    <mergeCell ref="A229:F229"/>
    <mergeCell ref="B203:C203"/>
    <mergeCell ref="B204:C204"/>
    <mergeCell ref="B205:C205"/>
    <mergeCell ref="B207:C207"/>
    <mergeCell ref="B208:C208"/>
    <mergeCell ref="B209:C209"/>
    <mergeCell ref="B183:E183"/>
    <mergeCell ref="B184:E184"/>
    <mergeCell ref="F189:G189"/>
    <mergeCell ref="H190:I190"/>
    <mergeCell ref="B195:F195"/>
    <mergeCell ref="B198:C198"/>
    <mergeCell ref="B174:F174"/>
    <mergeCell ref="B175:F175"/>
    <mergeCell ref="B176:F176"/>
    <mergeCell ref="B177:F177"/>
    <mergeCell ref="B180:G180"/>
    <mergeCell ref="B182:E182"/>
    <mergeCell ref="C81:D81"/>
    <mergeCell ref="C86:F86"/>
    <mergeCell ref="E95:F97"/>
    <mergeCell ref="B168:F168"/>
    <mergeCell ref="B172:G172"/>
    <mergeCell ref="B173:G173"/>
    <mergeCell ref="C73:D73"/>
    <mergeCell ref="C74:D74"/>
    <mergeCell ref="C75:D75"/>
    <mergeCell ref="C76:D76"/>
    <mergeCell ref="C79:F79"/>
    <mergeCell ref="G79:H79"/>
    <mergeCell ref="A30:E30"/>
    <mergeCell ref="F30:H30"/>
    <mergeCell ref="F67:H67"/>
    <mergeCell ref="A69:H69"/>
    <mergeCell ref="A70:H70"/>
    <mergeCell ref="A71:H71"/>
    <mergeCell ref="A4:G4"/>
    <mergeCell ref="A9:E9"/>
    <mergeCell ref="A11:E11"/>
    <mergeCell ref="D26:E26"/>
    <mergeCell ref="F27:G27"/>
    <mergeCell ref="B28:E28"/>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D5995-0BA0-404C-A1B0-D833A14E6252}">
  <dimension ref="A2:S734"/>
  <sheetViews>
    <sheetView topLeftCell="A667" zoomScale="55" zoomScaleNormal="55" workbookViewId="0">
      <selection activeCell="H669" sqref="H669"/>
    </sheetView>
  </sheetViews>
  <sheetFormatPr baseColWidth="10" defaultRowHeight="21"/>
  <cols>
    <col min="1" max="1" width="24.85546875" style="635" customWidth="1"/>
    <col min="2" max="2" width="31.28515625" style="635" customWidth="1"/>
    <col min="3" max="3" width="29" style="635" customWidth="1"/>
    <col min="4" max="4" width="35.42578125" style="635" customWidth="1"/>
    <col min="5" max="5" width="37.5703125" style="635" customWidth="1"/>
    <col min="6" max="6" width="34.140625" style="635" customWidth="1"/>
    <col min="7" max="7" width="36.140625" style="635" customWidth="1"/>
    <col min="8" max="8" width="39.42578125" style="635" customWidth="1"/>
    <col min="9" max="9" width="31.85546875" style="635" customWidth="1"/>
    <col min="10" max="10" width="36" style="635" customWidth="1"/>
    <col min="11" max="11" width="33.7109375" style="635" customWidth="1"/>
    <col min="12" max="12" width="30.42578125" style="635" customWidth="1"/>
    <col min="13" max="13" width="31.7109375" style="635" customWidth="1"/>
    <col min="14" max="14" width="29.7109375" style="635" customWidth="1"/>
    <col min="15" max="15" width="29.85546875" style="635" customWidth="1"/>
    <col min="16" max="16" width="29.28515625" style="635" customWidth="1"/>
    <col min="17" max="17" width="34" style="635" customWidth="1"/>
    <col min="18" max="18" width="40.140625" style="635" customWidth="1"/>
    <col min="19" max="16384" width="11.42578125" style="635"/>
  </cols>
  <sheetData>
    <row r="2" spans="1:11">
      <c r="H2" s="636"/>
      <c r="I2" s="636"/>
      <c r="J2" s="636"/>
      <c r="K2" s="636"/>
    </row>
    <row r="3" spans="1:11">
      <c r="A3" s="634"/>
      <c r="B3" s="711"/>
      <c r="C3" s="634"/>
    </row>
    <row r="4" spans="1:11" ht="26.25" customHeight="1">
      <c r="A4" s="1239" t="s">
        <v>787</v>
      </c>
      <c r="B4" s="1239"/>
      <c r="C4" s="1239"/>
      <c r="D4" s="1239"/>
      <c r="E4" s="1239"/>
      <c r="F4" s="1239"/>
      <c r="G4" s="1239"/>
      <c r="H4" s="712"/>
      <c r="I4" s="634"/>
      <c r="J4" s="634"/>
    </row>
    <row r="5" spans="1:11" ht="23.25">
      <c r="A5" s="713"/>
      <c r="B5" s="714"/>
      <c r="C5" s="713"/>
      <c r="D5" s="713"/>
      <c r="E5" s="713"/>
      <c r="F5" s="715"/>
      <c r="G5" s="716"/>
      <c r="H5" s="712"/>
      <c r="I5" s="634"/>
      <c r="J5" s="634"/>
    </row>
    <row r="6" spans="1:11" ht="23.25">
      <c r="A6" s="714"/>
      <c r="B6" s="714"/>
      <c r="C6" s="717"/>
      <c r="D6" s="718"/>
      <c r="E6" s="716"/>
      <c r="F6" s="716"/>
      <c r="G6" s="716"/>
      <c r="H6" s="641"/>
      <c r="I6" s="712"/>
      <c r="J6" s="642"/>
    </row>
    <row r="7" spans="1:11" ht="23.25">
      <c r="A7" s="714"/>
      <c r="B7" s="714"/>
      <c r="C7" s="717"/>
      <c r="D7" s="718"/>
      <c r="E7" s="716"/>
      <c r="F7" s="716"/>
      <c r="G7" s="716"/>
      <c r="H7" s="641"/>
      <c r="I7" s="712"/>
      <c r="J7" s="642"/>
    </row>
    <row r="8" spans="1:11" ht="23.25">
      <c r="A8" s="714"/>
      <c r="B8" s="714"/>
      <c r="C8" s="714"/>
      <c r="D8" s="717"/>
      <c r="E8" s="717"/>
      <c r="F8" s="719"/>
      <c r="G8" s="714"/>
    </row>
    <row r="9" spans="1:11" ht="39" customHeight="1">
      <c r="A9" s="1240"/>
      <c r="B9" s="1240"/>
      <c r="C9" s="1240"/>
      <c r="D9" s="1240"/>
      <c r="E9" s="1240"/>
      <c r="F9" s="714"/>
      <c r="G9" s="696"/>
      <c r="H9" s="979"/>
      <c r="I9" s="634"/>
    </row>
    <row r="10" spans="1:11" ht="23.25">
      <c r="A10" s="714"/>
      <c r="B10" s="714"/>
      <c r="C10" s="717"/>
      <c r="D10" s="717"/>
      <c r="E10" s="719"/>
      <c r="F10" s="714"/>
      <c r="G10" s="696"/>
      <c r="H10" s="979"/>
      <c r="I10" s="634"/>
    </row>
    <row r="11" spans="1:11" ht="34.5" customHeight="1">
      <c r="A11" s="1240" t="s">
        <v>788</v>
      </c>
      <c r="B11" s="1240"/>
      <c r="C11" s="1240"/>
      <c r="D11" s="1240"/>
      <c r="E11" s="1240"/>
      <c r="F11" s="717"/>
      <c r="G11" s="714"/>
      <c r="I11" s="634"/>
    </row>
    <row r="12" spans="1:11" ht="23.25">
      <c r="A12" s="721"/>
      <c r="B12" s="721"/>
      <c r="C12" s="722"/>
      <c r="D12" s="722"/>
      <c r="E12" s="723"/>
      <c r="F12" s="718"/>
      <c r="G12" s="714"/>
      <c r="I12" s="634"/>
    </row>
    <row r="13" spans="1:11" ht="69.75">
      <c r="A13" s="969" t="s">
        <v>778</v>
      </c>
      <c r="B13" s="969" t="s">
        <v>791</v>
      </c>
      <c r="C13" s="968" t="s">
        <v>789</v>
      </c>
      <c r="D13" s="968" t="s">
        <v>790</v>
      </c>
      <c r="E13" s="714"/>
      <c r="F13" s="969" t="s">
        <v>792</v>
      </c>
      <c r="G13" s="968" t="s">
        <v>777</v>
      </c>
      <c r="I13" s="634"/>
    </row>
    <row r="14" spans="1:11" ht="23.25">
      <c r="A14" s="714"/>
      <c r="B14" s="726" t="s">
        <v>134</v>
      </c>
      <c r="C14" s="726" t="s">
        <v>248</v>
      </c>
      <c r="D14" s="679" t="s">
        <v>248</v>
      </c>
      <c r="E14" s="714"/>
      <c r="F14" s="95" t="s">
        <v>134</v>
      </c>
      <c r="G14" s="96" t="s">
        <v>248</v>
      </c>
      <c r="I14" s="634"/>
    </row>
    <row r="15" spans="1:11" ht="23.25">
      <c r="A15" s="714"/>
      <c r="B15" s="55" t="s">
        <v>136</v>
      </c>
      <c r="C15" s="57">
        <v>2304</v>
      </c>
      <c r="D15" s="58">
        <v>1344</v>
      </c>
      <c r="E15" s="714"/>
      <c r="F15" s="95" t="s">
        <v>176</v>
      </c>
      <c r="G15" s="97">
        <v>500</v>
      </c>
      <c r="I15" s="634"/>
    </row>
    <row r="16" spans="1:11" ht="23.25">
      <c r="A16" s="714"/>
      <c r="B16" s="55" t="s">
        <v>137</v>
      </c>
      <c r="C16" s="57">
        <v>2000</v>
      </c>
      <c r="D16" s="57">
        <v>1300</v>
      </c>
      <c r="E16" s="714"/>
      <c r="F16" s="95" t="s">
        <v>177</v>
      </c>
      <c r="G16" s="98">
        <v>750</v>
      </c>
      <c r="I16" s="634"/>
    </row>
    <row r="17" spans="1:9" ht="23.25">
      <c r="A17" s="714"/>
      <c r="B17" s="55" t="s">
        <v>138</v>
      </c>
      <c r="C17" s="57">
        <v>2090</v>
      </c>
      <c r="D17" s="57">
        <v>1500</v>
      </c>
      <c r="E17" s="714"/>
      <c r="F17" s="95" t="s">
        <v>178</v>
      </c>
      <c r="G17" s="98">
        <v>1100</v>
      </c>
      <c r="I17" s="634"/>
    </row>
    <row r="18" spans="1:9" ht="23.25">
      <c r="A18" s="714"/>
      <c r="B18" s="59" t="s">
        <v>139</v>
      </c>
      <c r="C18" s="60">
        <v>1800</v>
      </c>
      <c r="D18" s="60">
        <v>1100</v>
      </c>
      <c r="E18" s="714"/>
      <c r="F18" s="914"/>
      <c r="G18" s="915"/>
      <c r="I18" s="634"/>
    </row>
    <row r="19" spans="1:9" ht="64.5" customHeight="1">
      <c r="A19" s="714"/>
      <c r="B19" s="727" t="s">
        <v>793</v>
      </c>
      <c r="C19" s="697">
        <v>2048.5</v>
      </c>
      <c r="D19" s="697">
        <v>1311</v>
      </c>
      <c r="E19" s="714"/>
      <c r="F19" s="727" t="s">
        <v>793</v>
      </c>
      <c r="G19" s="697">
        <v>783.33333333333337</v>
      </c>
      <c r="I19" s="634"/>
    </row>
    <row r="20" spans="1:9">
      <c r="I20" s="634"/>
    </row>
    <row r="21" spans="1:9" ht="0.75" customHeight="1">
      <c r="I21" s="634"/>
    </row>
    <row r="23" spans="1:9">
      <c r="A23" s="728"/>
      <c r="B23" s="729"/>
      <c r="C23" s="730"/>
      <c r="D23" s="729"/>
      <c r="E23" s="642"/>
      <c r="F23" s="649"/>
      <c r="G23" s="649"/>
      <c r="H23" s="979"/>
      <c r="I23" s="634"/>
    </row>
    <row r="24" spans="1:9">
      <c r="A24" s="728"/>
      <c r="B24" s="729"/>
      <c r="C24" s="730"/>
      <c r="D24" s="729"/>
      <c r="E24" s="642"/>
      <c r="F24" s="649"/>
      <c r="G24" s="649"/>
      <c r="H24" s="979"/>
      <c r="I24" s="634"/>
    </row>
    <row r="25" spans="1:9" ht="21.75" thickBot="1">
      <c r="B25" s="712"/>
      <c r="C25" s="728"/>
      <c r="D25" s="648"/>
      <c r="E25" s="648"/>
      <c r="F25" s="648"/>
      <c r="G25" s="643"/>
      <c r="H25" s="979"/>
      <c r="I25" s="634"/>
    </row>
    <row r="26" spans="1:9" ht="129.75" customHeight="1" thickBot="1">
      <c r="B26" s="712"/>
      <c r="C26" s="650" t="s">
        <v>202</v>
      </c>
      <c r="D26" s="1241" t="s">
        <v>779</v>
      </c>
      <c r="E26" s="1242"/>
      <c r="F26" s="648"/>
      <c r="G26" s="643"/>
      <c r="H26" s="979"/>
      <c r="I26" s="634"/>
    </row>
    <row r="27" spans="1:9" ht="21.75">
      <c r="F27" s="1090" t="s">
        <v>203</v>
      </c>
      <c r="G27" s="1082"/>
    </row>
    <row r="28" spans="1:9" ht="26.25">
      <c r="B28" s="1243" t="s">
        <v>794</v>
      </c>
      <c r="C28" s="1244"/>
      <c r="D28" s="1244"/>
      <c r="E28" s="1245"/>
      <c r="F28" s="132" t="s">
        <v>204</v>
      </c>
      <c r="G28" s="133">
        <v>3.84</v>
      </c>
    </row>
    <row r="29" spans="1:9" ht="26.25">
      <c r="F29" s="132" t="s">
        <v>205</v>
      </c>
      <c r="G29" s="133">
        <v>4.38</v>
      </c>
    </row>
    <row r="30" spans="1:9">
      <c r="A30" s="1246" t="s">
        <v>206</v>
      </c>
      <c r="B30" s="1247"/>
      <c r="C30" s="1247"/>
      <c r="D30" s="1247"/>
      <c r="E30" s="1248"/>
      <c r="F30" s="1249" t="s">
        <v>207</v>
      </c>
      <c r="G30" s="1250"/>
      <c r="H30" s="1251"/>
    </row>
    <row r="31" spans="1:9" ht="42">
      <c r="A31" s="644" t="s">
        <v>208</v>
      </c>
      <c r="B31" s="646" t="s">
        <v>135</v>
      </c>
      <c r="C31" s="646" t="s">
        <v>209</v>
      </c>
      <c r="D31" s="646" t="s">
        <v>210</v>
      </c>
      <c r="E31" s="646" t="s">
        <v>211</v>
      </c>
      <c r="F31" s="651" t="s">
        <v>212</v>
      </c>
      <c r="G31" s="651" t="s">
        <v>213</v>
      </c>
      <c r="H31" s="651" t="s">
        <v>214</v>
      </c>
    </row>
    <row r="32" spans="1:9">
      <c r="A32" s="916"/>
      <c r="B32" s="646"/>
      <c r="C32" s="646"/>
      <c r="D32" s="646"/>
      <c r="E32" s="646"/>
      <c r="F32" s="651"/>
      <c r="G32" s="651"/>
      <c r="H32" s="651"/>
    </row>
    <row r="33" spans="1:8" ht="26.25">
      <c r="A33" s="135" t="s">
        <v>362</v>
      </c>
      <c r="B33" s="136">
        <f>2250*3</f>
        <v>6750</v>
      </c>
      <c r="C33" s="647"/>
      <c r="D33" s="647"/>
      <c r="E33" s="136">
        <f>B33</f>
        <v>6750</v>
      </c>
      <c r="F33" s="138">
        <v>0.25</v>
      </c>
      <c r="G33" s="139">
        <f>E33*F33</f>
        <v>1687.5</v>
      </c>
      <c r="H33" s="139">
        <f>G33/12</f>
        <v>140.625</v>
      </c>
    </row>
    <row r="34" spans="1:8" ht="26.25">
      <c r="A34" s="135" t="s">
        <v>223</v>
      </c>
      <c r="B34" s="136">
        <f>3800*2</f>
        <v>7600</v>
      </c>
      <c r="C34" s="639"/>
      <c r="D34" s="639"/>
      <c r="E34" s="136">
        <f t="shared" ref="E34:E51" si="0">B34</f>
        <v>7600</v>
      </c>
      <c r="F34" s="138">
        <v>0.25</v>
      </c>
      <c r="G34" s="139">
        <f t="shared" ref="G34:G51" si="1">E34*F34</f>
        <v>1900</v>
      </c>
      <c r="H34" s="139">
        <f t="shared" ref="H34:H51" si="2">G34/12</f>
        <v>158.33333333333334</v>
      </c>
    </row>
    <row r="35" spans="1:8" ht="39" customHeight="1">
      <c r="A35" s="135" t="s">
        <v>215</v>
      </c>
      <c r="B35" s="136">
        <f>529*4</f>
        <v>2116</v>
      </c>
      <c r="C35" s="639"/>
      <c r="D35" s="639"/>
      <c r="E35" s="136">
        <f t="shared" si="0"/>
        <v>2116</v>
      </c>
      <c r="F35" s="138">
        <v>0.25</v>
      </c>
      <c r="G35" s="139">
        <f t="shared" si="1"/>
        <v>529</v>
      </c>
      <c r="H35" s="139">
        <f t="shared" si="2"/>
        <v>44.083333333333336</v>
      </c>
    </row>
    <row r="36" spans="1:8" ht="67.5" customHeight="1">
      <c r="A36" s="135" t="s">
        <v>363</v>
      </c>
      <c r="B36" s="136">
        <f>37.9*24</f>
        <v>909.59999999999991</v>
      </c>
      <c r="C36" s="639"/>
      <c r="D36" s="639"/>
      <c r="E36" s="136">
        <f t="shared" si="0"/>
        <v>909.59999999999991</v>
      </c>
      <c r="F36" s="138">
        <v>0.1</v>
      </c>
      <c r="G36" s="139">
        <f t="shared" si="1"/>
        <v>90.96</v>
      </c>
      <c r="H36" s="139">
        <f t="shared" si="2"/>
        <v>7.5799999999999992</v>
      </c>
    </row>
    <row r="37" spans="1:8" ht="54.75" customHeight="1">
      <c r="A37" s="135" t="s">
        <v>216</v>
      </c>
      <c r="B37" s="136">
        <f>1591*2</f>
        <v>3182</v>
      </c>
      <c r="C37" s="639"/>
      <c r="D37" s="639"/>
      <c r="E37" s="136">
        <f t="shared" si="0"/>
        <v>3182</v>
      </c>
      <c r="F37" s="138">
        <v>0.1</v>
      </c>
      <c r="G37" s="139">
        <f t="shared" si="1"/>
        <v>318.20000000000005</v>
      </c>
      <c r="H37" s="139">
        <f t="shared" si="2"/>
        <v>26.516666666666669</v>
      </c>
    </row>
    <row r="38" spans="1:8" ht="56.25" customHeight="1">
      <c r="A38" s="135" t="s">
        <v>217</v>
      </c>
      <c r="B38" s="136">
        <v>2499</v>
      </c>
      <c r="C38" s="639"/>
      <c r="D38" s="639"/>
      <c r="E38" s="136">
        <f t="shared" si="0"/>
        <v>2499</v>
      </c>
      <c r="F38" s="138">
        <v>0.25</v>
      </c>
      <c r="G38" s="139">
        <f t="shared" si="1"/>
        <v>624.75</v>
      </c>
      <c r="H38" s="139">
        <f t="shared" si="2"/>
        <v>52.0625</v>
      </c>
    </row>
    <row r="39" spans="1:8" ht="76.5" customHeight="1">
      <c r="A39" s="135" t="s">
        <v>364</v>
      </c>
      <c r="B39" s="136">
        <f>299*2</f>
        <v>598</v>
      </c>
      <c r="C39" s="639"/>
      <c r="D39" s="639"/>
      <c r="E39" s="136">
        <f t="shared" si="0"/>
        <v>598</v>
      </c>
      <c r="F39" s="138">
        <v>0.1</v>
      </c>
      <c r="G39" s="139">
        <f t="shared" si="1"/>
        <v>59.800000000000004</v>
      </c>
      <c r="H39" s="139">
        <f t="shared" si="2"/>
        <v>4.9833333333333334</v>
      </c>
    </row>
    <row r="40" spans="1:8" ht="59.25" customHeight="1">
      <c r="A40" s="135" t="s">
        <v>365</v>
      </c>
      <c r="B40" s="136">
        <v>509</v>
      </c>
      <c r="C40" s="639"/>
      <c r="D40" s="639"/>
      <c r="E40" s="136">
        <f t="shared" si="0"/>
        <v>509</v>
      </c>
      <c r="F40" s="138">
        <v>0.1</v>
      </c>
      <c r="G40" s="139">
        <f t="shared" si="1"/>
        <v>50.900000000000006</v>
      </c>
      <c r="H40" s="139">
        <f t="shared" si="2"/>
        <v>4.2416666666666671</v>
      </c>
    </row>
    <row r="41" spans="1:8" ht="45.75" customHeight="1">
      <c r="A41" s="135" t="s">
        <v>218</v>
      </c>
      <c r="B41" s="136">
        <f>499*3</f>
        <v>1497</v>
      </c>
      <c r="C41" s="639"/>
      <c r="D41" s="639"/>
      <c r="E41" s="136">
        <f t="shared" si="0"/>
        <v>1497</v>
      </c>
      <c r="F41" s="138">
        <v>0.1</v>
      </c>
      <c r="G41" s="139">
        <f t="shared" si="1"/>
        <v>149.70000000000002</v>
      </c>
      <c r="H41" s="139">
        <f t="shared" si="2"/>
        <v>12.475000000000001</v>
      </c>
    </row>
    <row r="42" spans="1:8" ht="54.75" customHeight="1">
      <c r="A42" s="135" t="s">
        <v>366</v>
      </c>
      <c r="B42" s="136">
        <f>299*3</f>
        <v>897</v>
      </c>
      <c r="C42" s="639"/>
      <c r="D42" s="639"/>
      <c r="E42" s="136">
        <f t="shared" si="0"/>
        <v>897</v>
      </c>
      <c r="F42" s="138">
        <v>0.1</v>
      </c>
      <c r="G42" s="139">
        <f t="shared" si="1"/>
        <v>89.7</v>
      </c>
      <c r="H42" s="139">
        <f t="shared" si="2"/>
        <v>7.4750000000000005</v>
      </c>
    </row>
    <row r="43" spans="1:8" ht="64.5" customHeight="1">
      <c r="A43" s="135" t="s">
        <v>367</v>
      </c>
      <c r="B43" s="136">
        <f>199*5</f>
        <v>995</v>
      </c>
      <c r="C43" s="639"/>
      <c r="D43" s="639"/>
      <c r="E43" s="136">
        <f t="shared" si="0"/>
        <v>995</v>
      </c>
      <c r="F43" s="138">
        <v>0.1</v>
      </c>
      <c r="G43" s="139">
        <f t="shared" si="1"/>
        <v>99.5</v>
      </c>
      <c r="H43" s="139">
        <f t="shared" si="2"/>
        <v>8.2916666666666661</v>
      </c>
    </row>
    <row r="44" spans="1:8" ht="42" customHeight="1">
      <c r="A44" s="135" t="s">
        <v>368</v>
      </c>
      <c r="B44" s="136">
        <v>249</v>
      </c>
      <c r="C44" s="639"/>
      <c r="D44" s="639"/>
      <c r="E44" s="136">
        <f t="shared" si="0"/>
        <v>249</v>
      </c>
      <c r="F44" s="138">
        <v>0.1</v>
      </c>
      <c r="G44" s="139">
        <f t="shared" si="1"/>
        <v>24.900000000000002</v>
      </c>
      <c r="H44" s="139">
        <f t="shared" si="2"/>
        <v>2.0750000000000002</v>
      </c>
    </row>
    <row r="45" spans="1:8" ht="72.75" customHeight="1">
      <c r="A45" s="135" t="s">
        <v>219</v>
      </c>
      <c r="B45" s="136">
        <v>2332</v>
      </c>
      <c r="C45" s="639"/>
      <c r="D45" s="639"/>
      <c r="E45" s="136">
        <f t="shared" si="0"/>
        <v>2332</v>
      </c>
      <c r="F45" s="138">
        <v>0.1</v>
      </c>
      <c r="G45" s="139">
        <f t="shared" si="1"/>
        <v>233.20000000000002</v>
      </c>
      <c r="H45" s="139">
        <f t="shared" si="2"/>
        <v>19.433333333333334</v>
      </c>
    </row>
    <row r="46" spans="1:8" ht="67.5" customHeight="1">
      <c r="A46" s="135" t="s">
        <v>220</v>
      </c>
      <c r="B46" s="136">
        <f>1987.5*8</f>
        <v>15900</v>
      </c>
      <c r="C46" s="639"/>
      <c r="D46" s="639"/>
      <c r="E46" s="136">
        <f t="shared" si="0"/>
        <v>15900</v>
      </c>
      <c r="F46" s="138">
        <v>0.1</v>
      </c>
      <c r="G46" s="139">
        <f t="shared" si="1"/>
        <v>1590</v>
      </c>
      <c r="H46" s="139">
        <f t="shared" si="2"/>
        <v>132.5</v>
      </c>
    </row>
    <row r="47" spans="1:8" ht="69" customHeight="1">
      <c r="A47" s="135" t="s">
        <v>369</v>
      </c>
      <c r="B47" s="136">
        <f>3*480</f>
        <v>1440</v>
      </c>
      <c r="C47" s="639"/>
      <c r="D47" s="639"/>
      <c r="E47" s="136">
        <f t="shared" si="0"/>
        <v>1440</v>
      </c>
      <c r="F47" s="138">
        <v>0.25</v>
      </c>
      <c r="G47" s="139">
        <f t="shared" si="1"/>
        <v>360</v>
      </c>
      <c r="H47" s="139">
        <f t="shared" si="2"/>
        <v>30</v>
      </c>
    </row>
    <row r="48" spans="1:8" ht="70.5" customHeight="1">
      <c r="A48" s="135" t="s">
        <v>370</v>
      </c>
      <c r="B48" s="136">
        <v>570</v>
      </c>
      <c r="C48" s="639"/>
      <c r="D48" s="639"/>
      <c r="E48" s="136">
        <f t="shared" si="0"/>
        <v>570</v>
      </c>
      <c r="F48" s="138">
        <v>0.1</v>
      </c>
      <c r="G48" s="139">
        <f t="shared" si="1"/>
        <v>57</v>
      </c>
      <c r="H48" s="139">
        <f t="shared" si="2"/>
        <v>4.75</v>
      </c>
    </row>
    <row r="49" spans="1:8" ht="72.75" customHeight="1">
      <c r="A49" s="135" t="s">
        <v>224</v>
      </c>
      <c r="B49" s="136">
        <v>10000</v>
      </c>
      <c r="C49" s="639"/>
      <c r="D49" s="639"/>
      <c r="E49" s="136">
        <f t="shared" si="0"/>
        <v>10000</v>
      </c>
      <c r="F49" s="138">
        <v>0.05</v>
      </c>
      <c r="G49" s="139">
        <f t="shared" si="1"/>
        <v>500</v>
      </c>
      <c r="H49" s="139">
        <f t="shared" si="2"/>
        <v>41.666666666666664</v>
      </c>
    </row>
    <row r="50" spans="1:8" ht="76.5" customHeight="1">
      <c r="A50" s="135" t="s">
        <v>222</v>
      </c>
      <c r="B50" s="136">
        <f>121.28*2+121.28*2</f>
        <v>485.12</v>
      </c>
      <c r="C50" s="639"/>
      <c r="D50" s="639"/>
      <c r="E50" s="136">
        <f t="shared" si="0"/>
        <v>485.12</v>
      </c>
      <c r="F50" s="138">
        <v>0.1</v>
      </c>
      <c r="G50" s="139">
        <f t="shared" si="1"/>
        <v>48.512</v>
      </c>
      <c r="H50" s="139">
        <f t="shared" si="2"/>
        <v>4.0426666666666664</v>
      </c>
    </row>
    <row r="51" spans="1:8" ht="75.75" customHeight="1">
      <c r="A51" s="135" t="s">
        <v>225</v>
      </c>
      <c r="B51" s="136">
        <f>299*2+174*5+195*2+45*4+5.8*10+158*10+120*4+19.9*10</f>
        <v>4355</v>
      </c>
      <c r="C51" s="639"/>
      <c r="D51" s="639"/>
      <c r="E51" s="136">
        <f t="shared" si="0"/>
        <v>4355</v>
      </c>
      <c r="F51" s="138">
        <v>0.1</v>
      </c>
      <c r="G51" s="139">
        <f t="shared" si="1"/>
        <v>435.5</v>
      </c>
      <c r="H51" s="139">
        <f t="shared" si="2"/>
        <v>36.291666666666664</v>
      </c>
    </row>
    <row r="52" spans="1:8" ht="26.25">
      <c r="A52" s="647"/>
      <c r="B52" s="639"/>
      <c r="C52" s="639"/>
      <c r="D52" s="639"/>
      <c r="E52" s="639"/>
      <c r="F52" s="142"/>
      <c r="G52" s="143"/>
      <c r="H52" s="143"/>
    </row>
    <row r="53" spans="1:8" ht="23.25">
      <c r="A53" s="647"/>
      <c r="B53" s="639"/>
      <c r="C53" s="697" t="s">
        <v>226</v>
      </c>
      <c r="D53" s="697"/>
      <c r="E53" s="697">
        <f>SUM(E33:E52)</f>
        <v>62883.72</v>
      </c>
      <c r="F53" s="654" t="s">
        <v>227</v>
      </c>
      <c r="G53" s="644">
        <f>SUM(G33:G51)</f>
        <v>8849.1219999999994</v>
      </c>
      <c r="H53" s="644">
        <f>SUM(H33:H51)</f>
        <v>737.42683333333343</v>
      </c>
    </row>
    <row r="54" spans="1:8" ht="23.25">
      <c r="A54" s="647"/>
      <c r="B54" s="639"/>
      <c r="C54" s="639"/>
      <c r="D54" s="639"/>
      <c r="E54" s="639"/>
      <c r="F54" s="655"/>
      <c r="G54" s="656"/>
      <c r="H54" s="656"/>
    </row>
    <row r="55" spans="1:8" ht="23.25">
      <c r="A55" s="647"/>
      <c r="B55" s="639"/>
      <c r="C55" s="639"/>
      <c r="D55" s="639"/>
      <c r="E55" s="639"/>
      <c r="F55" s="655"/>
      <c r="G55" s="656"/>
      <c r="H55" s="656"/>
    </row>
    <row r="56" spans="1:8" ht="42">
      <c r="A56" s="657" t="s">
        <v>228</v>
      </c>
      <c r="B56" s="637"/>
      <c r="C56" s="639"/>
      <c r="D56" s="639"/>
      <c r="E56" s="639"/>
      <c r="F56" s="658" t="s">
        <v>229</v>
      </c>
      <c r="G56" s="651" t="s">
        <v>230</v>
      </c>
      <c r="H56" s="651" t="s">
        <v>231</v>
      </c>
    </row>
    <row r="57" spans="1:8" ht="46.5">
      <c r="A57" s="647"/>
      <c r="B57" s="637" t="str">
        <f>B31</f>
        <v>Soles</v>
      </c>
      <c r="C57" s="637" t="str">
        <f>C31</f>
        <v>Dólares</v>
      </c>
      <c r="D57" s="637" t="str">
        <f>D31</f>
        <v>Euros</v>
      </c>
      <c r="E57" s="637" t="str">
        <f>E31</f>
        <v>Toda la inversión convertida a Soles</v>
      </c>
      <c r="F57" s="660"/>
      <c r="G57" s="661"/>
      <c r="H57" s="661"/>
    </row>
    <row r="58" spans="1:8" ht="52.5">
      <c r="A58" s="135" t="s">
        <v>232</v>
      </c>
      <c r="B58" s="136">
        <v>535</v>
      </c>
      <c r="C58" s="639"/>
      <c r="D58" s="639"/>
      <c r="E58" s="136">
        <v>535</v>
      </c>
      <c r="F58" s="138">
        <v>0.1</v>
      </c>
      <c r="G58" s="653">
        <f t="shared" ref="G58:G62" si="3">E58*F58</f>
        <v>53.5</v>
      </c>
      <c r="H58" s="662">
        <f t="shared" ref="H58:H62" si="4">G58/12</f>
        <v>4.458333333333333</v>
      </c>
    </row>
    <row r="59" spans="1:8" ht="52.5">
      <c r="A59" s="135" t="s">
        <v>233</v>
      </c>
      <c r="B59" s="136">
        <f>22+28+5+4.5*7+250</f>
        <v>336.5</v>
      </c>
      <c r="C59" s="639"/>
      <c r="D59" s="639"/>
      <c r="E59" s="136">
        <f>22+28+5+4.5*7+250</f>
        <v>336.5</v>
      </c>
      <c r="F59" s="138">
        <v>0.1</v>
      </c>
      <c r="G59" s="653">
        <f t="shared" si="3"/>
        <v>33.65</v>
      </c>
      <c r="H59" s="662">
        <f t="shared" si="4"/>
        <v>2.8041666666666667</v>
      </c>
    </row>
    <row r="60" spans="1:8" ht="52.5">
      <c r="A60" s="135" t="s">
        <v>234</v>
      </c>
      <c r="B60" s="136">
        <v>800</v>
      </c>
      <c r="C60" s="639"/>
      <c r="D60" s="639"/>
      <c r="E60" s="136">
        <v>800</v>
      </c>
      <c r="F60" s="138">
        <v>0.1</v>
      </c>
      <c r="G60" s="653"/>
      <c r="H60" s="662">
        <f t="shared" si="4"/>
        <v>0</v>
      </c>
    </row>
    <row r="61" spans="1:8" ht="52.5">
      <c r="A61" s="135" t="s">
        <v>235</v>
      </c>
      <c r="B61" s="136">
        <v>1400</v>
      </c>
      <c r="C61" s="639"/>
      <c r="D61" s="639"/>
      <c r="E61" s="136">
        <v>1400</v>
      </c>
      <c r="F61" s="138">
        <v>0.1</v>
      </c>
      <c r="G61" s="653">
        <f t="shared" si="3"/>
        <v>140</v>
      </c>
      <c r="H61" s="662">
        <f t="shared" si="4"/>
        <v>11.666666666666666</v>
      </c>
    </row>
    <row r="62" spans="1:8" ht="52.5">
      <c r="A62" s="135" t="s">
        <v>236</v>
      </c>
      <c r="B62" s="136">
        <v>3150</v>
      </c>
      <c r="C62" s="639"/>
      <c r="D62" s="639"/>
      <c r="E62" s="136">
        <v>3150</v>
      </c>
      <c r="F62" s="138">
        <v>0.1</v>
      </c>
      <c r="G62" s="653">
        <f t="shared" si="3"/>
        <v>315</v>
      </c>
      <c r="H62" s="662">
        <f t="shared" si="4"/>
        <v>26.25</v>
      </c>
    </row>
    <row r="63" spans="1:8" ht="23.25">
      <c r="A63" s="663"/>
      <c r="B63" s="639"/>
      <c r="C63" s="699" t="s">
        <v>237</v>
      </c>
      <c r="D63" s="699"/>
      <c r="E63" s="699">
        <f>SUM(E58:E62)</f>
        <v>6221.5</v>
      </c>
      <c r="F63" s="651" t="s">
        <v>238</v>
      </c>
      <c r="G63" s="664">
        <f>SUM(G58:G62)</f>
        <v>542.15</v>
      </c>
      <c r="H63" s="664">
        <f>SUM(H58:H62)</f>
        <v>45.179166666666667</v>
      </c>
    </row>
    <row r="64" spans="1:8" ht="23.25">
      <c r="A64" s="663"/>
      <c r="B64" s="639"/>
      <c r="C64" s="637"/>
      <c r="D64" s="637"/>
      <c r="E64" s="637"/>
      <c r="F64" s="659"/>
      <c r="G64" s="664"/>
      <c r="H64" s="664"/>
    </row>
    <row r="65" spans="1:8" ht="42">
      <c r="A65" s="644" t="s">
        <v>239</v>
      </c>
      <c r="B65" s="700">
        <v>0.15</v>
      </c>
      <c r="C65" s="699" t="s">
        <v>240</v>
      </c>
      <c r="D65" s="701" t="s">
        <v>241</v>
      </c>
      <c r="E65" s="699">
        <f>(E53+E63)*B65</f>
        <v>10365.782999999999</v>
      </c>
      <c r="F65" s="665"/>
      <c r="G65" s="665"/>
      <c r="H65" s="665"/>
    </row>
    <row r="66" spans="1:8" ht="23.25">
      <c r="A66" s="666"/>
      <c r="B66" s="702"/>
      <c r="C66" s="698"/>
      <c r="D66" s="639"/>
      <c r="E66" s="639"/>
      <c r="F66" s="665"/>
      <c r="G66" s="665"/>
      <c r="H66" s="665"/>
    </row>
    <row r="67" spans="1:8" ht="46.5">
      <c r="A67" s="731"/>
      <c r="B67" s="732"/>
      <c r="C67" s="733" t="s">
        <v>242</v>
      </c>
      <c r="D67" s="734"/>
      <c r="E67" s="735">
        <f>E53+E63+E65</f>
        <v>79471.002999999997</v>
      </c>
      <c r="F67" s="1270" t="s">
        <v>243</v>
      </c>
      <c r="G67" s="1271"/>
      <c r="H67" s="1272"/>
    </row>
    <row r="69" spans="1:8">
      <c r="A69" s="1273" t="s">
        <v>244</v>
      </c>
      <c r="B69" s="1274"/>
      <c r="C69" s="1274"/>
      <c r="D69" s="1274"/>
      <c r="E69" s="1274"/>
      <c r="F69" s="1274"/>
      <c r="G69" s="1274"/>
      <c r="H69" s="1274"/>
    </row>
    <row r="70" spans="1:8">
      <c r="A70" s="1275" t="s">
        <v>245</v>
      </c>
      <c r="B70" s="1276"/>
      <c r="C70" s="1276"/>
      <c r="D70" s="1276"/>
      <c r="E70" s="1276"/>
      <c r="F70" s="1276"/>
      <c r="G70" s="1276"/>
      <c r="H70" s="1276"/>
    </row>
    <row r="71" spans="1:8">
      <c r="A71" s="1275" t="s">
        <v>780</v>
      </c>
      <c r="B71" s="1276"/>
      <c r="C71" s="1276"/>
      <c r="D71" s="1276"/>
      <c r="E71" s="1276"/>
      <c r="F71" s="1276"/>
      <c r="G71" s="1276"/>
      <c r="H71" s="1276"/>
    </row>
    <row r="72" spans="1:8">
      <c r="A72" s="728"/>
      <c r="B72" s="728"/>
      <c r="C72" s="728"/>
      <c r="D72" s="728"/>
      <c r="E72" s="728"/>
      <c r="F72" s="634"/>
    </row>
    <row r="73" spans="1:8" ht="63" customHeight="1">
      <c r="A73" s="728"/>
      <c r="B73" s="736" t="s">
        <v>246</v>
      </c>
      <c r="C73" s="1270" t="s">
        <v>247</v>
      </c>
      <c r="D73" s="1272"/>
      <c r="E73" s="972" t="s">
        <v>248</v>
      </c>
      <c r="F73" s="634"/>
    </row>
    <row r="74" spans="1:8" ht="42" customHeight="1">
      <c r="A74" s="728"/>
      <c r="B74" s="728"/>
      <c r="C74" s="1252" t="s">
        <v>249</v>
      </c>
      <c r="D74" s="1253"/>
      <c r="E74" s="738">
        <f>E53</f>
        <v>62883.72</v>
      </c>
      <c r="F74" s="634"/>
    </row>
    <row r="75" spans="1:8" ht="42" customHeight="1">
      <c r="A75" s="728"/>
      <c r="B75" s="728"/>
      <c r="C75" s="1252" t="s">
        <v>250</v>
      </c>
      <c r="D75" s="1253"/>
      <c r="E75" s="738">
        <f>E63</f>
        <v>6221.5</v>
      </c>
      <c r="F75" s="634"/>
    </row>
    <row r="76" spans="1:8" ht="42" customHeight="1">
      <c r="A76" s="728"/>
      <c r="B76" s="728"/>
      <c r="C76" s="1252" t="s">
        <v>251</v>
      </c>
      <c r="D76" s="1253"/>
      <c r="E76" s="738">
        <f>E65</f>
        <v>10365.782999999999</v>
      </c>
      <c r="F76" s="634"/>
    </row>
    <row r="77" spans="1:8" ht="23.25">
      <c r="A77" s="728"/>
      <c r="B77" s="728"/>
      <c r="C77" s="739" t="s">
        <v>183</v>
      </c>
      <c r="D77" s="739"/>
      <c r="E77" s="740">
        <f>SUM(E74:E76)</f>
        <v>79471.002999999997</v>
      </c>
      <c r="F77" s="634"/>
    </row>
    <row r="78" spans="1:8" ht="21.75" thickBot="1">
      <c r="A78" s="728"/>
      <c r="B78" s="728"/>
      <c r="C78" s="728"/>
      <c r="D78" s="728"/>
      <c r="E78" s="729"/>
      <c r="F78" s="634"/>
    </row>
    <row r="79" spans="1:8" ht="89.25" customHeight="1" thickBot="1">
      <c r="A79" s="728"/>
      <c r="B79" s="981" t="s">
        <v>252</v>
      </c>
      <c r="C79" s="1260" t="s">
        <v>253</v>
      </c>
      <c r="D79" s="1261"/>
      <c r="E79" s="1261"/>
      <c r="F79" s="1262"/>
      <c r="G79" s="1263" t="s">
        <v>781</v>
      </c>
      <c r="H79" s="1264"/>
    </row>
    <row r="80" spans="1:8">
      <c r="A80" s="728"/>
      <c r="B80" s="728"/>
      <c r="C80" s="728"/>
      <c r="D80" s="728"/>
      <c r="E80" s="728"/>
      <c r="F80" s="634"/>
    </row>
    <row r="81" spans="1:9" ht="63">
      <c r="A81" s="728"/>
      <c r="B81" s="736" t="s">
        <v>254</v>
      </c>
      <c r="C81" s="1265" t="s">
        <v>255</v>
      </c>
      <c r="D81" s="1266"/>
      <c r="E81" s="728"/>
      <c r="F81" s="634"/>
      <c r="G81" s="975" t="s">
        <v>256</v>
      </c>
      <c r="H81" s="975" t="s">
        <v>257</v>
      </c>
      <c r="I81" s="975" t="s">
        <v>258</v>
      </c>
    </row>
    <row r="82" spans="1:9" ht="46.5">
      <c r="A82" s="728"/>
      <c r="B82" s="728"/>
      <c r="C82" s="969" t="s">
        <v>259</v>
      </c>
      <c r="D82" s="743">
        <v>0.6</v>
      </c>
      <c r="E82" s="744">
        <f>E67*D82</f>
        <v>47682.601799999997</v>
      </c>
      <c r="F82" s="966" t="s">
        <v>260</v>
      </c>
      <c r="G82" s="168">
        <v>8.2857E-2</v>
      </c>
      <c r="H82" s="678">
        <v>0.18107100000000001</v>
      </c>
      <c r="I82" s="168">
        <v>0.26392900000000002</v>
      </c>
    </row>
    <row r="83" spans="1:9" ht="26.25">
      <c r="A83" s="728"/>
      <c r="B83" s="728"/>
      <c r="C83" s="746" t="s">
        <v>261</v>
      </c>
      <c r="D83" s="747">
        <v>0.4</v>
      </c>
      <c r="E83" s="748">
        <f>E67*D83</f>
        <v>31788.4012</v>
      </c>
      <c r="F83" s="749" t="s">
        <v>262</v>
      </c>
      <c r="G83" s="173">
        <v>0.17199999999999999</v>
      </c>
      <c r="H83" s="174" t="s">
        <v>263</v>
      </c>
    </row>
    <row r="84" spans="1:9" ht="26.25">
      <c r="A84" s="728"/>
      <c r="B84" s="728"/>
      <c r="C84" s="746" t="s">
        <v>183</v>
      </c>
      <c r="D84" s="747">
        <f>SUM(D82:D83)</f>
        <v>1</v>
      </c>
      <c r="E84" s="748">
        <f>SUM(E82:E83)</f>
        <v>79471.002999999997</v>
      </c>
      <c r="F84" s="715"/>
      <c r="G84" s="174">
        <v>5</v>
      </c>
      <c r="H84" s="174" t="s">
        <v>264</v>
      </c>
    </row>
    <row r="85" spans="1:9" ht="26.25">
      <c r="A85" s="728"/>
      <c r="B85" s="728"/>
      <c r="C85" s="728"/>
      <c r="D85" s="728"/>
      <c r="E85" s="728"/>
      <c r="F85" s="634"/>
      <c r="G85" s="174">
        <v>12</v>
      </c>
      <c r="H85" s="174" t="s">
        <v>265</v>
      </c>
    </row>
    <row r="86" spans="1:9" ht="23.25">
      <c r="A86" s="728"/>
      <c r="B86" s="728"/>
      <c r="C86" s="1267" t="s">
        <v>782</v>
      </c>
      <c r="D86" s="1268"/>
      <c r="E86" s="1268"/>
      <c r="F86" s="1269"/>
      <c r="G86" s="158">
        <f>G84*G85</f>
        <v>60</v>
      </c>
      <c r="H86" s="158" t="s">
        <v>266</v>
      </c>
    </row>
    <row r="88" spans="1:9">
      <c r="B88" s="750" t="s">
        <v>267</v>
      </c>
    </row>
    <row r="89" spans="1:9" ht="42">
      <c r="B89" s="972" t="s">
        <v>268</v>
      </c>
      <c r="C89" s="744">
        <f>E83</f>
        <v>31788.4012</v>
      </c>
      <c r="D89" s="739"/>
    </row>
    <row r="90" spans="1:9">
      <c r="B90" s="978" t="s">
        <v>263</v>
      </c>
      <c r="C90" s="752">
        <f>G83</f>
        <v>0.17199999999999999</v>
      </c>
      <c r="D90" s="739"/>
    </row>
    <row r="91" spans="1:9">
      <c r="B91" s="978" t="s">
        <v>269</v>
      </c>
      <c r="C91" s="667">
        <f>(((1+C90)^(30/360))-1)</f>
        <v>1.3313824334185265E-2</v>
      </c>
      <c r="D91" s="739"/>
    </row>
    <row r="92" spans="1:9">
      <c r="B92" s="972" t="s">
        <v>270</v>
      </c>
      <c r="C92" s="972" t="s">
        <v>143</v>
      </c>
      <c r="D92" s="972" t="s">
        <v>271</v>
      </c>
    </row>
    <row r="93" spans="1:9">
      <c r="B93" s="739" t="s">
        <v>272</v>
      </c>
      <c r="C93" s="978">
        <f>G86</f>
        <v>60</v>
      </c>
      <c r="D93" s="978" t="s">
        <v>273</v>
      </c>
    </row>
    <row r="95" spans="1:9" ht="21" customHeight="1">
      <c r="A95" s="731"/>
      <c r="B95" s="753" t="s">
        <v>274</v>
      </c>
      <c r="C95" s="753" t="s">
        <v>275</v>
      </c>
      <c r="D95" s="753" t="s">
        <v>276</v>
      </c>
      <c r="E95" s="1254" t="s">
        <v>795</v>
      </c>
      <c r="F95" s="1255"/>
      <c r="G95" s="731"/>
    </row>
    <row r="96" spans="1:9">
      <c r="A96" s="731"/>
      <c r="B96" s="731"/>
      <c r="C96" s="731"/>
      <c r="D96" s="753" t="s">
        <v>278</v>
      </c>
      <c r="E96" s="1256"/>
      <c r="F96" s="1257"/>
      <c r="G96" s="731"/>
    </row>
    <row r="97" spans="1:7">
      <c r="A97" s="731"/>
      <c r="B97" s="731"/>
      <c r="C97" s="731"/>
      <c r="D97" s="753" t="s">
        <v>279</v>
      </c>
      <c r="E97" s="1258"/>
      <c r="F97" s="1259"/>
      <c r="G97" s="731"/>
    </row>
    <row r="98" spans="1:7">
      <c r="A98" s="731"/>
      <c r="B98" s="731"/>
      <c r="C98" s="731"/>
      <c r="E98" s="731"/>
      <c r="F98" s="731"/>
      <c r="G98" s="731"/>
    </row>
    <row r="99" spans="1:7">
      <c r="A99" s="731"/>
      <c r="B99" s="731"/>
      <c r="C99" s="731"/>
      <c r="D99" s="731"/>
      <c r="E99" s="731"/>
      <c r="F99" s="731"/>
      <c r="G99" s="731"/>
    </row>
    <row r="100" spans="1:7">
      <c r="A100" s="731"/>
      <c r="B100" s="731"/>
      <c r="C100" s="976" t="s">
        <v>280</v>
      </c>
      <c r="D100" s="755">
        <f>C89</f>
        <v>31788.4012</v>
      </c>
      <c r="E100" s="756">
        <f>D100</f>
        <v>31788.4012</v>
      </c>
      <c r="F100" s="757">
        <f>E100/E101</f>
        <v>772.63679844369324</v>
      </c>
      <c r="G100" s="978" t="s">
        <v>274</v>
      </c>
    </row>
    <row r="101" spans="1:7">
      <c r="A101" s="731"/>
      <c r="B101" s="731"/>
      <c r="C101" s="731"/>
      <c r="D101" s="978">
        <f>(((1+C91)^(C93))-1)</f>
        <v>1.2112510819256475</v>
      </c>
      <c r="E101" s="739">
        <f>D101/D102</f>
        <v>41.142748137327573</v>
      </c>
      <c r="F101" s="731"/>
      <c r="G101" s="731"/>
    </row>
    <row r="102" spans="1:7">
      <c r="A102" s="731"/>
      <c r="B102" s="731"/>
      <c r="C102" s="731"/>
      <c r="D102" s="978">
        <f>C91*((1+C91)^(C93))</f>
        <v>2.9440208463535178E-2</v>
      </c>
      <c r="E102" s="731"/>
      <c r="F102" s="731"/>
      <c r="G102" s="731"/>
    </row>
    <row r="103" spans="1:7">
      <c r="A103" s="731"/>
      <c r="B103" s="750" t="s">
        <v>267</v>
      </c>
      <c r="C103" s="731"/>
      <c r="D103" s="758"/>
      <c r="E103" s="731"/>
      <c r="F103" s="731"/>
      <c r="G103" s="731"/>
    </row>
    <row r="104" spans="1:7" ht="42">
      <c r="A104" s="731"/>
      <c r="B104" s="759" t="s">
        <v>272</v>
      </c>
      <c r="C104" s="759" t="s">
        <v>281</v>
      </c>
      <c r="D104" s="759" t="s">
        <v>282</v>
      </c>
      <c r="E104" s="759" t="s">
        <v>283</v>
      </c>
      <c r="F104" s="759" t="s">
        <v>274</v>
      </c>
      <c r="G104" s="731"/>
    </row>
    <row r="105" spans="1:7">
      <c r="A105" s="731"/>
      <c r="B105" s="978">
        <v>1</v>
      </c>
      <c r="C105" s="755">
        <f>C89</f>
        <v>31788.4012</v>
      </c>
      <c r="D105" s="755">
        <f>F105-E105</f>
        <v>349.41160900228914</v>
      </c>
      <c r="E105" s="755">
        <f>C105*C91</f>
        <v>423.2251894414041</v>
      </c>
      <c r="F105" s="755">
        <f>F100</f>
        <v>772.63679844369324</v>
      </c>
      <c r="G105" s="731"/>
    </row>
    <row r="106" spans="1:7">
      <c r="A106" s="731"/>
      <c r="B106" s="978">
        <v>2</v>
      </c>
      <c r="C106" s="755">
        <f>C105-D105</f>
        <v>31438.989590997709</v>
      </c>
      <c r="D106" s="755">
        <f>F106-E106</f>
        <v>354.06361378487071</v>
      </c>
      <c r="E106" s="755">
        <f>C106*$C$91</f>
        <v>418.57318465882253</v>
      </c>
      <c r="F106" s="755">
        <f>F105</f>
        <v>772.63679844369324</v>
      </c>
      <c r="G106" s="731"/>
    </row>
    <row r="107" spans="1:7">
      <c r="A107" s="731"/>
      <c r="B107" s="978">
        <v>3</v>
      </c>
      <c r="C107" s="755">
        <f>C106-D106</f>
        <v>31084.925977212839</v>
      </c>
      <c r="D107" s="755">
        <f>F107-E107</f>
        <v>358.77755454192925</v>
      </c>
      <c r="E107" s="755">
        <f>C107*$C$91</f>
        <v>413.85924390176399</v>
      </c>
      <c r="F107" s="755">
        <f>F106</f>
        <v>772.63679844369324</v>
      </c>
      <c r="G107" s="731"/>
    </row>
    <row r="108" spans="1:7">
      <c r="A108" s="731"/>
      <c r="B108" s="978">
        <v>4</v>
      </c>
      <c r="C108" s="755">
        <f>C107-D107</f>
        <v>30726.148422670911</v>
      </c>
      <c r="D108" s="755">
        <f>F108-E108</f>
        <v>363.55425587814909</v>
      </c>
      <c r="E108" s="755">
        <f>C108*$C$91</f>
        <v>409.08254256554414</v>
      </c>
      <c r="F108" s="755">
        <f>F107</f>
        <v>772.63679844369324</v>
      </c>
      <c r="G108" s="731"/>
    </row>
    <row r="109" spans="1:7">
      <c r="A109" s="731"/>
      <c r="B109" s="978">
        <v>5</v>
      </c>
      <c r="C109" s="760">
        <f>C108-D108</f>
        <v>30362.594166792762</v>
      </c>
      <c r="D109" s="760">
        <f>F109-E109</f>
        <v>368.39455337685621</v>
      </c>
      <c r="E109" s="755">
        <f>C109*$C$91</f>
        <v>404.24224506683703</v>
      </c>
      <c r="F109" s="755">
        <f>F108</f>
        <v>772.63679844369324</v>
      </c>
      <c r="G109" s="731"/>
    </row>
    <row r="110" spans="1:7">
      <c r="A110" s="731"/>
      <c r="B110" s="978">
        <v>6</v>
      </c>
      <c r="C110" s="760">
        <f t="shared" ref="C110:C164" si="5">C109-D109</f>
        <v>29994.199613415905</v>
      </c>
      <c r="D110" s="760">
        <f t="shared" ref="D110:D164" si="6">F110-E110</f>
        <v>373.29929374618632</v>
      </c>
      <c r="E110" s="755">
        <f t="shared" ref="E110:E164" si="7">C110*$C$91</f>
        <v>399.33750469750692</v>
      </c>
      <c r="F110" s="755">
        <f t="shared" ref="F110:F164" si="8">F109</f>
        <v>772.63679844369324</v>
      </c>
      <c r="G110" s="731"/>
    </row>
    <row r="111" spans="1:7">
      <c r="A111" s="731"/>
      <c r="B111" s="978">
        <v>7</v>
      </c>
      <c r="C111" s="760">
        <f t="shared" si="5"/>
        <v>29620.900319669719</v>
      </c>
      <c r="D111" s="760">
        <f t="shared" si="6"/>
        <v>378.26933496719846</v>
      </c>
      <c r="E111" s="755">
        <f t="shared" si="7"/>
        <v>394.36746347649478</v>
      </c>
      <c r="F111" s="755">
        <f t="shared" si="8"/>
        <v>772.63679844369324</v>
      </c>
      <c r="G111" s="731"/>
    </row>
    <row r="112" spans="1:7">
      <c r="A112" s="731"/>
      <c r="B112" s="978">
        <v>8</v>
      </c>
      <c r="C112" s="760">
        <f t="shared" si="5"/>
        <v>29242.630984702522</v>
      </c>
      <c r="D112" s="760">
        <f t="shared" si="6"/>
        <v>383.30554644396079</v>
      </c>
      <c r="E112" s="755">
        <f t="shared" si="7"/>
        <v>389.33125199973244</v>
      </c>
      <c r="F112" s="755">
        <f t="shared" si="8"/>
        <v>772.63679844369324</v>
      </c>
      <c r="G112" s="731"/>
    </row>
    <row r="113" spans="1:7">
      <c r="A113" s="731"/>
      <c r="B113" s="978">
        <v>9</v>
      </c>
      <c r="C113" s="760">
        <f t="shared" si="5"/>
        <v>28859.325438258562</v>
      </c>
      <c r="D113" s="760">
        <f t="shared" si="6"/>
        <v>388.40880915563457</v>
      </c>
      <c r="E113" s="755">
        <f t="shared" si="7"/>
        <v>384.22798928805867</v>
      </c>
      <c r="F113" s="755">
        <f t="shared" si="8"/>
        <v>772.63679844369324</v>
      </c>
      <c r="G113" s="731"/>
    </row>
    <row r="114" spans="1:7">
      <c r="A114" s="731"/>
      <c r="B114" s="978">
        <v>10</v>
      </c>
      <c r="C114" s="760">
        <f t="shared" si="5"/>
        <v>28470.916629102929</v>
      </c>
      <c r="D114" s="760">
        <f t="shared" si="6"/>
        <v>393.58001581058278</v>
      </c>
      <c r="E114" s="755">
        <f t="shared" si="7"/>
        <v>379.05678263311046</v>
      </c>
      <c r="F114" s="755">
        <f t="shared" si="8"/>
        <v>772.63679844369324</v>
      </c>
      <c r="G114" s="731"/>
    </row>
    <row r="115" spans="1:7">
      <c r="A115" s="731"/>
      <c r="B115" s="978">
        <v>11</v>
      </c>
      <c r="C115" s="760">
        <f t="shared" si="5"/>
        <v>28077.336613292347</v>
      </c>
      <c r="D115" s="760">
        <f t="shared" si="6"/>
        <v>398.82007100253071</v>
      </c>
      <c r="E115" s="755">
        <f t="shared" si="7"/>
        <v>373.81672744116253</v>
      </c>
      <c r="F115" s="755">
        <f t="shared" si="8"/>
        <v>772.63679844369324</v>
      </c>
      <c r="G115" s="731"/>
    </row>
    <row r="116" spans="1:7">
      <c r="A116" s="731"/>
      <c r="B116" s="978">
        <v>12</v>
      </c>
      <c r="C116" s="760">
        <f t="shared" si="5"/>
        <v>27678.516542289817</v>
      </c>
      <c r="D116" s="760">
        <f t="shared" si="6"/>
        <v>404.12989136880566</v>
      </c>
      <c r="E116" s="755">
        <f t="shared" si="7"/>
        <v>368.50690707488758</v>
      </c>
      <c r="F116" s="755">
        <f t="shared" si="8"/>
        <v>772.63679844369324</v>
      </c>
      <c r="G116" s="731"/>
    </row>
    <row r="117" spans="1:7">
      <c r="A117" s="731"/>
      <c r="B117" s="978">
        <v>13</v>
      </c>
      <c r="C117" s="760">
        <f t="shared" si="5"/>
        <v>27274.386650921013</v>
      </c>
      <c r="D117" s="760">
        <f t="shared" si="6"/>
        <v>409.51040575068333</v>
      </c>
      <c r="E117" s="755">
        <f t="shared" si="7"/>
        <v>363.1263926930099</v>
      </c>
      <c r="F117" s="755">
        <f t="shared" si="8"/>
        <v>772.63679844369324</v>
      </c>
      <c r="G117" s="731"/>
    </row>
    <row r="118" spans="1:7">
      <c r="A118" s="731"/>
      <c r="B118" s="978">
        <v>14</v>
      </c>
      <c r="C118" s="760">
        <f t="shared" si="5"/>
        <v>26864.87624517033</v>
      </c>
      <c r="D118" s="760">
        <f t="shared" si="6"/>
        <v>414.96255535586886</v>
      </c>
      <c r="E118" s="755">
        <f t="shared" si="7"/>
        <v>357.67424308782438</v>
      </c>
      <c r="F118" s="755">
        <f t="shared" si="8"/>
        <v>772.63679844369324</v>
      </c>
      <c r="G118" s="731"/>
    </row>
    <row r="119" spans="1:7">
      <c r="A119" s="731"/>
      <c r="B119" s="978">
        <v>15</v>
      </c>
      <c r="C119" s="760">
        <f t="shared" si="5"/>
        <v>26449.913689814461</v>
      </c>
      <c r="D119" s="760">
        <f t="shared" si="6"/>
        <v>420.48729392314152</v>
      </c>
      <c r="E119" s="755">
        <f t="shared" si="7"/>
        <v>352.14950452055172</v>
      </c>
      <c r="F119" s="755">
        <f t="shared" si="8"/>
        <v>772.63679844369324</v>
      </c>
      <c r="G119" s="731"/>
    </row>
    <row r="120" spans="1:7">
      <c r="A120" s="731"/>
      <c r="B120" s="978">
        <v>16</v>
      </c>
      <c r="C120" s="760">
        <f t="shared" si="5"/>
        <v>26029.426395891318</v>
      </c>
      <c r="D120" s="760">
        <f t="shared" si="6"/>
        <v>426.08558788919117</v>
      </c>
      <c r="E120" s="755">
        <f t="shared" si="7"/>
        <v>346.55121055450206</v>
      </c>
      <c r="F120" s="755">
        <f t="shared" si="8"/>
        <v>772.63679844369324</v>
      </c>
      <c r="G120" s="731"/>
    </row>
    <row r="121" spans="1:7">
      <c r="A121" s="731"/>
      <c r="B121" s="978">
        <v>17</v>
      </c>
      <c r="C121" s="760">
        <f t="shared" si="5"/>
        <v>25603.340808002125</v>
      </c>
      <c r="D121" s="760">
        <f t="shared" si="6"/>
        <v>431.7584165576759</v>
      </c>
      <c r="E121" s="755">
        <f t="shared" si="7"/>
        <v>340.87838188601734</v>
      </c>
      <c r="F121" s="755">
        <f t="shared" si="8"/>
        <v>772.63679844369324</v>
      </c>
      <c r="G121" s="731"/>
    </row>
    <row r="122" spans="1:7">
      <c r="A122" s="731"/>
      <c r="B122" s="978">
        <v>18</v>
      </c>
      <c r="C122" s="760">
        <f t="shared" si="5"/>
        <v>25171.582391444448</v>
      </c>
      <c r="D122" s="760">
        <f t="shared" si="6"/>
        <v>437.5067722705308</v>
      </c>
      <c r="E122" s="755">
        <f t="shared" si="7"/>
        <v>335.13002617316243</v>
      </c>
      <c r="F122" s="755">
        <f t="shared" si="8"/>
        <v>772.63679844369324</v>
      </c>
      <c r="G122" s="731"/>
    </row>
    <row r="123" spans="1:7">
      <c r="A123" s="731"/>
      <c r="B123" s="978">
        <v>19</v>
      </c>
      <c r="C123" s="760">
        <f t="shared" si="5"/>
        <v>24734.075619173916</v>
      </c>
      <c r="D123" s="760">
        <f t="shared" si="6"/>
        <v>443.33166058155706</v>
      </c>
      <c r="E123" s="755">
        <f t="shared" si="7"/>
        <v>329.30513786213618</v>
      </c>
      <c r="F123" s="755">
        <f t="shared" si="8"/>
        <v>772.63679844369324</v>
      </c>
      <c r="G123" s="731"/>
    </row>
    <row r="124" spans="1:7">
      <c r="A124" s="731"/>
      <c r="B124" s="978">
        <v>20</v>
      </c>
      <c r="C124" s="760">
        <f t="shared" si="5"/>
        <v>24290.74395859236</v>
      </c>
      <c r="D124" s="760">
        <f t="shared" si="6"/>
        <v>449.23410043232258</v>
      </c>
      <c r="E124" s="755">
        <f t="shared" si="7"/>
        <v>323.40269801137066</v>
      </c>
      <c r="F124" s="755">
        <f t="shared" si="8"/>
        <v>772.63679844369324</v>
      </c>
      <c r="G124" s="731"/>
    </row>
    <row r="125" spans="1:7">
      <c r="A125" s="731"/>
      <c r="B125" s="978">
        <v>21</v>
      </c>
      <c r="C125" s="760">
        <f t="shared" si="5"/>
        <v>23841.509858160036</v>
      </c>
      <c r="D125" s="760">
        <f t="shared" si="6"/>
        <v>455.21512433040425</v>
      </c>
      <c r="E125" s="755">
        <f t="shared" si="7"/>
        <v>317.42167411328899</v>
      </c>
      <c r="F125" s="755">
        <f t="shared" si="8"/>
        <v>772.63679844369324</v>
      </c>
      <c r="G125" s="731"/>
    </row>
    <row r="126" spans="1:7">
      <c r="A126" s="731"/>
      <c r="B126" s="978">
        <v>22</v>
      </c>
      <c r="C126" s="760">
        <f t="shared" si="5"/>
        <v>23386.294733829633</v>
      </c>
      <c r="D126" s="760">
        <f t="shared" si="6"/>
        <v>461.27577853000355</v>
      </c>
      <c r="E126" s="755">
        <f t="shared" si="7"/>
        <v>311.36101991368969</v>
      </c>
      <c r="F126" s="755">
        <f t="shared" si="8"/>
        <v>772.63679844369324</v>
      </c>
      <c r="G126" s="731"/>
    </row>
    <row r="127" spans="1:7">
      <c r="A127" s="731"/>
      <c r="B127" s="978">
        <v>23</v>
      </c>
      <c r="C127" s="760">
        <f t="shared" si="5"/>
        <v>22925.018955299631</v>
      </c>
      <c r="D127" s="760">
        <f t="shared" si="6"/>
        <v>467.41712321496658</v>
      </c>
      <c r="E127" s="755">
        <f t="shared" si="7"/>
        <v>305.21967522872666</v>
      </c>
      <c r="F127" s="755">
        <f t="shared" si="8"/>
        <v>772.63679844369324</v>
      </c>
      <c r="G127" s="731"/>
    </row>
    <row r="128" spans="1:7">
      <c r="A128" s="731"/>
      <c r="B128" s="978">
        <v>24</v>
      </c>
      <c r="C128" s="760">
        <f t="shared" si="5"/>
        <v>22457.601832084663</v>
      </c>
      <c r="D128" s="760">
        <f t="shared" si="6"/>
        <v>473.64023268424086</v>
      </c>
      <c r="E128" s="755">
        <f t="shared" si="7"/>
        <v>298.99656575945238</v>
      </c>
      <c r="F128" s="755">
        <f t="shared" si="8"/>
        <v>772.63679844369324</v>
      </c>
      <c r="G128" s="731"/>
    </row>
    <row r="129" spans="1:7">
      <c r="A129" s="731"/>
      <c r="B129" s="978">
        <v>25</v>
      </c>
      <c r="C129" s="760">
        <f t="shared" si="5"/>
        <v>21983.961599400423</v>
      </c>
      <c r="D129" s="760">
        <f t="shared" si="6"/>
        <v>479.94619553980147</v>
      </c>
      <c r="E129" s="755">
        <f t="shared" si="7"/>
        <v>292.69060290389177</v>
      </c>
      <c r="F129" s="755">
        <f t="shared" si="8"/>
        <v>772.63679844369324</v>
      </c>
      <c r="G129" s="731"/>
    </row>
    <row r="130" spans="1:7">
      <c r="A130" s="731"/>
      <c r="B130" s="978">
        <v>26</v>
      </c>
      <c r="C130" s="760">
        <f t="shared" si="5"/>
        <v>21504.015403860623</v>
      </c>
      <c r="D130" s="760">
        <f t="shared" si="6"/>
        <v>486.3361148770789</v>
      </c>
      <c r="E130" s="755">
        <f t="shared" si="7"/>
        <v>286.30068356661434</v>
      </c>
      <c r="F130" s="755">
        <f t="shared" si="8"/>
        <v>772.63679844369324</v>
      </c>
      <c r="G130" s="731"/>
    </row>
    <row r="131" spans="1:7">
      <c r="A131" s="731"/>
      <c r="B131" s="978">
        <v>27</v>
      </c>
      <c r="C131" s="760">
        <f t="shared" si="5"/>
        <v>21017.679288983545</v>
      </c>
      <c r="D131" s="760">
        <f t="shared" si="6"/>
        <v>492.81110847792246</v>
      </c>
      <c r="E131" s="755">
        <f t="shared" si="7"/>
        <v>279.82568996577078</v>
      </c>
      <c r="F131" s="755">
        <f t="shared" si="8"/>
        <v>772.63679844369324</v>
      </c>
      <c r="G131" s="731"/>
    </row>
    <row r="132" spans="1:7">
      <c r="A132" s="731"/>
      <c r="B132" s="978">
        <v>28</v>
      </c>
      <c r="C132" s="760">
        <f t="shared" si="5"/>
        <v>20524.868180505622</v>
      </c>
      <c r="D132" s="760">
        <f t="shared" si="6"/>
        <v>499.37230900613264</v>
      </c>
      <c r="E132" s="755">
        <f t="shared" si="7"/>
        <v>273.2644894375606</v>
      </c>
      <c r="F132" s="755">
        <f t="shared" si="8"/>
        <v>772.63679844369324</v>
      </c>
      <c r="G132" s="731"/>
    </row>
    <row r="133" spans="1:7">
      <c r="A133" s="731"/>
      <c r="B133" s="978">
        <v>29</v>
      </c>
      <c r="C133" s="760">
        <f t="shared" si="5"/>
        <v>20025.49587149949</v>
      </c>
      <c r="D133" s="760">
        <f t="shared" si="6"/>
        <v>506.02086420559675</v>
      </c>
      <c r="E133" s="755">
        <f t="shared" si="7"/>
        <v>266.61593423809649</v>
      </c>
      <c r="F133" s="755">
        <f t="shared" si="8"/>
        <v>772.63679844369324</v>
      </c>
      <c r="G133" s="731"/>
    </row>
    <row r="134" spans="1:7">
      <c r="A134" s="731"/>
      <c r="B134" s="978">
        <v>30</v>
      </c>
      <c r="C134" s="760">
        <f t="shared" si="5"/>
        <v>19519.475007293895</v>
      </c>
      <c r="D134" s="760">
        <f t="shared" si="6"/>
        <v>512.75793710106268</v>
      </c>
      <c r="E134" s="755">
        <f t="shared" si="7"/>
        <v>259.87886134263056</v>
      </c>
      <c r="F134" s="755">
        <f t="shared" si="8"/>
        <v>772.63679844369324</v>
      </c>
      <c r="G134" s="731"/>
    </row>
    <row r="135" spans="1:7">
      <c r="A135" s="731"/>
      <c r="B135" s="978">
        <v>31</v>
      </c>
      <c r="C135" s="760">
        <f t="shared" si="5"/>
        <v>19006.717070192833</v>
      </c>
      <c r="D135" s="760">
        <f t="shared" si="6"/>
        <v>519.58470620158539</v>
      </c>
      <c r="E135" s="755">
        <f t="shared" si="7"/>
        <v>253.05209224210782</v>
      </c>
      <c r="F135" s="755">
        <f t="shared" si="8"/>
        <v>772.63679844369324</v>
      </c>
      <c r="G135" s="731"/>
    </row>
    <row r="136" spans="1:7">
      <c r="A136" s="731"/>
      <c r="B136" s="978">
        <v>32</v>
      </c>
      <c r="C136" s="760">
        <f t="shared" si="5"/>
        <v>18487.132363991248</v>
      </c>
      <c r="D136" s="760">
        <f t="shared" si="6"/>
        <v>526.50236570668267</v>
      </c>
      <c r="E136" s="755">
        <f t="shared" si="7"/>
        <v>246.13443273701063</v>
      </c>
      <c r="F136" s="755">
        <f t="shared" si="8"/>
        <v>772.63679844369324</v>
      </c>
      <c r="G136" s="731"/>
    </row>
    <row r="137" spans="1:7">
      <c r="A137" s="731"/>
      <c r="B137" s="978">
        <v>33</v>
      </c>
      <c r="C137" s="760">
        <f t="shared" si="5"/>
        <v>17960.629998284567</v>
      </c>
      <c r="D137" s="760">
        <f t="shared" si="6"/>
        <v>533.51212571523433</v>
      </c>
      <c r="E137" s="755">
        <f t="shared" si="7"/>
        <v>239.1246727284589</v>
      </c>
      <c r="F137" s="755">
        <f t="shared" si="8"/>
        <v>772.63679844369324</v>
      </c>
      <c r="G137" s="731"/>
    </row>
    <row r="138" spans="1:7">
      <c r="A138" s="731"/>
      <c r="B138" s="978">
        <v>34</v>
      </c>
      <c r="C138" s="760">
        <f t="shared" si="5"/>
        <v>17427.117872569332</v>
      </c>
      <c r="D138" s="760">
        <f t="shared" si="6"/>
        <v>540.6152124371647</v>
      </c>
      <c r="E138" s="755">
        <f t="shared" si="7"/>
        <v>232.02158600652851</v>
      </c>
      <c r="F138" s="755">
        <f t="shared" si="8"/>
        <v>772.63679844369324</v>
      </c>
      <c r="G138" s="731"/>
    </row>
    <row r="139" spans="1:7">
      <c r="A139" s="731"/>
      <c r="B139" s="978">
        <v>35</v>
      </c>
      <c r="C139" s="760">
        <f t="shared" si="5"/>
        <v>16886.502660132166</v>
      </c>
      <c r="D139" s="760">
        <f t="shared" si="6"/>
        <v>547.81286840794144</v>
      </c>
      <c r="E139" s="755">
        <f t="shared" si="7"/>
        <v>224.82393003575183</v>
      </c>
      <c r="F139" s="755">
        <f t="shared" si="8"/>
        <v>772.63679844369324</v>
      </c>
      <c r="G139" s="731"/>
    </row>
    <row r="140" spans="1:7">
      <c r="A140" s="731"/>
      <c r="B140" s="978">
        <v>36</v>
      </c>
      <c r="C140" s="760">
        <f t="shared" si="5"/>
        <v>16338.689791724224</v>
      </c>
      <c r="D140" s="760">
        <f t="shared" si="6"/>
        <v>555.10635270593093</v>
      </c>
      <c r="E140" s="755">
        <f t="shared" si="7"/>
        <v>217.53044573776234</v>
      </c>
      <c r="F140" s="755">
        <f t="shared" si="8"/>
        <v>772.63679844369324</v>
      </c>
      <c r="G140" s="731"/>
    </row>
    <row r="141" spans="1:7">
      <c r="A141" s="731"/>
      <c r="B141" s="978">
        <v>37</v>
      </c>
      <c r="C141" s="760">
        <f t="shared" si="5"/>
        <v>15783.583439018294</v>
      </c>
      <c r="D141" s="760">
        <f t="shared" si="6"/>
        <v>562.49694117264789</v>
      </c>
      <c r="E141" s="755">
        <f t="shared" si="7"/>
        <v>210.13985727104532</v>
      </c>
      <c r="F141" s="755">
        <f t="shared" si="8"/>
        <v>772.63679844369324</v>
      </c>
      <c r="G141" s="731"/>
    </row>
    <row r="142" spans="1:7">
      <c r="A142" s="731"/>
      <c r="B142" s="978">
        <v>38</v>
      </c>
      <c r="C142" s="760">
        <f t="shared" si="5"/>
        <v>15221.086497845645</v>
      </c>
      <c r="D142" s="760">
        <f t="shared" si="6"/>
        <v>569.98592663593718</v>
      </c>
      <c r="E142" s="755">
        <f t="shared" si="7"/>
        <v>202.65087180775612</v>
      </c>
      <c r="F142" s="755">
        <f t="shared" si="8"/>
        <v>772.63679844369324</v>
      </c>
      <c r="G142" s="731"/>
    </row>
    <row r="143" spans="1:7">
      <c r="A143" s="731"/>
      <c r="B143" s="978">
        <v>39</v>
      </c>
      <c r="C143" s="760">
        <f t="shared" si="5"/>
        <v>14651.100571209707</v>
      </c>
      <c r="D143" s="760">
        <f t="shared" si="6"/>
        <v>577.57461913612588</v>
      </c>
      <c r="E143" s="755">
        <f t="shared" si="7"/>
        <v>195.06217930756742</v>
      </c>
      <c r="F143" s="755">
        <f t="shared" si="8"/>
        <v>772.63679844369324</v>
      </c>
      <c r="G143" s="731"/>
    </row>
    <row r="144" spans="1:7">
      <c r="A144" s="731"/>
      <c r="B144" s="978">
        <v>40</v>
      </c>
      <c r="C144" s="760">
        <f t="shared" si="5"/>
        <v>14073.525952073582</v>
      </c>
      <c r="D144" s="760">
        <f t="shared" si="6"/>
        <v>585.26434615518815</v>
      </c>
      <c r="E144" s="755">
        <f t="shared" si="7"/>
        <v>187.37245228850509</v>
      </c>
      <c r="F144" s="755">
        <f t="shared" si="8"/>
        <v>772.63679844369324</v>
      </c>
      <c r="G144" s="731"/>
    </row>
    <row r="145" spans="1:7">
      <c r="A145" s="731"/>
      <c r="B145" s="978">
        <v>41</v>
      </c>
      <c r="C145" s="760">
        <f t="shared" si="5"/>
        <v>13488.261605918393</v>
      </c>
      <c r="D145" s="760">
        <f t="shared" si="6"/>
        <v>593.05645284896013</v>
      </c>
      <c r="E145" s="755">
        <f t="shared" si="7"/>
        <v>179.5803455947331</v>
      </c>
      <c r="F145" s="755">
        <f t="shared" si="8"/>
        <v>772.63679844369324</v>
      </c>
      <c r="G145" s="731"/>
    </row>
    <row r="146" spans="1:7">
      <c r="A146" s="731"/>
      <c r="B146" s="978">
        <v>42</v>
      </c>
      <c r="C146" s="760">
        <f t="shared" si="5"/>
        <v>12895.205153069433</v>
      </c>
      <c r="D146" s="760">
        <f t="shared" si="6"/>
        <v>600.95230228244623</v>
      </c>
      <c r="E146" s="755">
        <f t="shared" si="7"/>
        <v>171.68449616124704</v>
      </c>
      <c r="F146" s="755">
        <f t="shared" si="8"/>
        <v>772.63679844369324</v>
      </c>
      <c r="G146" s="731"/>
    </row>
    <row r="147" spans="1:7">
      <c r="A147" s="731"/>
      <c r="B147" s="978">
        <v>43</v>
      </c>
      <c r="C147" s="760">
        <f t="shared" si="5"/>
        <v>12294.252850786987</v>
      </c>
      <c r="D147" s="760">
        <f t="shared" si="6"/>
        <v>608.95327566825893</v>
      </c>
      <c r="E147" s="755">
        <f t="shared" si="7"/>
        <v>163.68352277543434</v>
      </c>
      <c r="F147" s="755">
        <f t="shared" si="8"/>
        <v>772.63679844369324</v>
      </c>
      <c r="G147" s="731"/>
    </row>
    <row r="148" spans="1:7">
      <c r="A148" s="731"/>
      <c r="B148" s="978">
        <v>44</v>
      </c>
      <c r="C148" s="760">
        <f t="shared" si="5"/>
        <v>11685.299575118728</v>
      </c>
      <c r="D148" s="760">
        <f t="shared" si="6"/>
        <v>617.06077260823281</v>
      </c>
      <c r="E148" s="755">
        <f t="shared" si="7"/>
        <v>155.57602583546046</v>
      </c>
      <c r="F148" s="755">
        <f t="shared" si="8"/>
        <v>772.63679844369324</v>
      </c>
      <c r="G148" s="731"/>
    </row>
    <row r="149" spans="1:7">
      <c r="A149" s="731"/>
      <c r="B149" s="978">
        <v>45</v>
      </c>
      <c r="C149" s="760">
        <f t="shared" si="5"/>
        <v>11068.238802510496</v>
      </c>
      <c r="D149" s="760">
        <f t="shared" si="6"/>
        <v>625.27621133825539</v>
      </c>
      <c r="E149" s="755">
        <f t="shared" si="7"/>
        <v>147.36058710543782</v>
      </c>
      <c r="F149" s="755">
        <f t="shared" si="8"/>
        <v>772.63679844369324</v>
      </c>
      <c r="G149" s="731"/>
    </row>
    <row r="150" spans="1:7">
      <c r="A150" s="731"/>
      <c r="B150" s="978">
        <v>46</v>
      </c>
      <c r="C150" s="760">
        <f t="shared" si="5"/>
        <v>10442.96259117224</v>
      </c>
      <c r="D150" s="760">
        <f t="shared" si="6"/>
        <v>633.60102897635784</v>
      </c>
      <c r="E150" s="755">
        <f t="shared" si="7"/>
        <v>139.03576946733537</v>
      </c>
      <c r="F150" s="755">
        <f t="shared" si="8"/>
        <v>772.63679844369324</v>
      </c>
      <c r="G150" s="731"/>
    </row>
    <row r="151" spans="1:7">
      <c r="A151" s="731"/>
      <c r="B151" s="978">
        <v>47</v>
      </c>
      <c r="C151" s="760">
        <f t="shared" si="5"/>
        <v>9809.3615621958816</v>
      </c>
      <c r="D151" s="760">
        <f t="shared" si="6"/>
        <v>642.03668177410816</v>
      </c>
      <c r="E151" s="755">
        <f t="shared" si="7"/>
        <v>130.60011666958511</v>
      </c>
      <c r="F151" s="755">
        <f t="shared" si="8"/>
        <v>772.63679844369324</v>
      </c>
      <c r="G151" s="731"/>
    </row>
    <row r="152" spans="1:7">
      <c r="A152" s="731"/>
      <c r="B152" s="978">
        <v>48</v>
      </c>
      <c r="C152" s="760">
        <f t="shared" si="5"/>
        <v>9167.3248804217728</v>
      </c>
      <c r="D152" s="760">
        <f t="shared" si="6"/>
        <v>650.58464537135183</v>
      </c>
      <c r="E152" s="755">
        <f t="shared" si="7"/>
        <v>122.05215307234143</v>
      </c>
      <c r="F152" s="755">
        <f t="shared" si="8"/>
        <v>772.63679844369324</v>
      </c>
      <c r="G152" s="731"/>
    </row>
    <row r="153" spans="1:7">
      <c r="A153" s="731"/>
      <c r="B153" s="978">
        <v>49</v>
      </c>
      <c r="C153" s="760">
        <f t="shared" si="5"/>
        <v>8516.7402350504217</v>
      </c>
      <c r="D153" s="760">
        <f t="shared" si="6"/>
        <v>659.2464150543442</v>
      </c>
      <c r="E153" s="755">
        <f t="shared" si="7"/>
        <v>113.39038338934904</v>
      </c>
      <c r="F153" s="755">
        <f t="shared" si="8"/>
        <v>772.63679844369324</v>
      </c>
      <c r="G153" s="731"/>
    </row>
    <row r="154" spans="1:7">
      <c r="A154" s="731"/>
      <c r="B154" s="978">
        <v>50</v>
      </c>
      <c r="C154" s="760">
        <f t="shared" si="5"/>
        <v>7857.4938199960779</v>
      </c>
      <c r="D154" s="760">
        <f t="shared" si="6"/>
        <v>668.02350601731916</v>
      </c>
      <c r="E154" s="755">
        <f t="shared" si="7"/>
        <v>104.61329242637412</v>
      </c>
      <c r="F154" s="755">
        <f t="shared" si="8"/>
        <v>772.63679844369324</v>
      </c>
      <c r="G154" s="731"/>
    </row>
    <row r="155" spans="1:7">
      <c r="A155" s="731"/>
      <c r="B155" s="978">
        <v>51</v>
      </c>
      <c r="C155" s="760">
        <f t="shared" si="5"/>
        <v>7189.4703139787589</v>
      </c>
      <c r="D155" s="760">
        <f t="shared" si="6"/>
        <v>676.91745362754023</v>
      </c>
      <c r="E155" s="755">
        <f t="shared" si="7"/>
        <v>95.719344816152969</v>
      </c>
      <c r="F155" s="755">
        <f t="shared" si="8"/>
        <v>772.63679844369324</v>
      </c>
      <c r="G155" s="731"/>
    </row>
    <row r="156" spans="1:7">
      <c r="A156" s="731"/>
      <c r="B156" s="978">
        <v>52</v>
      </c>
      <c r="C156" s="760">
        <f t="shared" si="5"/>
        <v>6512.5528603512184</v>
      </c>
      <c r="D156" s="760">
        <f t="shared" si="6"/>
        <v>685.92981369388133</v>
      </c>
      <c r="E156" s="755">
        <f t="shared" si="7"/>
        <v>86.706984749811909</v>
      </c>
      <c r="F156" s="755">
        <f t="shared" si="8"/>
        <v>772.63679844369324</v>
      </c>
      <c r="G156" s="731"/>
    </row>
    <row r="157" spans="1:7">
      <c r="A157" s="731"/>
      <c r="B157" s="978">
        <v>53</v>
      </c>
      <c r="C157" s="760">
        <f t="shared" si="5"/>
        <v>5826.623046657337</v>
      </c>
      <c r="D157" s="760">
        <f t="shared" si="6"/>
        <v>695.06216273898212</v>
      </c>
      <c r="E157" s="755">
        <f t="shared" si="7"/>
        <v>77.574635704711142</v>
      </c>
      <c r="F157" s="755">
        <f t="shared" si="8"/>
        <v>772.63679844369324</v>
      </c>
      <c r="G157" s="731"/>
    </row>
    <row r="158" spans="1:7">
      <c r="A158" s="731"/>
      <c r="B158" s="978">
        <v>54</v>
      </c>
      <c r="C158" s="760">
        <f t="shared" si="5"/>
        <v>5131.5608839183551</v>
      </c>
      <c r="D158" s="760">
        <f t="shared" si="6"/>
        <v>704.3160982750278</v>
      </c>
      <c r="E158" s="755">
        <f t="shared" si="7"/>
        <v>68.320700168665439</v>
      </c>
      <c r="F158" s="755">
        <f t="shared" si="8"/>
        <v>772.63679844369324</v>
      </c>
      <c r="G158" s="731"/>
    </row>
    <row r="159" spans="1:7">
      <c r="A159" s="731"/>
      <c r="B159" s="978">
        <v>55</v>
      </c>
      <c r="C159" s="760">
        <f t="shared" si="5"/>
        <v>4427.2447856433273</v>
      </c>
      <c r="D159" s="760">
        <f t="shared" si="6"/>
        <v>713.6932390832003</v>
      </c>
      <c r="E159" s="755">
        <f t="shared" si="7"/>
        <v>58.943559360492955</v>
      </c>
      <c r="F159" s="755">
        <f t="shared" si="8"/>
        <v>772.63679844369324</v>
      </c>
      <c r="G159" s="731"/>
    </row>
    <row r="160" spans="1:7">
      <c r="A160" s="731"/>
      <c r="B160" s="978">
        <v>56</v>
      </c>
      <c r="C160" s="760">
        <f t="shared" si="5"/>
        <v>3713.551546560127</v>
      </c>
      <c r="D160" s="760">
        <f t="shared" si="6"/>
        <v>723.19522549684973</v>
      </c>
      <c r="E160" s="755">
        <f t="shared" si="7"/>
        <v>49.441572946843543</v>
      </c>
      <c r="F160" s="755">
        <f t="shared" si="8"/>
        <v>772.63679844369324</v>
      </c>
      <c r="G160" s="731"/>
    </row>
    <row r="161" spans="1:8">
      <c r="A161" s="731"/>
      <c r="B161" s="978">
        <v>57</v>
      </c>
      <c r="C161" s="760">
        <f t="shared" si="5"/>
        <v>2990.3563210632774</v>
      </c>
      <c r="D161" s="760">
        <f t="shared" si="6"/>
        <v>732.8237196884362</v>
      </c>
      <c r="E161" s="755">
        <f t="shared" si="7"/>
        <v>39.813078755256988</v>
      </c>
      <c r="F161" s="755">
        <f t="shared" si="8"/>
        <v>772.63679844369324</v>
      </c>
      <c r="G161" s="731"/>
    </row>
    <row r="162" spans="1:8">
      <c r="A162" s="731"/>
      <c r="B162" s="978">
        <v>58</v>
      </c>
      <c r="C162" s="760">
        <f t="shared" si="5"/>
        <v>2257.5326013748413</v>
      </c>
      <c r="D162" s="760">
        <f t="shared" si="6"/>
        <v>742.5804059602923</v>
      </c>
      <c r="E162" s="755">
        <f t="shared" si="7"/>
        <v>30.056392483400924</v>
      </c>
      <c r="F162" s="755">
        <f t="shared" si="8"/>
        <v>772.63679844369324</v>
      </c>
      <c r="G162" s="731"/>
    </row>
    <row r="163" spans="1:8">
      <c r="A163" s="731"/>
      <c r="B163" s="978">
        <v>59</v>
      </c>
      <c r="C163" s="760">
        <f t="shared" si="5"/>
        <v>1514.9521954145489</v>
      </c>
      <c r="D163" s="760">
        <f t="shared" si="6"/>
        <v>752.46699103925562</v>
      </c>
      <c r="E163" s="755">
        <f t="shared" si="7"/>
        <v>20.169807404437613</v>
      </c>
      <c r="F163" s="755">
        <f t="shared" si="8"/>
        <v>772.63679844369324</v>
      </c>
      <c r="G163" s="731"/>
    </row>
    <row r="164" spans="1:8" ht="26.25">
      <c r="A164" s="761"/>
      <c r="B164" s="972">
        <v>60</v>
      </c>
      <c r="C164" s="762">
        <f t="shared" si="5"/>
        <v>762.48520437529328</v>
      </c>
      <c r="D164" s="762">
        <f t="shared" si="6"/>
        <v>762.48520437522518</v>
      </c>
      <c r="E164" s="763">
        <f t="shared" si="7"/>
        <v>10.151594068468004</v>
      </c>
      <c r="F164" s="763">
        <f t="shared" si="8"/>
        <v>772.63679844369324</v>
      </c>
      <c r="G164" s="761"/>
    </row>
    <row r="165" spans="1:8">
      <c r="A165" s="761"/>
      <c r="B165" s="979"/>
      <c r="C165" s="764"/>
      <c r="D165" s="764"/>
      <c r="E165" s="764"/>
      <c r="F165" s="764"/>
      <c r="G165" s="761"/>
    </row>
    <row r="166" spans="1:8">
      <c r="A166" s="765"/>
      <c r="B166" s="766"/>
      <c r="C166" s="767"/>
      <c r="D166" s="767"/>
      <c r="E166" s="767"/>
      <c r="F166" s="767"/>
      <c r="G166" s="765"/>
      <c r="H166" s="768"/>
    </row>
    <row r="167" spans="1:8">
      <c r="A167" s="731"/>
      <c r="B167" s="731"/>
      <c r="C167" s="731"/>
      <c r="D167" s="731"/>
      <c r="E167" s="731"/>
      <c r="F167" s="731"/>
      <c r="G167" s="769"/>
    </row>
    <row r="168" spans="1:8" ht="30" customHeight="1">
      <c r="A168" s="731"/>
      <c r="B168" s="1281" t="s">
        <v>796</v>
      </c>
      <c r="C168" s="1282"/>
      <c r="D168" s="1282"/>
      <c r="E168" s="1282"/>
      <c r="F168" s="1282"/>
      <c r="G168" s="769"/>
    </row>
    <row r="170" spans="1:8">
      <c r="A170" s="761"/>
      <c r="B170" s="728"/>
      <c r="C170" s="728"/>
      <c r="D170" s="728"/>
      <c r="E170" s="728"/>
      <c r="F170" s="761"/>
      <c r="G170" s="769"/>
    </row>
    <row r="172" spans="1:8" ht="51" customHeight="1" thickBot="1">
      <c r="A172" s="739"/>
      <c r="B172" s="1283" t="s">
        <v>372</v>
      </c>
      <c r="C172" s="1284"/>
      <c r="D172" s="1284"/>
      <c r="E172" s="1284"/>
      <c r="F172" s="1284"/>
      <c r="G172" s="1285"/>
    </row>
    <row r="173" spans="1:8" ht="58.5" customHeight="1" thickBot="1">
      <c r="A173" s="770"/>
      <c r="B173" s="1260" t="s">
        <v>373</v>
      </c>
      <c r="C173" s="1261"/>
      <c r="D173" s="1261"/>
      <c r="E173" s="1261"/>
      <c r="F173" s="1261"/>
      <c r="G173" s="1262"/>
    </row>
    <row r="174" spans="1:8" ht="58.5" customHeight="1">
      <c r="A174" s="771">
        <v>1</v>
      </c>
      <c r="B174" s="1286" t="s">
        <v>374</v>
      </c>
      <c r="C174" s="1286"/>
      <c r="D174" s="1286"/>
      <c r="E174" s="1286"/>
      <c r="F174" s="1286"/>
      <c r="G174" s="772"/>
    </row>
    <row r="175" spans="1:8" ht="58.5" customHeight="1">
      <c r="A175" s="771">
        <v>2</v>
      </c>
      <c r="B175" s="1277" t="s">
        <v>375</v>
      </c>
      <c r="C175" s="1277"/>
      <c r="D175" s="1277"/>
      <c r="E175" s="1277"/>
      <c r="F175" s="1277"/>
      <c r="G175" s="772"/>
    </row>
    <row r="176" spans="1:8" ht="47.25" customHeight="1">
      <c r="A176" s="771">
        <v>3</v>
      </c>
      <c r="B176" s="1277" t="s">
        <v>376</v>
      </c>
      <c r="C176" s="1277"/>
      <c r="D176" s="1277"/>
      <c r="E176" s="1277"/>
      <c r="F176" s="1277"/>
      <c r="G176" s="772"/>
    </row>
    <row r="177" spans="1:12" ht="48.75" customHeight="1">
      <c r="A177" s="771">
        <v>4</v>
      </c>
      <c r="B177" s="1277" t="s">
        <v>377</v>
      </c>
      <c r="C177" s="1277"/>
      <c r="D177" s="1277"/>
      <c r="E177" s="1277"/>
      <c r="F177" s="1277"/>
      <c r="G177" s="772"/>
      <c r="L177" s="635">
        <f>159000/3</f>
        <v>53000</v>
      </c>
    </row>
    <row r="178" spans="1:12">
      <c r="A178" s="739"/>
      <c r="B178" s="739"/>
      <c r="C178" s="739"/>
      <c r="D178" s="739"/>
      <c r="E178" s="739"/>
      <c r="F178" s="770"/>
      <c r="G178" s="772"/>
      <c r="L178" s="635">
        <f>L177/12</f>
        <v>4416.666666666667</v>
      </c>
    </row>
    <row r="180" spans="1:12" ht="42.75" customHeight="1">
      <c r="A180" s="773">
        <v>1</v>
      </c>
      <c r="B180" s="1278" t="s">
        <v>378</v>
      </c>
      <c r="C180" s="1279"/>
      <c r="D180" s="1279"/>
      <c r="E180" s="1279"/>
      <c r="F180" s="1279"/>
      <c r="G180" s="1279"/>
    </row>
    <row r="182" spans="1:12" ht="74.25" customHeight="1">
      <c r="B182" s="1165" t="s">
        <v>797</v>
      </c>
      <c r="C182" s="1165"/>
      <c r="D182" s="1165"/>
      <c r="E182" s="1165"/>
      <c r="F182" s="774"/>
      <c r="G182" s="234">
        <v>645</v>
      </c>
      <c r="H182" s="957" t="s">
        <v>379</v>
      </c>
    </row>
    <row r="183" spans="1:12" ht="50.25" customHeight="1">
      <c r="B183" s="1165" t="s">
        <v>798</v>
      </c>
      <c r="C183" s="1165"/>
      <c r="D183" s="1165"/>
      <c r="E183" s="1165"/>
      <c r="F183" s="774"/>
      <c r="G183" s="234">
        <v>77</v>
      </c>
      <c r="H183" s="957" t="s">
        <v>380</v>
      </c>
    </row>
    <row r="184" spans="1:12" ht="30" customHeight="1">
      <c r="B184" s="1280"/>
      <c r="C184" s="1280"/>
      <c r="D184" s="1280"/>
      <c r="E184" s="1280"/>
      <c r="F184" s="634"/>
      <c r="G184" s="775"/>
      <c r="H184" s="634"/>
    </row>
    <row r="185" spans="1:12" ht="85.5" customHeight="1">
      <c r="A185" s="193"/>
      <c r="B185" s="213" t="s">
        <v>144</v>
      </c>
      <c r="C185" s="943" t="s">
        <v>145</v>
      </c>
      <c r="D185" s="943" t="s">
        <v>146</v>
      </c>
      <c r="E185" s="943" t="s">
        <v>147</v>
      </c>
      <c r="F185" s="943" t="s">
        <v>148</v>
      </c>
      <c r="G185" s="775"/>
      <c r="H185" s="634"/>
      <c r="I185" s="634"/>
    </row>
    <row r="186" spans="1:12" ht="48.75" customHeight="1">
      <c r="A186" s="955" t="s">
        <v>381</v>
      </c>
      <c r="B186" s="238">
        <v>645</v>
      </c>
      <c r="C186" s="239">
        <v>0.96</v>
      </c>
      <c r="D186" s="240">
        <v>56</v>
      </c>
      <c r="E186" s="241">
        <v>12</v>
      </c>
      <c r="F186" s="240">
        <f>D186*E186</f>
        <v>672</v>
      </c>
      <c r="G186" s="775"/>
      <c r="H186" s="634"/>
      <c r="I186" s="634"/>
    </row>
    <row r="187" spans="1:12" ht="30" customHeight="1">
      <c r="A187" s="955" t="s">
        <v>382</v>
      </c>
      <c r="B187" s="238">
        <v>77</v>
      </c>
      <c r="C187" s="239">
        <v>0.43</v>
      </c>
      <c r="D187" s="240">
        <v>15</v>
      </c>
      <c r="E187" s="241">
        <v>12</v>
      </c>
      <c r="F187" s="240">
        <f>+D187*E187</f>
        <v>180</v>
      </c>
      <c r="G187" s="775"/>
      <c r="H187" s="634"/>
      <c r="I187" s="634"/>
    </row>
    <row r="189" spans="1:12">
      <c r="A189" s="192"/>
      <c r="B189" s="243"/>
      <c r="C189" s="243" t="s">
        <v>383</v>
      </c>
      <c r="D189" s="956" t="s">
        <v>384</v>
      </c>
      <c r="E189" s="956" t="s">
        <v>385</v>
      </c>
      <c r="F189" s="1120" t="s">
        <v>386</v>
      </c>
      <c r="G189" s="1120"/>
      <c r="H189" s="192"/>
      <c r="I189" s="192"/>
    </row>
    <row r="190" spans="1:12" ht="23.25">
      <c r="A190" s="245">
        <v>0.33800000000000002</v>
      </c>
      <c r="B190" s="243" t="s">
        <v>391</v>
      </c>
      <c r="C190" s="246">
        <v>23.998000000000001</v>
      </c>
      <c r="D190" s="956" t="s">
        <v>388</v>
      </c>
      <c r="E190" s="956" t="s">
        <v>389</v>
      </c>
      <c r="F190" s="247">
        <v>2048.5</v>
      </c>
      <c r="G190" s="248">
        <v>2048.5</v>
      </c>
      <c r="H190" s="1238" t="s">
        <v>390</v>
      </c>
      <c r="I190" s="1238"/>
    </row>
    <row r="191" spans="1:12" ht="23.25">
      <c r="A191" s="245">
        <v>0.45069999999999999</v>
      </c>
      <c r="B191" s="243" t="s">
        <v>387</v>
      </c>
      <c r="C191" s="246">
        <v>31.999700000000001</v>
      </c>
      <c r="D191" s="956" t="s">
        <v>388</v>
      </c>
      <c r="E191" s="956" t="s">
        <v>389</v>
      </c>
      <c r="F191" s="249">
        <v>1311</v>
      </c>
      <c r="G191" s="250">
        <v>1311</v>
      </c>
      <c r="H191" s="939">
        <v>5</v>
      </c>
      <c r="I191" s="252">
        <v>3.84</v>
      </c>
    </row>
    <row r="192" spans="1:12" ht="23.25">
      <c r="A192" s="245">
        <v>0.21129999999999999</v>
      </c>
      <c r="B192" s="243" t="s">
        <v>392</v>
      </c>
      <c r="C192" s="246">
        <v>15.0023</v>
      </c>
      <c r="D192" s="956" t="s">
        <v>388</v>
      </c>
      <c r="E192" s="956" t="s">
        <v>389</v>
      </c>
      <c r="F192" s="253">
        <v>783.33333333333337</v>
      </c>
      <c r="G192" s="250">
        <v>783.33333333333337</v>
      </c>
      <c r="H192" s="939"/>
      <c r="I192" s="252"/>
    </row>
    <row r="193" spans="1:16" ht="28.5">
      <c r="A193" s="192"/>
      <c r="B193" s="939" t="s">
        <v>393</v>
      </c>
      <c r="C193" s="254">
        <f>SUM(C190:C192)</f>
        <v>71</v>
      </c>
      <c r="D193" s="255"/>
      <c r="E193" s="192"/>
      <c r="F193" s="256"/>
      <c r="G193" s="257"/>
      <c r="H193" s="939" t="s">
        <v>394</v>
      </c>
      <c r="I193" s="939" t="s">
        <v>395</v>
      </c>
    </row>
    <row r="194" spans="1:16" ht="57">
      <c r="B194" s="778" t="s">
        <v>396</v>
      </c>
    </row>
    <row r="195" spans="1:16" ht="31.5" customHeight="1">
      <c r="B195" s="1287" t="s">
        <v>397</v>
      </c>
      <c r="C195" s="1287"/>
      <c r="D195" s="1287"/>
      <c r="E195" s="1287"/>
      <c r="F195" s="1287"/>
      <c r="G195" s="772"/>
    </row>
    <row r="197" spans="1:16">
      <c r="C197" s="761"/>
    </row>
    <row r="198" spans="1:16" s="192" customFormat="1" ht="42" customHeight="1">
      <c r="A198" s="939" t="s">
        <v>398</v>
      </c>
      <c r="B198" s="1112" t="s">
        <v>399</v>
      </c>
      <c r="C198" s="1103"/>
      <c r="D198" s="943" t="s">
        <v>400</v>
      </c>
      <c r="E198" s="943" t="s">
        <v>401</v>
      </c>
      <c r="F198" s="943" t="s">
        <v>402</v>
      </c>
      <c r="G198" s="943" t="s">
        <v>403</v>
      </c>
      <c r="H198" s="943" t="s">
        <v>404</v>
      </c>
      <c r="I198" s="943" t="s">
        <v>405</v>
      </c>
      <c r="J198" s="943" t="s">
        <v>406</v>
      </c>
      <c r="K198" s="943" t="s">
        <v>407</v>
      </c>
      <c r="L198" s="943" t="s">
        <v>408</v>
      </c>
      <c r="M198" s="943" t="s">
        <v>409</v>
      </c>
      <c r="N198" s="943" t="s">
        <v>410</v>
      </c>
      <c r="O198" s="943" t="s">
        <v>411</v>
      </c>
      <c r="P198" s="943" t="s">
        <v>183</v>
      </c>
    </row>
    <row r="199" spans="1:16" s="192" customFormat="1" ht="23.25">
      <c r="A199" s="258">
        <f>F378</f>
        <v>17</v>
      </c>
      <c r="B199" s="945" t="str">
        <f>B190</f>
        <v>S. ONCOLÓGICO</v>
      </c>
      <c r="C199" s="946" t="s">
        <v>412</v>
      </c>
      <c r="D199" s="205">
        <f>C190</f>
        <v>23.998000000000001</v>
      </c>
      <c r="E199" s="205">
        <f>D199</f>
        <v>23.998000000000001</v>
      </c>
      <c r="F199" s="205">
        <f t="shared" ref="F199:O201" si="9">E199</f>
        <v>23.998000000000001</v>
      </c>
      <c r="G199" s="205">
        <f t="shared" si="9"/>
        <v>23.998000000000001</v>
      </c>
      <c r="H199" s="205">
        <f t="shared" si="9"/>
        <v>23.998000000000001</v>
      </c>
      <c r="I199" s="205">
        <f t="shared" si="9"/>
        <v>23.998000000000001</v>
      </c>
      <c r="J199" s="205">
        <f t="shared" si="9"/>
        <v>23.998000000000001</v>
      </c>
      <c r="K199" s="205">
        <f t="shared" si="9"/>
        <v>23.998000000000001</v>
      </c>
      <c r="L199" s="205">
        <f t="shared" si="9"/>
        <v>23.998000000000001</v>
      </c>
      <c r="M199" s="205">
        <f t="shared" si="9"/>
        <v>23.998000000000001</v>
      </c>
      <c r="N199" s="205">
        <f t="shared" si="9"/>
        <v>23.998000000000001</v>
      </c>
      <c r="O199" s="205">
        <f t="shared" si="9"/>
        <v>23.998000000000001</v>
      </c>
      <c r="P199" s="917">
        <f>SUM(D199:O199)</f>
        <v>287.97599999999994</v>
      </c>
    </row>
    <row r="200" spans="1:16" s="192" customFormat="1" ht="23.25">
      <c r="A200" s="258">
        <f>F380</f>
        <v>22</v>
      </c>
      <c r="B200" s="945" t="str">
        <f>B191</f>
        <v>S. ENDOCRINO</v>
      </c>
      <c r="C200" s="946" t="s">
        <v>412</v>
      </c>
      <c r="D200" s="205">
        <f>C191</f>
        <v>31.999700000000001</v>
      </c>
      <c r="E200" s="205">
        <f>D200</f>
        <v>31.999700000000001</v>
      </c>
      <c r="F200" s="205">
        <f t="shared" si="9"/>
        <v>31.999700000000001</v>
      </c>
      <c r="G200" s="205">
        <f t="shared" si="9"/>
        <v>31.999700000000001</v>
      </c>
      <c r="H200" s="205">
        <f t="shared" si="9"/>
        <v>31.999700000000001</v>
      </c>
      <c r="I200" s="205">
        <f t="shared" si="9"/>
        <v>31.999700000000001</v>
      </c>
      <c r="J200" s="205">
        <f t="shared" si="9"/>
        <v>31.999700000000001</v>
      </c>
      <c r="K200" s="205">
        <f t="shared" si="9"/>
        <v>31.999700000000001</v>
      </c>
      <c r="L200" s="205">
        <f t="shared" si="9"/>
        <v>31.999700000000001</v>
      </c>
      <c r="M200" s="205">
        <f t="shared" si="9"/>
        <v>31.999700000000001</v>
      </c>
      <c r="N200" s="205">
        <f t="shared" si="9"/>
        <v>31.999700000000001</v>
      </c>
      <c r="O200" s="205">
        <f t="shared" si="9"/>
        <v>31.999700000000001</v>
      </c>
      <c r="P200" s="917">
        <f>SUM(D200:O200)</f>
        <v>383.99640000000005</v>
      </c>
    </row>
    <row r="201" spans="1:16" s="192" customFormat="1" ht="23.25">
      <c r="A201" s="960">
        <f>F382</f>
        <v>10</v>
      </c>
      <c r="B201" s="946" t="str">
        <f>B192</f>
        <v>S. IMPORTACIÓN</v>
      </c>
      <c r="C201" s="946" t="s">
        <v>412</v>
      </c>
      <c r="D201" s="205">
        <f>C192</f>
        <v>15.0023</v>
      </c>
      <c r="E201" s="205">
        <f>D201</f>
        <v>15.0023</v>
      </c>
      <c r="F201" s="205">
        <f t="shared" si="9"/>
        <v>15.0023</v>
      </c>
      <c r="G201" s="205">
        <f t="shared" si="9"/>
        <v>15.0023</v>
      </c>
      <c r="H201" s="205">
        <f>G201</f>
        <v>15.0023</v>
      </c>
      <c r="I201" s="205">
        <f t="shared" si="9"/>
        <v>15.0023</v>
      </c>
      <c r="J201" s="205">
        <f>I201</f>
        <v>15.0023</v>
      </c>
      <c r="K201" s="205">
        <f t="shared" si="9"/>
        <v>15.0023</v>
      </c>
      <c r="L201" s="205">
        <f t="shared" si="9"/>
        <v>15.0023</v>
      </c>
      <c r="M201" s="205">
        <f>L201</f>
        <v>15.0023</v>
      </c>
      <c r="N201" s="205">
        <f>M201</f>
        <v>15.0023</v>
      </c>
      <c r="O201" s="205">
        <f t="shared" si="9"/>
        <v>15.0023</v>
      </c>
      <c r="P201" s="917">
        <f>SUM(D201:O201)</f>
        <v>180.02759999999998</v>
      </c>
    </row>
    <row r="202" spans="1:16" s="192" customFormat="1" ht="23.25">
      <c r="B202" s="196"/>
      <c r="C202" s="197"/>
      <c r="D202" s="946"/>
      <c r="E202" s="946"/>
      <c r="F202" s="946"/>
      <c r="G202" s="946"/>
      <c r="H202" s="946"/>
      <c r="I202" s="946"/>
      <c r="J202" s="946"/>
      <c r="K202" s="946"/>
      <c r="L202" s="946"/>
      <c r="M202" s="946"/>
      <c r="N202" s="946"/>
      <c r="O202" s="946"/>
      <c r="P202" s="946"/>
    </row>
    <row r="203" spans="1:16" s="192" customFormat="1" ht="42" customHeight="1">
      <c r="B203" s="1113" t="s">
        <v>414</v>
      </c>
      <c r="C203" s="1113"/>
      <c r="D203" s="261">
        <f>F190</f>
        <v>2048.5</v>
      </c>
      <c r="E203" s="261">
        <f>D203</f>
        <v>2048.5</v>
      </c>
      <c r="F203" s="261">
        <f t="shared" ref="F203:P205" si="10">E203</f>
        <v>2048.5</v>
      </c>
      <c r="G203" s="261">
        <f t="shared" si="10"/>
        <v>2048.5</v>
      </c>
      <c r="H203" s="261">
        <f t="shared" si="10"/>
        <v>2048.5</v>
      </c>
      <c r="I203" s="261">
        <f t="shared" si="10"/>
        <v>2048.5</v>
      </c>
      <c r="J203" s="261">
        <f t="shared" si="10"/>
        <v>2048.5</v>
      </c>
      <c r="K203" s="261">
        <f t="shared" si="10"/>
        <v>2048.5</v>
      </c>
      <c r="L203" s="261">
        <f t="shared" si="10"/>
        <v>2048.5</v>
      </c>
      <c r="M203" s="261">
        <f t="shared" si="10"/>
        <v>2048.5</v>
      </c>
      <c r="N203" s="261">
        <f>M203</f>
        <v>2048.5</v>
      </c>
      <c r="O203" s="261">
        <f>N203</f>
        <v>2048.5</v>
      </c>
      <c r="P203" s="261">
        <f>O203</f>
        <v>2048.5</v>
      </c>
    </row>
    <row r="204" spans="1:16" s="192" customFormat="1" ht="44.25" customHeight="1">
      <c r="B204" s="1225" t="s">
        <v>413</v>
      </c>
      <c r="C204" s="1225"/>
      <c r="D204" s="261">
        <f>F191</f>
        <v>1311</v>
      </c>
      <c r="E204" s="261">
        <f>D204</f>
        <v>1311</v>
      </c>
      <c r="F204" s="261">
        <f t="shared" si="10"/>
        <v>1311</v>
      </c>
      <c r="G204" s="261">
        <f t="shared" si="10"/>
        <v>1311</v>
      </c>
      <c r="H204" s="261">
        <f t="shared" si="10"/>
        <v>1311</v>
      </c>
      <c r="I204" s="261">
        <f t="shared" si="10"/>
        <v>1311</v>
      </c>
      <c r="J204" s="261">
        <f t="shared" si="10"/>
        <v>1311</v>
      </c>
      <c r="K204" s="261">
        <f t="shared" si="10"/>
        <v>1311</v>
      </c>
      <c r="L204" s="261">
        <f t="shared" si="10"/>
        <v>1311</v>
      </c>
      <c r="M204" s="261">
        <f t="shared" si="10"/>
        <v>1311</v>
      </c>
      <c r="N204" s="261">
        <f t="shared" si="10"/>
        <v>1311</v>
      </c>
      <c r="O204" s="261">
        <f t="shared" si="10"/>
        <v>1311</v>
      </c>
      <c r="P204" s="261">
        <f t="shared" si="10"/>
        <v>1311</v>
      </c>
    </row>
    <row r="205" spans="1:16" s="192" customFormat="1" ht="44.25" customHeight="1">
      <c r="B205" s="1225" t="s">
        <v>415</v>
      </c>
      <c r="C205" s="1225"/>
      <c r="D205" s="261">
        <f>F192</f>
        <v>783.33333333333337</v>
      </c>
      <c r="E205" s="261">
        <f>D205</f>
        <v>783.33333333333337</v>
      </c>
      <c r="F205" s="261">
        <f t="shared" si="10"/>
        <v>783.33333333333337</v>
      </c>
      <c r="G205" s="261">
        <f t="shared" si="10"/>
        <v>783.33333333333337</v>
      </c>
      <c r="H205" s="261">
        <f t="shared" si="10"/>
        <v>783.33333333333337</v>
      </c>
      <c r="I205" s="261">
        <f t="shared" si="10"/>
        <v>783.33333333333337</v>
      </c>
      <c r="J205" s="261">
        <f t="shared" si="10"/>
        <v>783.33333333333337</v>
      </c>
      <c r="K205" s="261">
        <f t="shared" si="10"/>
        <v>783.33333333333337</v>
      </c>
      <c r="L205" s="261">
        <f>K205</f>
        <v>783.33333333333337</v>
      </c>
      <c r="M205" s="261">
        <f t="shared" si="10"/>
        <v>783.33333333333337</v>
      </c>
      <c r="N205" s="261">
        <f t="shared" si="10"/>
        <v>783.33333333333337</v>
      </c>
      <c r="O205" s="261">
        <f t="shared" si="10"/>
        <v>783.33333333333337</v>
      </c>
      <c r="P205" s="261">
        <f t="shared" si="10"/>
        <v>783.33333333333337</v>
      </c>
    </row>
    <row r="206" spans="1:16" s="192" customFormat="1" ht="23.25">
      <c r="B206" s="197"/>
      <c r="C206" s="197"/>
      <c r="D206" s="946"/>
      <c r="E206" s="946"/>
      <c r="F206" s="946"/>
      <c r="G206" s="946"/>
      <c r="H206" s="946"/>
      <c r="I206" s="946"/>
      <c r="J206" s="946"/>
      <c r="K206" s="946"/>
      <c r="L206" s="946"/>
      <c r="M206" s="946"/>
      <c r="N206" s="946"/>
      <c r="O206" s="946"/>
      <c r="P206" s="946"/>
    </row>
    <row r="207" spans="1:16" s="192" customFormat="1" ht="42" customHeight="1">
      <c r="B207" s="1102" t="s">
        <v>416</v>
      </c>
      <c r="C207" s="1103"/>
      <c r="D207" s="946" t="s">
        <v>248</v>
      </c>
      <c r="E207" s="946"/>
      <c r="F207" s="946"/>
      <c r="G207" s="946"/>
      <c r="H207" s="946"/>
      <c r="I207" s="946"/>
      <c r="J207" s="946"/>
      <c r="K207" s="946"/>
      <c r="L207" s="946"/>
      <c r="M207" s="946"/>
      <c r="N207" s="946"/>
      <c r="O207" s="946"/>
      <c r="P207" s="946"/>
    </row>
    <row r="208" spans="1:16" s="192" customFormat="1" ht="23.25">
      <c r="B208" s="1226" t="str">
        <f>+B199</f>
        <v>S. ONCOLÓGICO</v>
      </c>
      <c r="C208" s="1227"/>
      <c r="D208" s="246">
        <f>D199*D203</f>
        <v>49159.903000000006</v>
      </c>
      <c r="E208" s="246">
        <f t="shared" ref="D208:O209" si="11">E199*E203</f>
        <v>49159.903000000006</v>
      </c>
      <c r="F208" s="246">
        <f t="shared" si="11"/>
        <v>49159.903000000006</v>
      </c>
      <c r="G208" s="246">
        <f t="shared" si="11"/>
        <v>49159.903000000006</v>
      </c>
      <c r="H208" s="246">
        <f t="shared" si="11"/>
        <v>49159.903000000006</v>
      </c>
      <c r="I208" s="246">
        <f t="shared" si="11"/>
        <v>49159.903000000006</v>
      </c>
      <c r="J208" s="246">
        <f t="shared" si="11"/>
        <v>49159.903000000006</v>
      </c>
      <c r="K208" s="246">
        <f t="shared" si="11"/>
        <v>49159.903000000006</v>
      </c>
      <c r="L208" s="246">
        <f t="shared" si="11"/>
        <v>49159.903000000006</v>
      </c>
      <c r="M208" s="246">
        <f t="shared" si="11"/>
        <v>49159.903000000006</v>
      </c>
      <c r="N208" s="246">
        <f t="shared" si="11"/>
        <v>49159.903000000006</v>
      </c>
      <c r="O208" s="246">
        <f t="shared" si="11"/>
        <v>49159.903000000006</v>
      </c>
      <c r="P208" s="262">
        <f>SUM(D208:O208)</f>
        <v>589918.83600000001</v>
      </c>
    </row>
    <row r="209" spans="2:17" s="192" customFormat="1" ht="23.25">
      <c r="B209" s="1226" t="str">
        <f>+B200</f>
        <v>S. ENDOCRINO</v>
      </c>
      <c r="C209" s="1227"/>
      <c r="D209" s="246">
        <f t="shared" si="11"/>
        <v>41951.606700000004</v>
      </c>
      <c r="E209" s="246">
        <f t="shared" si="11"/>
        <v>41951.606700000004</v>
      </c>
      <c r="F209" s="246">
        <f t="shared" si="11"/>
        <v>41951.606700000004</v>
      </c>
      <c r="G209" s="246">
        <f t="shared" si="11"/>
        <v>41951.606700000004</v>
      </c>
      <c r="H209" s="246">
        <f t="shared" si="11"/>
        <v>41951.606700000004</v>
      </c>
      <c r="I209" s="246">
        <f t="shared" si="11"/>
        <v>41951.606700000004</v>
      </c>
      <c r="J209" s="246">
        <f t="shared" si="11"/>
        <v>41951.606700000004</v>
      </c>
      <c r="K209" s="246">
        <f t="shared" si="11"/>
        <v>41951.606700000004</v>
      </c>
      <c r="L209" s="246">
        <f t="shared" si="11"/>
        <v>41951.606700000004</v>
      </c>
      <c r="M209" s="246">
        <f t="shared" si="11"/>
        <v>41951.606700000004</v>
      </c>
      <c r="N209" s="246">
        <f t="shared" si="11"/>
        <v>41951.606700000004</v>
      </c>
      <c r="O209" s="246">
        <f t="shared" si="11"/>
        <v>41951.606700000004</v>
      </c>
      <c r="P209" s="262">
        <f t="shared" ref="P209:P210" si="12">SUM(D209:O209)</f>
        <v>503419.28040000005</v>
      </c>
    </row>
    <row r="210" spans="2:17" s="192" customFormat="1" ht="23.25">
      <c r="B210" s="1228" t="str">
        <f>+B201</f>
        <v>S. IMPORTACIÓN</v>
      </c>
      <c r="C210" s="1228"/>
      <c r="D210" s="246">
        <f>+D201*D205</f>
        <v>11751.801666666668</v>
      </c>
      <c r="E210" s="246">
        <f t="shared" ref="E210:O210" si="13">+E201*E205</f>
        <v>11751.801666666668</v>
      </c>
      <c r="F210" s="246">
        <f t="shared" si="13"/>
        <v>11751.801666666668</v>
      </c>
      <c r="G210" s="246">
        <f t="shared" si="13"/>
        <v>11751.801666666668</v>
      </c>
      <c r="H210" s="246">
        <f t="shared" si="13"/>
        <v>11751.801666666668</v>
      </c>
      <c r="I210" s="246">
        <f t="shared" si="13"/>
        <v>11751.801666666668</v>
      </c>
      <c r="J210" s="246">
        <f t="shared" si="13"/>
        <v>11751.801666666668</v>
      </c>
      <c r="K210" s="246">
        <f t="shared" si="13"/>
        <v>11751.801666666668</v>
      </c>
      <c r="L210" s="246">
        <f t="shared" si="13"/>
        <v>11751.801666666668</v>
      </c>
      <c r="M210" s="246">
        <f t="shared" si="13"/>
        <v>11751.801666666668</v>
      </c>
      <c r="N210" s="246">
        <f t="shared" si="13"/>
        <v>11751.801666666668</v>
      </c>
      <c r="O210" s="246">
        <f t="shared" si="13"/>
        <v>11751.801666666668</v>
      </c>
      <c r="P210" s="262">
        <f t="shared" si="12"/>
        <v>141021.62000000002</v>
      </c>
    </row>
    <row r="211" spans="2:17" s="192" customFormat="1" ht="23.25">
      <c r="B211" s="215"/>
      <c r="C211" s="215"/>
      <c r="D211" s="264"/>
      <c r="E211" s="264"/>
      <c r="F211" s="264"/>
      <c r="G211" s="264"/>
      <c r="H211" s="264"/>
      <c r="I211" s="264"/>
      <c r="J211" s="264"/>
      <c r="K211" s="264"/>
      <c r="L211" s="264"/>
      <c r="M211" s="264"/>
      <c r="N211" s="264"/>
      <c r="O211" s="264"/>
      <c r="P211" s="265">
        <f>SUM(P208:P210)</f>
        <v>1234359.7364000003</v>
      </c>
      <c r="Q211" s="264"/>
    </row>
    <row r="212" spans="2:17" s="192" customFormat="1" ht="93">
      <c r="C212" s="1102" t="s">
        <v>399</v>
      </c>
      <c r="D212" s="1103"/>
      <c r="E212" s="943" t="s">
        <v>417</v>
      </c>
      <c r="F212" s="943" t="s">
        <v>418</v>
      </c>
      <c r="G212" s="1230" t="s">
        <v>419</v>
      </c>
      <c r="K212" s="264"/>
      <c r="L212" s="264"/>
      <c r="M212" s="264"/>
      <c r="N212" s="264"/>
      <c r="O212" s="264"/>
      <c r="P212" s="264"/>
      <c r="Q212" s="264"/>
    </row>
    <row r="213" spans="2:17" s="192" customFormat="1" ht="23.25">
      <c r="C213" s="203" t="str">
        <f>+B208</f>
        <v>S. ONCOLÓGICO</v>
      </c>
      <c r="D213" s="946" t="s">
        <v>420</v>
      </c>
      <c r="E213" s="262">
        <f>D199</f>
        <v>23.998000000000001</v>
      </c>
      <c r="F213" s="301">
        <f>P199</f>
        <v>287.97599999999994</v>
      </c>
      <c r="G213" s="1230"/>
      <c r="K213" s="264"/>
      <c r="L213" s="264"/>
      <c r="M213" s="264"/>
      <c r="N213" s="264"/>
      <c r="O213" s="264"/>
      <c r="P213" s="264"/>
      <c r="Q213" s="264"/>
    </row>
    <row r="214" spans="2:17" s="192" customFormat="1" ht="23.25">
      <c r="C214" s="203" t="str">
        <f>+B209</f>
        <v>S. ENDOCRINO</v>
      </c>
      <c r="D214" s="946" t="s">
        <v>420</v>
      </c>
      <c r="E214" s="262">
        <f>D200</f>
        <v>31.999700000000001</v>
      </c>
      <c r="F214" s="301">
        <f>P200</f>
        <v>383.99640000000005</v>
      </c>
      <c r="G214" s="1230"/>
      <c r="K214" s="264"/>
      <c r="L214" s="264"/>
      <c r="M214" s="264"/>
      <c r="N214" s="264"/>
      <c r="O214" s="264"/>
      <c r="P214" s="264"/>
      <c r="Q214" s="264"/>
    </row>
    <row r="215" spans="2:17" s="192" customFormat="1" ht="23.25">
      <c r="C215" s="266" t="str">
        <f>+B210</f>
        <v>S. IMPORTACIÓN</v>
      </c>
      <c r="D215" s="946" t="s">
        <v>420</v>
      </c>
      <c r="E215" s="262">
        <f>+D201</f>
        <v>15.0023</v>
      </c>
      <c r="F215" s="301">
        <f>P201</f>
        <v>180.02759999999998</v>
      </c>
      <c r="G215" s="1230"/>
      <c r="K215" s="264"/>
      <c r="L215" s="264"/>
      <c r="M215" s="264"/>
      <c r="N215" s="264"/>
      <c r="O215" s="264"/>
      <c r="P215" s="264"/>
      <c r="Q215" s="264"/>
    </row>
    <row r="216" spans="2:17" s="192" customFormat="1" ht="23.25">
      <c r="C216" s="267"/>
      <c r="D216" s="196"/>
      <c r="E216" s="268"/>
      <c r="F216" s="262"/>
      <c r="G216" s="1230"/>
      <c r="K216" s="264"/>
      <c r="L216" s="264"/>
      <c r="M216" s="264"/>
      <c r="N216" s="264"/>
      <c r="O216" s="264"/>
      <c r="P216" s="264"/>
      <c r="Q216" s="264"/>
    </row>
    <row r="217" spans="2:17" s="192" customFormat="1" ht="23.25">
      <c r="C217" s="1102" t="s">
        <v>416</v>
      </c>
      <c r="D217" s="1103"/>
      <c r="E217" s="262" t="s">
        <v>421</v>
      </c>
      <c r="F217" s="262" t="s">
        <v>422</v>
      </c>
      <c r="G217" s="1230"/>
      <c r="K217" s="264"/>
      <c r="L217" s="264"/>
      <c r="M217" s="264"/>
      <c r="N217" s="264"/>
      <c r="O217" s="264"/>
      <c r="P217" s="264"/>
      <c r="Q217" s="264"/>
    </row>
    <row r="218" spans="2:17" s="192" customFormat="1" ht="23.25">
      <c r="C218" s="946" t="str">
        <f>+C213</f>
        <v>S. ONCOLÓGICO</v>
      </c>
      <c r="D218" s="946" t="s">
        <v>135</v>
      </c>
      <c r="E218" s="269">
        <f>D208</f>
        <v>49159.903000000006</v>
      </c>
      <c r="F218" s="262">
        <f>P208</f>
        <v>589918.83600000001</v>
      </c>
      <c r="G218" s="1230"/>
      <c r="K218" s="264"/>
      <c r="L218" s="264"/>
      <c r="M218" s="264"/>
      <c r="N218" s="264"/>
      <c r="O218" s="264"/>
      <c r="P218" s="264"/>
      <c r="Q218" s="264"/>
    </row>
    <row r="219" spans="2:17" s="192" customFormat="1" ht="23.25">
      <c r="C219" s="946" t="str">
        <f>+C214</f>
        <v>S. ENDOCRINO</v>
      </c>
      <c r="D219" s="946" t="s">
        <v>135</v>
      </c>
      <c r="E219" s="269">
        <f>D209</f>
        <v>41951.606700000004</v>
      </c>
      <c r="F219" s="262">
        <f>P209</f>
        <v>503419.28040000005</v>
      </c>
      <c r="G219" s="1230"/>
    </row>
    <row r="220" spans="2:17" s="192" customFormat="1" ht="23.25">
      <c r="C220" s="946" t="str">
        <f>+C215</f>
        <v>S. IMPORTACIÓN</v>
      </c>
      <c r="D220" s="946" t="s">
        <v>135</v>
      </c>
      <c r="E220" s="269">
        <f>+D210</f>
        <v>11751.801666666668</v>
      </c>
      <c r="F220" s="262">
        <f>+P210</f>
        <v>141021.62000000002</v>
      </c>
      <c r="G220" s="1230"/>
    </row>
    <row r="221" spans="2:17" s="192" customFormat="1" ht="23.25">
      <c r="C221" s="203"/>
      <c r="D221" s="946" t="s">
        <v>183</v>
      </c>
      <c r="E221" s="270">
        <f>SUM(E218:E220)</f>
        <v>102863.31136666668</v>
      </c>
      <c r="F221" s="271">
        <f>SUM(F218:F220)</f>
        <v>1234359.7364000003</v>
      </c>
      <c r="G221" s="1230"/>
    </row>
    <row r="222" spans="2:17">
      <c r="C222" s="779"/>
      <c r="D222" s="781"/>
      <c r="E222" s="781"/>
      <c r="F222" s="669"/>
      <c r="G222" s="670"/>
      <c r="H222" s="634"/>
    </row>
    <row r="223" spans="2:17">
      <c r="C223" s="779"/>
      <c r="D223" s="781"/>
      <c r="E223" s="781"/>
      <c r="F223" s="669"/>
      <c r="G223" s="670"/>
      <c r="H223" s="634"/>
    </row>
    <row r="224" spans="2:17">
      <c r="C224" s="779"/>
      <c r="D224" s="781"/>
      <c r="E224" s="781"/>
      <c r="F224" s="669"/>
      <c r="G224" s="670"/>
      <c r="H224" s="634"/>
    </row>
    <row r="225" spans="1:8" ht="23.25">
      <c r="B225" s="782" t="s">
        <v>423</v>
      </c>
      <c r="C225" s="714"/>
      <c r="D225" s="714"/>
      <c r="E225" s="714"/>
      <c r="F225" s="714"/>
    </row>
    <row r="226" spans="1:8" ht="62.25" customHeight="1">
      <c r="A226" s="783" t="s">
        <v>424</v>
      </c>
      <c r="B226" s="1288" t="s">
        <v>425</v>
      </c>
      <c r="C226" s="1288"/>
      <c r="D226" s="1288"/>
      <c r="E226" s="1288"/>
      <c r="F226" s="1288"/>
      <c r="G226" s="634"/>
    </row>
    <row r="229" spans="1:8" ht="21" customHeight="1">
      <c r="A229" s="1277" t="s">
        <v>799</v>
      </c>
      <c r="B229" s="1277"/>
      <c r="C229" s="1277"/>
      <c r="D229" s="1277"/>
      <c r="E229" s="1277"/>
      <c r="F229" s="1277"/>
    </row>
    <row r="230" spans="1:8" ht="23.25">
      <c r="A230" s="1289" t="s">
        <v>427</v>
      </c>
      <c r="B230" s="1289"/>
      <c r="C230" s="1289"/>
      <c r="D230" s="1289"/>
      <c r="E230" s="1289"/>
      <c r="F230" s="1289"/>
    </row>
    <row r="231" spans="1:8">
      <c r="A231" s="728"/>
      <c r="B231" s="634"/>
      <c r="C231" s="634"/>
      <c r="D231" s="634"/>
      <c r="E231" s="634"/>
      <c r="F231" s="634"/>
      <c r="G231" s="634"/>
    </row>
    <row r="232" spans="1:8" ht="23.25">
      <c r="A232" s="943" t="s">
        <v>428</v>
      </c>
      <c r="B232" s="943" t="s">
        <v>301</v>
      </c>
      <c r="C232" s="943" t="s">
        <v>429</v>
      </c>
      <c r="D232" s="1102" t="s">
        <v>430</v>
      </c>
      <c r="E232" s="1103"/>
      <c r="F232" s="943" t="s">
        <v>431</v>
      </c>
      <c r="G232" s="714"/>
      <c r="H232" s="714"/>
    </row>
    <row r="233" spans="1:8" ht="23.25">
      <c r="A233" s="784"/>
      <c r="B233" s="784"/>
      <c r="C233" s="784"/>
      <c r="D233" s="784" t="s">
        <v>248</v>
      </c>
      <c r="E233" s="784" t="s">
        <v>420</v>
      </c>
      <c r="F233" s="784"/>
      <c r="G233" s="714"/>
      <c r="H233" s="714"/>
    </row>
    <row r="234" spans="1:8" ht="23.25">
      <c r="A234" s="943" t="s">
        <v>432</v>
      </c>
      <c r="B234" s="943">
        <v>1</v>
      </c>
      <c r="C234" s="943" t="s">
        <v>433</v>
      </c>
      <c r="D234" s="943">
        <v>25</v>
      </c>
      <c r="E234" s="276" t="s">
        <v>434</v>
      </c>
      <c r="F234" s="213">
        <f>+(D234/100)*B234</f>
        <v>0.25</v>
      </c>
      <c r="G234" s="714"/>
      <c r="H234" s="714"/>
    </row>
    <row r="235" spans="1:8" ht="23.25">
      <c r="A235" s="943" t="s">
        <v>435</v>
      </c>
      <c r="B235" s="943">
        <v>1</v>
      </c>
      <c r="C235" s="943" t="s">
        <v>433</v>
      </c>
      <c r="D235" s="943">
        <v>100</v>
      </c>
      <c r="E235" s="943" t="s">
        <v>436</v>
      </c>
      <c r="F235" s="213">
        <f>+(D235/100)*B235</f>
        <v>1</v>
      </c>
      <c r="G235" s="714"/>
      <c r="H235" s="714"/>
    </row>
    <row r="236" spans="1:8" ht="23.25">
      <c r="A236" s="943" t="s">
        <v>437</v>
      </c>
      <c r="B236" s="943">
        <v>1</v>
      </c>
      <c r="C236" s="943" t="s">
        <v>433</v>
      </c>
      <c r="D236" s="943">
        <v>25</v>
      </c>
      <c r="E236" s="943" t="s">
        <v>438</v>
      </c>
      <c r="F236" s="213">
        <f>+(D236/500)*B236</f>
        <v>0.05</v>
      </c>
      <c r="G236" s="714"/>
      <c r="H236" s="714"/>
    </row>
    <row r="237" spans="1:8" ht="46.5">
      <c r="A237" s="943" t="s">
        <v>439</v>
      </c>
      <c r="B237" s="943">
        <v>1</v>
      </c>
      <c r="C237" s="943" t="s">
        <v>433</v>
      </c>
      <c r="D237" s="943">
        <v>2.5</v>
      </c>
      <c r="E237" s="943" t="s">
        <v>440</v>
      </c>
      <c r="F237" s="213">
        <f>+(D237/1)*B237</f>
        <v>2.5</v>
      </c>
      <c r="G237" s="714"/>
      <c r="H237" s="714"/>
    </row>
    <row r="238" spans="1:8" ht="46.5">
      <c r="A238" s="943" t="s">
        <v>441</v>
      </c>
      <c r="B238" s="943">
        <v>1</v>
      </c>
      <c r="C238" s="943" t="s">
        <v>388</v>
      </c>
      <c r="D238" s="943">
        <v>100</v>
      </c>
      <c r="E238" s="943" t="s">
        <v>442</v>
      </c>
      <c r="F238" s="213">
        <v>100</v>
      </c>
      <c r="G238" s="714"/>
      <c r="H238" s="714"/>
    </row>
    <row r="239" spans="1:8" ht="23.25">
      <c r="A239" s="943" t="s">
        <v>443</v>
      </c>
      <c r="B239" s="943">
        <v>1</v>
      </c>
      <c r="C239" s="943" t="s">
        <v>444</v>
      </c>
      <c r="D239" s="943">
        <v>917.69999999999993</v>
      </c>
      <c r="E239" s="943" t="s">
        <v>445</v>
      </c>
      <c r="F239" s="213">
        <v>700</v>
      </c>
      <c r="G239" s="714"/>
      <c r="H239" s="714"/>
    </row>
    <row r="240" spans="1:8" ht="107.25" customHeight="1">
      <c r="A240" s="276"/>
      <c r="B240" s="276"/>
      <c r="C240" s="276"/>
      <c r="D240" s="276"/>
      <c r="E240" s="943" t="s">
        <v>446</v>
      </c>
      <c r="F240" s="213">
        <f>SUM(F234:F239)</f>
        <v>803.8</v>
      </c>
      <c r="G240" s="943" t="s">
        <v>447</v>
      </c>
      <c r="H240" s="277">
        <f>+F240</f>
        <v>803.8</v>
      </c>
    </row>
    <row r="241" spans="1:16" ht="42">
      <c r="A241" s="278"/>
      <c r="B241" s="279" t="s">
        <v>448</v>
      </c>
      <c r="C241" s="938"/>
      <c r="D241" s="279" t="s">
        <v>449</v>
      </c>
      <c r="E241" s="209"/>
      <c r="F241" s="280"/>
      <c r="G241" s="281"/>
      <c r="H241" s="281"/>
    </row>
    <row r="242" spans="1:16" ht="31.5">
      <c r="A242" s="278"/>
      <c r="B242" s="283">
        <f>+H240</f>
        <v>803.8</v>
      </c>
      <c r="C242" s="283"/>
      <c r="D242" s="284">
        <f>B242</f>
        <v>803.8</v>
      </c>
      <c r="E242" s="212"/>
      <c r="F242" s="215"/>
      <c r="G242" s="215"/>
      <c r="H242" s="215"/>
      <c r="I242" s="634"/>
    </row>
    <row r="243" spans="1:16" ht="146.25" customHeight="1">
      <c r="A243" s="285" t="s">
        <v>450</v>
      </c>
      <c r="B243" s="959" t="s">
        <v>451</v>
      </c>
      <c r="C243" s="948"/>
      <c r="D243" s="959" t="s">
        <v>451</v>
      </c>
      <c r="E243" s="210"/>
      <c r="F243" s="280"/>
      <c r="G243" s="281"/>
      <c r="H243" s="281"/>
      <c r="I243" s="634"/>
    </row>
    <row r="244" spans="1:16">
      <c r="A244" s="939" t="s">
        <v>428</v>
      </c>
      <c r="B244" s="959" t="s">
        <v>452</v>
      </c>
      <c r="C244" s="948"/>
      <c r="D244" s="959"/>
      <c r="E244" s="209"/>
      <c r="F244" s="208"/>
      <c r="G244" s="208"/>
      <c r="H244" s="949"/>
      <c r="I244" s="634"/>
    </row>
    <row r="245" spans="1:16" ht="31.5">
      <c r="A245" s="258">
        <f>+SUM(F234:F238)</f>
        <v>103.8</v>
      </c>
      <c r="B245" s="324">
        <v>1200</v>
      </c>
      <c r="C245" s="256"/>
      <c r="D245" s="286">
        <f>B245+A245</f>
        <v>1303.8</v>
      </c>
      <c r="E245" s="209"/>
      <c r="F245" s="208"/>
      <c r="G245" s="208"/>
      <c r="H245" s="949"/>
      <c r="I245" s="634"/>
    </row>
    <row r="246" spans="1:16">
      <c r="A246" s="1151" t="s">
        <v>737</v>
      </c>
      <c r="B246" s="1220"/>
      <c r="C246" s="1220"/>
      <c r="D246" s="1220"/>
      <c r="E246" s="1221"/>
      <c r="F246" s="208"/>
      <c r="G246" s="208"/>
      <c r="H246" s="949"/>
    </row>
    <row r="247" spans="1:16" ht="47.25" customHeight="1">
      <c r="A247" s="1222"/>
      <c r="B247" s="1223"/>
      <c r="C247" s="1223"/>
      <c r="D247" s="1223"/>
      <c r="E247" s="1224"/>
      <c r="F247" s="208"/>
      <c r="G247" s="208"/>
      <c r="H247" s="949"/>
    </row>
    <row r="249" spans="1:16">
      <c r="C249" s="761"/>
    </row>
    <row r="250" spans="1:16" ht="66" customHeight="1">
      <c r="B250" s="1270" t="s">
        <v>783</v>
      </c>
      <c r="C250" s="1272"/>
      <c r="D250" s="646" t="s">
        <v>400</v>
      </c>
      <c r="E250" s="646" t="s">
        <v>401</v>
      </c>
      <c r="F250" s="646" t="s">
        <v>402</v>
      </c>
      <c r="G250" s="646" t="s">
        <v>403</v>
      </c>
      <c r="H250" s="646" t="s">
        <v>404</v>
      </c>
      <c r="I250" s="646" t="s">
        <v>405</v>
      </c>
      <c r="J250" s="646" t="s">
        <v>406</v>
      </c>
      <c r="K250" s="646" t="s">
        <v>407</v>
      </c>
      <c r="L250" s="646" t="s">
        <v>408</v>
      </c>
      <c r="M250" s="646" t="s">
        <v>409</v>
      </c>
      <c r="N250" s="646" t="s">
        <v>410</v>
      </c>
      <c r="O250" s="646" t="s">
        <v>411</v>
      </c>
      <c r="P250" s="646" t="s">
        <v>183</v>
      </c>
    </row>
    <row r="251" spans="1:16" ht="23.25">
      <c r="B251" s="243" t="s">
        <v>391</v>
      </c>
      <c r="C251" s="776" t="s">
        <v>420</v>
      </c>
      <c r="D251" s="690">
        <f>C190</f>
        <v>23.998000000000001</v>
      </c>
      <c r="E251" s="645">
        <f t="shared" ref="E251:O253" si="14">D251</f>
        <v>23.998000000000001</v>
      </c>
      <c r="F251" s="645">
        <f t="shared" si="14"/>
        <v>23.998000000000001</v>
      </c>
      <c r="G251" s="645">
        <f t="shared" si="14"/>
        <v>23.998000000000001</v>
      </c>
      <c r="H251" s="645">
        <f t="shared" si="14"/>
        <v>23.998000000000001</v>
      </c>
      <c r="I251" s="645">
        <f t="shared" si="14"/>
        <v>23.998000000000001</v>
      </c>
      <c r="J251" s="645">
        <f t="shared" si="14"/>
        <v>23.998000000000001</v>
      </c>
      <c r="K251" s="645">
        <f t="shared" si="14"/>
        <v>23.998000000000001</v>
      </c>
      <c r="L251" s="645">
        <f t="shared" si="14"/>
        <v>23.998000000000001</v>
      </c>
      <c r="M251" s="645">
        <f t="shared" si="14"/>
        <v>23.998000000000001</v>
      </c>
      <c r="N251" s="645">
        <f t="shared" si="14"/>
        <v>23.998000000000001</v>
      </c>
      <c r="O251" s="645">
        <f t="shared" si="14"/>
        <v>23.998000000000001</v>
      </c>
      <c r="P251" s="983">
        <f>SUM(D251:O251)</f>
        <v>287.97599999999994</v>
      </c>
    </row>
    <row r="252" spans="1:16" ht="23.25">
      <c r="B252" s="243" t="s">
        <v>387</v>
      </c>
      <c r="C252" s="776" t="s">
        <v>420</v>
      </c>
      <c r="D252" s="690">
        <f>C191</f>
        <v>31.999700000000001</v>
      </c>
      <c r="E252" s="645">
        <f t="shared" si="14"/>
        <v>31.999700000000001</v>
      </c>
      <c r="F252" s="645">
        <f t="shared" si="14"/>
        <v>31.999700000000001</v>
      </c>
      <c r="G252" s="645">
        <f t="shared" si="14"/>
        <v>31.999700000000001</v>
      </c>
      <c r="H252" s="645">
        <f t="shared" si="14"/>
        <v>31.999700000000001</v>
      </c>
      <c r="I252" s="645">
        <f t="shared" si="14"/>
        <v>31.999700000000001</v>
      </c>
      <c r="J252" s="645">
        <f t="shared" si="14"/>
        <v>31.999700000000001</v>
      </c>
      <c r="K252" s="645">
        <f t="shared" si="14"/>
        <v>31.999700000000001</v>
      </c>
      <c r="L252" s="645">
        <f t="shared" si="14"/>
        <v>31.999700000000001</v>
      </c>
      <c r="M252" s="645">
        <f t="shared" si="14"/>
        <v>31.999700000000001</v>
      </c>
      <c r="N252" s="645">
        <f t="shared" si="14"/>
        <v>31.999700000000001</v>
      </c>
      <c r="O252" s="645">
        <f t="shared" si="14"/>
        <v>31.999700000000001</v>
      </c>
      <c r="P252" s="983">
        <f>SUM(D252:O252)</f>
        <v>383.99640000000005</v>
      </c>
    </row>
    <row r="253" spans="1:16" s="192" customFormat="1" ht="23.25">
      <c r="B253" s="243" t="s">
        <v>824</v>
      </c>
      <c r="C253" s="243" t="s">
        <v>420</v>
      </c>
      <c r="D253" s="289">
        <v>15</v>
      </c>
      <c r="E253" s="645">
        <f t="shared" si="14"/>
        <v>15</v>
      </c>
      <c r="F253" s="645">
        <f t="shared" si="14"/>
        <v>15</v>
      </c>
      <c r="G253" s="645">
        <f t="shared" si="14"/>
        <v>15</v>
      </c>
      <c r="H253" s="645">
        <f t="shared" si="14"/>
        <v>15</v>
      </c>
      <c r="I253" s="645">
        <f t="shared" si="14"/>
        <v>15</v>
      </c>
      <c r="J253" s="645">
        <f t="shared" si="14"/>
        <v>15</v>
      </c>
      <c r="K253" s="645">
        <f t="shared" si="14"/>
        <v>15</v>
      </c>
      <c r="L253" s="645">
        <f t="shared" si="14"/>
        <v>15</v>
      </c>
      <c r="M253" s="645">
        <f t="shared" si="14"/>
        <v>15</v>
      </c>
      <c r="N253" s="645">
        <f t="shared" si="14"/>
        <v>15</v>
      </c>
      <c r="O253" s="645">
        <f t="shared" si="14"/>
        <v>15</v>
      </c>
      <c r="P253" s="984">
        <f>SUM(D253:O253)</f>
        <v>180</v>
      </c>
    </row>
    <row r="254" spans="1:16">
      <c r="B254" s="779"/>
      <c r="C254" s="786"/>
      <c r="D254" s="645"/>
      <c r="E254" s="645"/>
      <c r="F254" s="645"/>
      <c r="G254" s="645"/>
      <c r="H254" s="645"/>
      <c r="I254" s="645"/>
      <c r="J254" s="645"/>
      <c r="K254" s="645"/>
      <c r="L254" s="645"/>
      <c r="M254" s="645"/>
      <c r="N254" s="645"/>
      <c r="O254" s="645"/>
      <c r="P254" s="645"/>
    </row>
    <row r="255" spans="1:16" ht="63" customHeight="1">
      <c r="B255" s="1120" t="str">
        <f>B251</f>
        <v>S. ONCOLÓGICO</v>
      </c>
      <c r="C255" s="1120"/>
      <c r="D255" s="787">
        <f>D245</f>
        <v>1303.8</v>
      </c>
      <c r="E255" s="788">
        <f>D255</f>
        <v>1303.8</v>
      </c>
      <c r="F255" s="788">
        <f t="shared" ref="F255:O256" si="15">E255</f>
        <v>1303.8</v>
      </c>
      <c r="G255" s="788">
        <f t="shared" si="15"/>
        <v>1303.8</v>
      </c>
      <c r="H255" s="788">
        <f t="shared" si="15"/>
        <v>1303.8</v>
      </c>
      <c r="I255" s="788">
        <f t="shared" si="15"/>
        <v>1303.8</v>
      </c>
      <c r="J255" s="788">
        <f t="shared" si="15"/>
        <v>1303.8</v>
      </c>
      <c r="K255" s="788">
        <f t="shared" si="15"/>
        <v>1303.8</v>
      </c>
      <c r="L255" s="788">
        <f t="shared" si="15"/>
        <v>1303.8</v>
      </c>
      <c r="M255" s="788">
        <f t="shared" si="15"/>
        <v>1303.8</v>
      </c>
      <c r="N255" s="788">
        <f t="shared" si="15"/>
        <v>1303.8</v>
      </c>
      <c r="O255" s="788">
        <f t="shared" si="15"/>
        <v>1303.8</v>
      </c>
      <c r="P255" s="788">
        <f>O255</f>
        <v>1303.8</v>
      </c>
    </row>
    <row r="256" spans="1:16" ht="63" customHeight="1">
      <c r="B256" s="1120" t="str">
        <f>B252</f>
        <v>S. ENDOCRINO</v>
      </c>
      <c r="C256" s="1120"/>
      <c r="D256" s="787">
        <f>D242</f>
        <v>803.8</v>
      </c>
      <c r="E256" s="788">
        <f>D256</f>
        <v>803.8</v>
      </c>
      <c r="F256" s="788">
        <f t="shared" si="15"/>
        <v>803.8</v>
      </c>
      <c r="G256" s="788">
        <f t="shared" si="15"/>
        <v>803.8</v>
      </c>
      <c r="H256" s="788">
        <f t="shared" si="15"/>
        <v>803.8</v>
      </c>
      <c r="I256" s="788">
        <f t="shared" si="15"/>
        <v>803.8</v>
      </c>
      <c r="J256" s="788">
        <f t="shared" si="15"/>
        <v>803.8</v>
      </c>
      <c r="K256" s="788">
        <f t="shared" si="15"/>
        <v>803.8</v>
      </c>
      <c r="L256" s="788">
        <f t="shared" si="15"/>
        <v>803.8</v>
      </c>
      <c r="M256" s="788">
        <f t="shared" si="15"/>
        <v>803.8</v>
      </c>
      <c r="N256" s="788">
        <f t="shared" si="15"/>
        <v>803.8</v>
      </c>
      <c r="O256" s="788">
        <f t="shared" si="15"/>
        <v>803.8</v>
      </c>
      <c r="P256" s="788">
        <f>O256</f>
        <v>803.8</v>
      </c>
    </row>
    <row r="257" spans="2:16" s="192" customFormat="1" ht="63" customHeight="1">
      <c r="B257" s="1120" t="str">
        <f>B253</f>
        <v>S. IMPORTACION</v>
      </c>
      <c r="C257" s="1120"/>
      <c r="D257" s="293">
        <v>0</v>
      </c>
      <c r="E257" s="294">
        <f>+D257</f>
        <v>0</v>
      </c>
      <c r="F257" s="294">
        <f t="shared" ref="F257:O257" si="16">+E257</f>
        <v>0</v>
      </c>
      <c r="G257" s="294">
        <f t="shared" si="16"/>
        <v>0</v>
      </c>
      <c r="H257" s="294">
        <f t="shared" si="16"/>
        <v>0</v>
      </c>
      <c r="I257" s="294">
        <f t="shared" si="16"/>
        <v>0</v>
      </c>
      <c r="J257" s="294">
        <f t="shared" si="16"/>
        <v>0</v>
      </c>
      <c r="K257" s="294">
        <f t="shared" si="16"/>
        <v>0</v>
      </c>
      <c r="L257" s="294">
        <f t="shared" si="16"/>
        <v>0</v>
      </c>
      <c r="M257" s="294">
        <f t="shared" si="16"/>
        <v>0</v>
      </c>
      <c r="N257" s="294">
        <f t="shared" si="16"/>
        <v>0</v>
      </c>
      <c r="O257" s="294">
        <f t="shared" si="16"/>
        <v>0</v>
      </c>
      <c r="P257" s="294">
        <f>SUM(D257:O257)</f>
        <v>0</v>
      </c>
    </row>
    <row r="258" spans="2:16">
      <c r="D258" s="776"/>
      <c r="E258" s="776"/>
      <c r="F258" s="776"/>
      <c r="G258" s="776"/>
      <c r="H258" s="776"/>
      <c r="I258" s="776"/>
      <c r="J258" s="776"/>
      <c r="K258" s="776"/>
      <c r="L258" s="776"/>
      <c r="M258" s="776"/>
      <c r="N258" s="776"/>
      <c r="O258" s="776"/>
      <c r="P258" s="776"/>
    </row>
    <row r="259" spans="2:16" s="192" customFormat="1" ht="66" customHeight="1">
      <c r="B259" s="1188" t="s">
        <v>456</v>
      </c>
      <c r="C259" s="1189"/>
      <c r="D259" s="209" t="s">
        <v>400</v>
      </c>
      <c r="E259" s="209" t="s">
        <v>401</v>
      </c>
      <c r="F259" s="209" t="s">
        <v>402</v>
      </c>
      <c r="G259" s="209" t="s">
        <v>403</v>
      </c>
      <c r="H259" s="209" t="s">
        <v>404</v>
      </c>
      <c r="I259" s="209" t="s">
        <v>405</v>
      </c>
      <c r="J259" s="209" t="s">
        <v>406</v>
      </c>
      <c r="K259" s="209" t="s">
        <v>407</v>
      </c>
      <c r="L259" s="209" t="s">
        <v>408</v>
      </c>
      <c r="M259" s="209" t="s">
        <v>409</v>
      </c>
      <c r="N259" s="209" t="s">
        <v>410</v>
      </c>
      <c r="O259" s="209" t="s">
        <v>411</v>
      </c>
      <c r="P259" s="209" t="s">
        <v>183</v>
      </c>
    </row>
    <row r="260" spans="2:16" s="192" customFormat="1" ht="23.25">
      <c r="B260" s="243" t="s">
        <v>391</v>
      </c>
      <c r="C260" s="243" t="s">
        <v>420</v>
      </c>
      <c r="D260" s="287">
        <f>D251*D255</f>
        <v>31288.592400000001</v>
      </c>
      <c r="E260" s="288">
        <f>D260</f>
        <v>31288.592400000001</v>
      </c>
      <c r="F260" s="288">
        <f t="shared" ref="E260:O261" si="17">E260</f>
        <v>31288.592400000001</v>
      </c>
      <c r="G260" s="288">
        <f t="shared" si="17"/>
        <v>31288.592400000001</v>
      </c>
      <c r="H260" s="288">
        <f t="shared" si="17"/>
        <v>31288.592400000001</v>
      </c>
      <c r="I260" s="288">
        <f t="shared" si="17"/>
        <v>31288.592400000001</v>
      </c>
      <c r="J260" s="288">
        <f t="shared" si="17"/>
        <v>31288.592400000001</v>
      </c>
      <c r="K260" s="288">
        <f t="shared" si="17"/>
        <v>31288.592400000001</v>
      </c>
      <c r="L260" s="288">
        <f t="shared" si="17"/>
        <v>31288.592400000001</v>
      </c>
      <c r="M260" s="288">
        <f t="shared" si="17"/>
        <v>31288.592400000001</v>
      </c>
      <c r="N260" s="288">
        <f t="shared" si="17"/>
        <v>31288.592400000001</v>
      </c>
      <c r="O260" s="288">
        <f t="shared" si="17"/>
        <v>31288.592400000001</v>
      </c>
      <c r="P260" s="288">
        <f>SUM(D260:O260)</f>
        <v>375463.10880000005</v>
      </c>
    </row>
    <row r="261" spans="2:16" s="192" customFormat="1" ht="23.25">
      <c r="B261" s="243" t="s">
        <v>387</v>
      </c>
      <c r="C261" s="243" t="s">
        <v>420</v>
      </c>
      <c r="D261" s="287">
        <f>D252*D256</f>
        <v>25721.35886</v>
      </c>
      <c r="E261" s="288">
        <f t="shared" si="17"/>
        <v>25721.35886</v>
      </c>
      <c r="F261" s="288">
        <f t="shared" si="17"/>
        <v>25721.35886</v>
      </c>
      <c r="G261" s="288">
        <f t="shared" si="17"/>
        <v>25721.35886</v>
      </c>
      <c r="H261" s="288">
        <f t="shared" si="17"/>
        <v>25721.35886</v>
      </c>
      <c r="I261" s="288">
        <f t="shared" si="17"/>
        <v>25721.35886</v>
      </c>
      <c r="J261" s="288">
        <f t="shared" si="17"/>
        <v>25721.35886</v>
      </c>
      <c r="K261" s="288">
        <f t="shared" si="17"/>
        <v>25721.35886</v>
      </c>
      <c r="L261" s="288">
        <f t="shared" si="17"/>
        <v>25721.35886</v>
      </c>
      <c r="M261" s="288">
        <f t="shared" si="17"/>
        <v>25721.35886</v>
      </c>
      <c r="N261" s="288">
        <f t="shared" si="17"/>
        <v>25721.35886</v>
      </c>
      <c r="O261" s="288">
        <f t="shared" si="17"/>
        <v>25721.35886</v>
      </c>
      <c r="P261" s="288">
        <f>SUM(D261:O261)</f>
        <v>308656.30632000003</v>
      </c>
    </row>
    <row r="262" spans="2:16" s="192" customFormat="1" ht="23.25">
      <c r="B262" s="243" t="s">
        <v>392</v>
      </c>
      <c r="C262" s="243" t="s">
        <v>420</v>
      </c>
      <c r="D262" s="289">
        <f>D253*D257</f>
        <v>0</v>
      </c>
      <c r="E262" s="985">
        <f>E253*E257</f>
        <v>0</v>
      </c>
      <c r="F262" s="985">
        <f t="shared" ref="F262:O262" si="18">F253*F257</f>
        <v>0</v>
      </c>
      <c r="G262" s="985">
        <f t="shared" si="18"/>
        <v>0</v>
      </c>
      <c r="H262" s="985">
        <f t="shared" si="18"/>
        <v>0</v>
      </c>
      <c r="I262" s="985">
        <f t="shared" si="18"/>
        <v>0</v>
      </c>
      <c r="J262" s="985">
        <f t="shared" si="18"/>
        <v>0</v>
      </c>
      <c r="K262" s="985">
        <f t="shared" si="18"/>
        <v>0</v>
      </c>
      <c r="L262" s="985">
        <f t="shared" si="18"/>
        <v>0</v>
      </c>
      <c r="M262" s="985">
        <f t="shared" si="18"/>
        <v>0</v>
      </c>
      <c r="N262" s="985">
        <f t="shared" si="18"/>
        <v>0</v>
      </c>
      <c r="O262" s="985">
        <f t="shared" si="18"/>
        <v>0</v>
      </c>
      <c r="P262" s="290">
        <f>SUM(D262:O262)</f>
        <v>0</v>
      </c>
    </row>
    <row r="263" spans="2:16">
      <c r="B263" s="779"/>
      <c r="C263" s="779"/>
      <c r="D263" s="780"/>
      <c r="E263" s="780"/>
      <c r="F263" s="780"/>
      <c r="G263" s="780"/>
      <c r="H263" s="780"/>
      <c r="I263" s="780"/>
      <c r="J263" s="780"/>
      <c r="K263" s="780"/>
      <c r="L263" s="780"/>
      <c r="M263" s="780"/>
      <c r="N263" s="780"/>
      <c r="O263" s="780"/>
      <c r="P263" s="780"/>
    </row>
    <row r="264" spans="2:16" ht="84">
      <c r="C264" s="1210" t="s">
        <v>831</v>
      </c>
      <c r="D264" s="1210"/>
      <c r="E264" s="938" t="s">
        <v>459</v>
      </c>
      <c r="F264" s="938" t="s">
        <v>460</v>
      </c>
      <c r="G264" s="1292" t="s">
        <v>461</v>
      </c>
      <c r="K264" s="780"/>
      <c r="L264" s="780"/>
      <c r="M264" s="780"/>
      <c r="N264" s="780"/>
      <c r="O264" s="780"/>
      <c r="P264" s="780"/>
    </row>
    <row r="265" spans="2:16" ht="23.25">
      <c r="C265" s="946" t="str">
        <f>+B260</f>
        <v>S. ONCOLÓGICO</v>
      </c>
      <c r="D265" s="946" t="s">
        <v>420</v>
      </c>
      <c r="E265" s="219">
        <f>D251</f>
        <v>23.998000000000001</v>
      </c>
      <c r="F265" s="301">
        <f>P251</f>
        <v>287.97599999999994</v>
      </c>
      <c r="G265" s="1292"/>
      <c r="K265" s="780"/>
      <c r="L265" s="780"/>
      <c r="M265" s="780"/>
      <c r="N265" s="780"/>
      <c r="O265" s="780"/>
      <c r="P265" s="780"/>
    </row>
    <row r="266" spans="2:16" ht="23.25">
      <c r="C266" s="946" t="str">
        <f>+B261</f>
        <v>S. ENDOCRINO</v>
      </c>
      <c r="D266" s="946" t="s">
        <v>420</v>
      </c>
      <c r="E266" s="219">
        <f>D252</f>
        <v>31.999700000000001</v>
      </c>
      <c r="F266" s="301">
        <f>P252</f>
        <v>383.99640000000005</v>
      </c>
      <c r="G266" s="1292"/>
      <c r="K266" s="780"/>
      <c r="L266" s="780"/>
      <c r="M266" s="780"/>
      <c r="N266" s="780"/>
      <c r="O266" s="780"/>
      <c r="P266" s="780"/>
    </row>
    <row r="267" spans="2:16" ht="29.25" customHeight="1">
      <c r="C267" s="946" t="str">
        <f>+B262</f>
        <v>S. IMPORTACIÓN</v>
      </c>
      <c r="D267" s="946" t="s">
        <v>420</v>
      </c>
      <c r="E267" s="219">
        <f>+D253</f>
        <v>15</v>
      </c>
      <c r="F267" s="301">
        <f>+P200</f>
        <v>383.99640000000005</v>
      </c>
      <c r="G267" s="1292"/>
      <c r="K267" s="780"/>
      <c r="L267" s="780"/>
      <c r="M267" s="780"/>
      <c r="N267" s="780"/>
      <c r="O267" s="780"/>
      <c r="P267" s="780"/>
    </row>
    <row r="268" spans="2:16" ht="23.25">
      <c r="C268" s="302"/>
      <c r="D268" s="302"/>
      <c r="E268" s="303"/>
      <c r="F268" s="276"/>
      <c r="G268" s="1292"/>
      <c r="K268" s="780"/>
      <c r="L268" s="780"/>
      <c r="M268" s="780"/>
      <c r="N268" s="780"/>
      <c r="O268" s="780"/>
      <c r="P268" s="780"/>
    </row>
    <row r="269" spans="2:16" ht="93">
      <c r="C269" s="1210" t="s">
        <v>832</v>
      </c>
      <c r="D269" s="1210"/>
      <c r="E269" s="943" t="s">
        <v>463</v>
      </c>
      <c r="F269" s="304" t="s">
        <v>464</v>
      </c>
      <c r="G269" s="1292"/>
      <c r="K269" s="780"/>
      <c r="L269" s="780"/>
      <c r="M269" s="780"/>
      <c r="N269" s="780"/>
      <c r="O269" s="780"/>
      <c r="P269" s="780"/>
    </row>
    <row r="270" spans="2:16" ht="23.25">
      <c r="C270" s="946" t="str">
        <f>+C265</f>
        <v>S. ONCOLÓGICO</v>
      </c>
      <c r="D270" s="946" t="s">
        <v>135</v>
      </c>
      <c r="E270" s="305">
        <f>D260</f>
        <v>31288.592400000001</v>
      </c>
      <c r="F270" s="262">
        <f>P260</f>
        <v>375463.10880000005</v>
      </c>
      <c r="G270" s="1292"/>
      <c r="K270" s="780"/>
      <c r="L270" s="780"/>
      <c r="M270" s="780"/>
      <c r="N270" s="780"/>
      <c r="O270" s="780"/>
      <c r="P270" s="780"/>
    </row>
    <row r="271" spans="2:16" ht="23.25">
      <c r="C271" s="946" t="str">
        <f>+C266</f>
        <v>S. ENDOCRINO</v>
      </c>
      <c r="D271" s="946" t="s">
        <v>135</v>
      </c>
      <c r="E271" s="305">
        <f>D261</f>
        <v>25721.35886</v>
      </c>
      <c r="F271" s="262">
        <f>P261</f>
        <v>308656.30632000003</v>
      </c>
      <c r="G271" s="1292"/>
    </row>
    <row r="272" spans="2:16" ht="30.75" customHeight="1">
      <c r="C272" s="946" t="str">
        <f>+C267</f>
        <v>S. IMPORTACIÓN</v>
      </c>
      <c r="D272" s="946" t="s">
        <v>135</v>
      </c>
      <c r="E272" s="306">
        <f>+D262</f>
        <v>0</v>
      </c>
      <c r="F272" s="307">
        <f>+P262</f>
        <v>0</v>
      </c>
      <c r="G272" s="1292"/>
    </row>
    <row r="273" spans="1:18" ht="23.25">
      <c r="C273" s="203"/>
      <c r="D273" s="946" t="s">
        <v>183</v>
      </c>
      <c r="E273" s="305">
        <f>SUM(E270:E272)</f>
        <v>57009.951260000002</v>
      </c>
      <c r="F273" s="262">
        <f>SUM(F270:F272)</f>
        <v>684119.41512000002</v>
      </c>
      <c r="G273" s="1292"/>
    </row>
    <row r="274" spans="1:18">
      <c r="C274" s="779"/>
      <c r="D274" s="781"/>
      <c r="E274" s="781"/>
      <c r="F274" s="669"/>
      <c r="G274" s="670"/>
      <c r="H274" s="634"/>
    </row>
    <row r="277" spans="1:18" s="192" customFormat="1" ht="52.5">
      <c r="B277" s="308" t="s">
        <v>465</v>
      </c>
    </row>
    <row r="278" spans="1:18" s="192" customFormat="1" ht="44.25" customHeight="1">
      <c r="A278" s="309">
        <v>3</v>
      </c>
      <c r="B278" s="1102" t="s">
        <v>466</v>
      </c>
      <c r="C278" s="1112"/>
      <c r="D278" s="1112"/>
      <c r="E278" s="1112"/>
      <c r="F278" s="1103"/>
      <c r="G278" s="303"/>
      <c r="H278" s="303"/>
      <c r="I278" s="303"/>
      <c r="J278" s="310"/>
      <c r="K278" s="310"/>
      <c r="L278" s="310"/>
      <c r="M278" s="310"/>
      <c r="N278" s="310"/>
      <c r="O278" s="310"/>
      <c r="P278" s="310"/>
      <c r="Q278" s="310"/>
      <c r="R278" s="310"/>
    </row>
    <row r="279" spans="1:18" s="192" customFormat="1" ht="23.25">
      <c r="A279" s="207"/>
      <c r="B279" s="206"/>
      <c r="C279" s="206"/>
      <c r="D279" s="206"/>
      <c r="E279" s="206"/>
      <c r="F279" s="302"/>
      <c r="G279" s="302"/>
      <c r="H279" s="302"/>
      <c r="I279" s="302"/>
      <c r="J279" s="310"/>
      <c r="K279" s="310"/>
      <c r="L279" s="310"/>
      <c r="M279" s="310"/>
      <c r="N279" s="310"/>
      <c r="O279" s="310"/>
      <c r="P279" s="310"/>
      <c r="Q279" s="310"/>
      <c r="R279" s="310"/>
    </row>
    <row r="280" spans="1:18" s="192" customFormat="1" ht="23.25">
      <c r="A280" s="215"/>
      <c r="B280" s="203"/>
      <c r="C280" s="943" t="s">
        <v>284</v>
      </c>
      <c r="D280" s="943" t="s">
        <v>285</v>
      </c>
      <c r="E280" s="943" t="s">
        <v>286</v>
      </c>
      <c r="F280" s="311"/>
      <c r="G280" s="302"/>
      <c r="H280" s="302"/>
      <c r="I280" s="302"/>
      <c r="J280" s="310"/>
      <c r="K280" s="310"/>
      <c r="L280" s="310"/>
      <c r="M280" s="310"/>
      <c r="N280" s="310"/>
      <c r="O280" s="310"/>
      <c r="P280" s="310"/>
      <c r="Q280" s="310"/>
      <c r="R280" s="310"/>
    </row>
    <row r="281" spans="1:18" s="192" customFormat="1" ht="23.25">
      <c r="A281" s="215"/>
      <c r="B281" s="203"/>
      <c r="C281" s="203"/>
      <c r="D281" s="203"/>
      <c r="E281" s="943" t="s">
        <v>467</v>
      </c>
      <c r="F281" s="943" t="s">
        <v>187</v>
      </c>
      <c r="G281" s="943" t="s">
        <v>188</v>
      </c>
      <c r="H281" s="943" t="s">
        <v>189</v>
      </c>
      <c r="I281" s="943" t="s">
        <v>190</v>
      </c>
      <c r="J281" s="938" t="s">
        <v>191</v>
      </c>
      <c r="K281" s="938" t="s">
        <v>192</v>
      </c>
      <c r="L281" s="938" t="s">
        <v>193</v>
      </c>
      <c r="M281" s="938" t="s">
        <v>468</v>
      </c>
      <c r="N281" s="938" t="s">
        <v>195</v>
      </c>
      <c r="O281" s="938" t="s">
        <v>196</v>
      </c>
      <c r="P281" s="938" t="s">
        <v>197</v>
      </c>
      <c r="Q281" s="938" t="s">
        <v>181</v>
      </c>
      <c r="R281" s="243" t="s">
        <v>287</v>
      </c>
    </row>
    <row r="282" spans="1:18" s="192" customFormat="1" ht="23.25">
      <c r="A282" s="215"/>
      <c r="B282" s="203" t="s">
        <v>469</v>
      </c>
      <c r="C282" s="312">
        <v>1008.1656000000003</v>
      </c>
      <c r="D282" s="312"/>
      <c r="E282" s="246">
        <f>C282</f>
        <v>1008.1656000000003</v>
      </c>
      <c r="F282" s="313">
        <f t="shared" ref="F282:P294" si="19">E282</f>
        <v>1008.1656000000003</v>
      </c>
      <c r="G282" s="313">
        <f t="shared" si="19"/>
        <v>1008.1656000000003</v>
      </c>
      <c r="H282" s="313">
        <f t="shared" si="19"/>
        <v>1008.1656000000003</v>
      </c>
      <c r="I282" s="313">
        <f t="shared" si="19"/>
        <v>1008.1656000000003</v>
      </c>
      <c r="J282" s="314">
        <f t="shared" si="19"/>
        <v>1008.1656000000003</v>
      </c>
      <c r="K282" s="314">
        <f t="shared" si="19"/>
        <v>1008.1656000000003</v>
      </c>
      <c r="L282" s="314">
        <f t="shared" si="19"/>
        <v>1008.1656000000003</v>
      </c>
      <c r="M282" s="314">
        <f t="shared" si="19"/>
        <v>1008.1656000000003</v>
      </c>
      <c r="N282" s="314">
        <f t="shared" si="19"/>
        <v>1008.1656000000003</v>
      </c>
      <c r="O282" s="314">
        <f t="shared" si="19"/>
        <v>1008.1656000000003</v>
      </c>
      <c r="P282" s="314">
        <f t="shared" si="19"/>
        <v>1008.1656000000003</v>
      </c>
      <c r="Q282" s="315">
        <f>SUM(E282:P282)</f>
        <v>12097.987200000003</v>
      </c>
      <c r="R282" s="316">
        <f t="shared" ref="R282:R294" si="20">E282*12</f>
        <v>12097.987200000003</v>
      </c>
    </row>
    <row r="283" spans="1:18" s="192" customFormat="1" ht="23.25">
      <c r="A283" s="215"/>
      <c r="B283" s="203" t="s">
        <v>470</v>
      </c>
      <c r="C283" s="312">
        <v>200</v>
      </c>
      <c r="D283" s="312"/>
      <c r="E283" s="246">
        <f t="shared" ref="E283:E288" si="21">C283</f>
        <v>200</v>
      </c>
      <c r="F283" s="313">
        <f t="shared" si="19"/>
        <v>200</v>
      </c>
      <c r="G283" s="313">
        <f t="shared" si="19"/>
        <v>200</v>
      </c>
      <c r="H283" s="313">
        <f t="shared" si="19"/>
        <v>200</v>
      </c>
      <c r="I283" s="313">
        <f t="shared" si="19"/>
        <v>200</v>
      </c>
      <c r="J283" s="314">
        <f t="shared" si="19"/>
        <v>200</v>
      </c>
      <c r="K283" s="314">
        <f t="shared" si="19"/>
        <v>200</v>
      </c>
      <c r="L283" s="314">
        <f t="shared" si="19"/>
        <v>200</v>
      </c>
      <c r="M283" s="314">
        <f t="shared" si="19"/>
        <v>200</v>
      </c>
      <c r="N283" s="314">
        <f t="shared" si="19"/>
        <v>200</v>
      </c>
      <c r="O283" s="314">
        <f t="shared" si="19"/>
        <v>200</v>
      </c>
      <c r="P283" s="314">
        <f t="shared" si="19"/>
        <v>200</v>
      </c>
      <c r="Q283" s="315">
        <f t="shared" ref="Q283:Q294" si="22">SUM(E283:P283)</f>
        <v>2400</v>
      </c>
      <c r="R283" s="316">
        <f t="shared" si="20"/>
        <v>2400</v>
      </c>
    </row>
    <row r="284" spans="1:18" s="192" customFormat="1" ht="23.25">
      <c r="A284" s="215"/>
      <c r="B284" s="203" t="s">
        <v>288</v>
      </c>
      <c r="C284" s="312">
        <v>1000</v>
      </c>
      <c r="D284" s="312"/>
      <c r="E284" s="246">
        <f t="shared" si="21"/>
        <v>1000</v>
      </c>
      <c r="F284" s="313">
        <f t="shared" si="19"/>
        <v>1000</v>
      </c>
      <c r="G284" s="313">
        <f t="shared" si="19"/>
        <v>1000</v>
      </c>
      <c r="H284" s="313">
        <f t="shared" si="19"/>
        <v>1000</v>
      </c>
      <c r="I284" s="313">
        <f t="shared" si="19"/>
        <v>1000</v>
      </c>
      <c r="J284" s="314">
        <f t="shared" si="19"/>
        <v>1000</v>
      </c>
      <c r="K284" s="314">
        <f t="shared" si="19"/>
        <v>1000</v>
      </c>
      <c r="L284" s="314">
        <f t="shared" si="19"/>
        <v>1000</v>
      </c>
      <c r="M284" s="314">
        <f t="shared" si="19"/>
        <v>1000</v>
      </c>
      <c r="N284" s="314">
        <f t="shared" si="19"/>
        <v>1000</v>
      </c>
      <c r="O284" s="314">
        <f t="shared" si="19"/>
        <v>1000</v>
      </c>
      <c r="P284" s="314">
        <f t="shared" si="19"/>
        <v>1000</v>
      </c>
      <c r="Q284" s="315">
        <f t="shared" si="22"/>
        <v>12000</v>
      </c>
      <c r="R284" s="316">
        <f t="shared" si="20"/>
        <v>12000</v>
      </c>
    </row>
    <row r="285" spans="1:18" s="192" customFormat="1" ht="23.25">
      <c r="A285" s="215"/>
      <c r="B285" s="203" t="s">
        <v>471</v>
      </c>
      <c r="C285" s="317">
        <v>82.25</v>
      </c>
      <c r="D285" s="312"/>
      <c r="E285" s="246">
        <f t="shared" si="21"/>
        <v>82.25</v>
      </c>
      <c r="F285" s="313">
        <f t="shared" si="19"/>
        <v>82.25</v>
      </c>
      <c r="G285" s="313">
        <f t="shared" si="19"/>
        <v>82.25</v>
      </c>
      <c r="H285" s="313">
        <f t="shared" si="19"/>
        <v>82.25</v>
      </c>
      <c r="I285" s="313">
        <f t="shared" si="19"/>
        <v>82.25</v>
      </c>
      <c r="J285" s="313">
        <f t="shared" si="19"/>
        <v>82.25</v>
      </c>
      <c r="K285" s="313">
        <f t="shared" si="19"/>
        <v>82.25</v>
      </c>
      <c r="L285" s="313">
        <f t="shared" si="19"/>
        <v>82.25</v>
      </c>
      <c r="M285" s="313">
        <f t="shared" si="19"/>
        <v>82.25</v>
      </c>
      <c r="N285" s="313">
        <f t="shared" si="19"/>
        <v>82.25</v>
      </c>
      <c r="O285" s="313">
        <f t="shared" si="19"/>
        <v>82.25</v>
      </c>
      <c r="P285" s="313">
        <f t="shared" si="19"/>
        <v>82.25</v>
      </c>
      <c r="Q285" s="315">
        <f t="shared" si="22"/>
        <v>987</v>
      </c>
      <c r="R285" s="316">
        <f t="shared" si="20"/>
        <v>987</v>
      </c>
    </row>
    <row r="286" spans="1:18" s="192" customFormat="1" ht="46.5">
      <c r="A286" s="318"/>
      <c r="B286" s="203" t="s">
        <v>472</v>
      </c>
      <c r="C286" s="312">
        <v>157.9</v>
      </c>
      <c r="D286" s="312"/>
      <c r="E286" s="246">
        <f t="shared" si="21"/>
        <v>157.9</v>
      </c>
      <c r="F286" s="313">
        <f t="shared" si="19"/>
        <v>157.9</v>
      </c>
      <c r="G286" s="313">
        <f t="shared" si="19"/>
        <v>157.9</v>
      </c>
      <c r="H286" s="313">
        <f t="shared" si="19"/>
        <v>157.9</v>
      </c>
      <c r="I286" s="313">
        <f t="shared" si="19"/>
        <v>157.9</v>
      </c>
      <c r="J286" s="314">
        <f t="shared" si="19"/>
        <v>157.9</v>
      </c>
      <c r="K286" s="314">
        <f t="shared" si="19"/>
        <v>157.9</v>
      </c>
      <c r="L286" s="314">
        <f t="shared" si="19"/>
        <v>157.9</v>
      </c>
      <c r="M286" s="314">
        <f t="shared" si="19"/>
        <v>157.9</v>
      </c>
      <c r="N286" s="314">
        <f t="shared" si="19"/>
        <v>157.9</v>
      </c>
      <c r="O286" s="314">
        <f t="shared" si="19"/>
        <v>157.9</v>
      </c>
      <c r="P286" s="314">
        <f t="shared" si="19"/>
        <v>157.9</v>
      </c>
      <c r="Q286" s="315">
        <f t="shared" si="22"/>
        <v>1894.8000000000004</v>
      </c>
      <c r="R286" s="316">
        <f t="shared" si="20"/>
        <v>1894.8000000000002</v>
      </c>
    </row>
    <row r="287" spans="1:18" s="192" customFormat="1" ht="46.5">
      <c r="A287" s="215"/>
      <c r="B287" s="203" t="s">
        <v>289</v>
      </c>
      <c r="C287" s="317">
        <v>83.333333333333329</v>
      </c>
      <c r="D287" s="312"/>
      <c r="E287" s="246">
        <f t="shared" si="21"/>
        <v>83.333333333333329</v>
      </c>
      <c r="F287" s="313">
        <f t="shared" si="19"/>
        <v>83.333333333333329</v>
      </c>
      <c r="G287" s="313">
        <f t="shared" si="19"/>
        <v>83.333333333333329</v>
      </c>
      <c r="H287" s="313">
        <f t="shared" si="19"/>
        <v>83.333333333333329</v>
      </c>
      <c r="I287" s="313">
        <f t="shared" si="19"/>
        <v>83.333333333333329</v>
      </c>
      <c r="J287" s="314">
        <f t="shared" si="19"/>
        <v>83.333333333333329</v>
      </c>
      <c r="K287" s="314">
        <f t="shared" si="19"/>
        <v>83.333333333333329</v>
      </c>
      <c r="L287" s="314">
        <f t="shared" si="19"/>
        <v>83.333333333333329</v>
      </c>
      <c r="M287" s="314">
        <f t="shared" si="19"/>
        <v>83.333333333333329</v>
      </c>
      <c r="N287" s="314">
        <f t="shared" si="19"/>
        <v>83.333333333333329</v>
      </c>
      <c r="O287" s="314">
        <f t="shared" si="19"/>
        <v>83.333333333333329</v>
      </c>
      <c r="P287" s="314">
        <f t="shared" si="19"/>
        <v>83.333333333333329</v>
      </c>
      <c r="Q287" s="315">
        <f t="shared" si="22"/>
        <v>1000.0000000000001</v>
      </c>
      <c r="R287" s="316">
        <f t="shared" si="20"/>
        <v>1000</v>
      </c>
    </row>
    <row r="288" spans="1:18" s="192" customFormat="1" ht="23.25">
      <c r="A288" s="215"/>
      <c r="B288" s="203" t="s">
        <v>473</v>
      </c>
      <c r="C288" s="317">
        <v>1800</v>
      </c>
      <c r="D288" s="312"/>
      <c r="E288" s="246">
        <f t="shared" si="21"/>
        <v>1800</v>
      </c>
      <c r="F288" s="313">
        <f t="shared" si="19"/>
        <v>1800</v>
      </c>
      <c r="G288" s="313">
        <f t="shared" si="19"/>
        <v>1800</v>
      </c>
      <c r="H288" s="313">
        <f t="shared" si="19"/>
        <v>1800</v>
      </c>
      <c r="I288" s="313">
        <f t="shared" si="19"/>
        <v>1800</v>
      </c>
      <c r="J288" s="314">
        <f t="shared" si="19"/>
        <v>1800</v>
      </c>
      <c r="K288" s="314">
        <f t="shared" si="19"/>
        <v>1800</v>
      </c>
      <c r="L288" s="314">
        <f t="shared" si="19"/>
        <v>1800</v>
      </c>
      <c r="M288" s="314">
        <f t="shared" si="19"/>
        <v>1800</v>
      </c>
      <c r="N288" s="314">
        <f t="shared" si="19"/>
        <v>1800</v>
      </c>
      <c r="O288" s="314">
        <f t="shared" si="19"/>
        <v>1800</v>
      </c>
      <c r="P288" s="314">
        <f t="shared" si="19"/>
        <v>1800</v>
      </c>
      <c r="Q288" s="315">
        <f t="shared" si="22"/>
        <v>21600</v>
      </c>
      <c r="R288" s="316">
        <f t="shared" si="20"/>
        <v>21600</v>
      </c>
    </row>
    <row r="289" spans="1:19" s="192" customFormat="1" ht="23.25">
      <c r="A289" s="215"/>
      <c r="B289" s="203" t="s">
        <v>290</v>
      </c>
      <c r="C289" s="312">
        <v>10100</v>
      </c>
      <c r="D289" s="312"/>
      <c r="E289" s="246">
        <f>C289</f>
        <v>10100</v>
      </c>
      <c r="F289" s="313">
        <f t="shared" si="19"/>
        <v>10100</v>
      </c>
      <c r="G289" s="313">
        <f t="shared" si="19"/>
        <v>10100</v>
      </c>
      <c r="H289" s="313">
        <f t="shared" si="19"/>
        <v>10100</v>
      </c>
      <c r="I289" s="313">
        <f t="shared" si="19"/>
        <v>10100</v>
      </c>
      <c r="J289" s="314">
        <f t="shared" si="19"/>
        <v>10100</v>
      </c>
      <c r="K289" s="314">
        <f t="shared" si="19"/>
        <v>10100</v>
      </c>
      <c r="L289" s="314">
        <f t="shared" si="19"/>
        <v>10100</v>
      </c>
      <c r="M289" s="314">
        <f t="shared" si="19"/>
        <v>10100</v>
      </c>
      <c r="N289" s="314">
        <f t="shared" si="19"/>
        <v>10100</v>
      </c>
      <c r="O289" s="314">
        <f t="shared" si="19"/>
        <v>10100</v>
      </c>
      <c r="P289" s="314">
        <f t="shared" si="19"/>
        <v>10100</v>
      </c>
      <c r="Q289" s="315">
        <f t="shared" si="22"/>
        <v>121200</v>
      </c>
      <c r="R289" s="316">
        <f t="shared" si="20"/>
        <v>121200</v>
      </c>
    </row>
    <row r="290" spans="1:19" s="192" customFormat="1" ht="23.25">
      <c r="A290" s="215"/>
      <c r="B290" s="203" t="s">
        <v>291</v>
      </c>
      <c r="C290" s="312">
        <f>15.7*2*30</f>
        <v>942</v>
      </c>
      <c r="D290" s="312"/>
      <c r="E290" s="319">
        <f>+C290</f>
        <v>942</v>
      </c>
      <c r="F290" s="313">
        <f t="shared" si="19"/>
        <v>942</v>
      </c>
      <c r="G290" s="313">
        <f t="shared" si="19"/>
        <v>942</v>
      </c>
      <c r="H290" s="313">
        <f t="shared" si="19"/>
        <v>942</v>
      </c>
      <c r="I290" s="313">
        <f t="shared" si="19"/>
        <v>942</v>
      </c>
      <c r="J290" s="314">
        <f t="shared" si="19"/>
        <v>942</v>
      </c>
      <c r="K290" s="314">
        <f t="shared" si="19"/>
        <v>942</v>
      </c>
      <c r="L290" s="314">
        <f t="shared" si="19"/>
        <v>942</v>
      </c>
      <c r="M290" s="314">
        <f t="shared" si="19"/>
        <v>942</v>
      </c>
      <c r="N290" s="314">
        <f t="shared" si="19"/>
        <v>942</v>
      </c>
      <c r="O290" s="314">
        <f t="shared" si="19"/>
        <v>942</v>
      </c>
      <c r="P290" s="314">
        <f t="shared" si="19"/>
        <v>942</v>
      </c>
      <c r="Q290" s="315">
        <f t="shared" si="22"/>
        <v>11304</v>
      </c>
      <c r="R290" s="316">
        <f t="shared" si="20"/>
        <v>11304</v>
      </c>
    </row>
    <row r="291" spans="1:19" s="192" customFormat="1" ht="23.25">
      <c r="A291" s="215"/>
      <c r="B291" s="203" t="s">
        <v>292</v>
      </c>
      <c r="C291" s="312">
        <v>1200</v>
      </c>
      <c r="D291" s="312"/>
      <c r="E291" s="246">
        <f>C291</f>
        <v>1200</v>
      </c>
      <c r="F291" s="313">
        <f t="shared" si="19"/>
        <v>1200</v>
      </c>
      <c r="G291" s="313">
        <f t="shared" si="19"/>
        <v>1200</v>
      </c>
      <c r="H291" s="313">
        <f t="shared" si="19"/>
        <v>1200</v>
      </c>
      <c r="I291" s="313">
        <f t="shared" si="19"/>
        <v>1200</v>
      </c>
      <c r="J291" s="314">
        <f t="shared" si="19"/>
        <v>1200</v>
      </c>
      <c r="K291" s="314">
        <f t="shared" si="19"/>
        <v>1200</v>
      </c>
      <c r="L291" s="314">
        <f t="shared" si="19"/>
        <v>1200</v>
      </c>
      <c r="M291" s="314">
        <f t="shared" si="19"/>
        <v>1200</v>
      </c>
      <c r="N291" s="314">
        <f t="shared" si="19"/>
        <v>1200</v>
      </c>
      <c r="O291" s="314">
        <f t="shared" si="19"/>
        <v>1200</v>
      </c>
      <c r="P291" s="314">
        <f t="shared" si="19"/>
        <v>1200</v>
      </c>
      <c r="Q291" s="315">
        <f t="shared" si="22"/>
        <v>14400</v>
      </c>
      <c r="R291" s="316">
        <f t="shared" si="20"/>
        <v>14400</v>
      </c>
    </row>
    <row r="292" spans="1:19" s="192" customFormat="1" ht="23.25">
      <c r="A292" s="215"/>
      <c r="B292" s="203" t="s">
        <v>474</v>
      </c>
      <c r="C292" s="312">
        <v>1500</v>
      </c>
      <c r="D292" s="312"/>
      <c r="E292" s="246">
        <f>C292</f>
        <v>1500</v>
      </c>
      <c r="F292" s="313">
        <f t="shared" si="19"/>
        <v>1500</v>
      </c>
      <c r="G292" s="313">
        <f t="shared" si="19"/>
        <v>1500</v>
      </c>
      <c r="H292" s="313">
        <f t="shared" si="19"/>
        <v>1500</v>
      </c>
      <c r="I292" s="313">
        <f t="shared" si="19"/>
        <v>1500</v>
      </c>
      <c r="J292" s="314">
        <f t="shared" si="19"/>
        <v>1500</v>
      </c>
      <c r="K292" s="314">
        <f t="shared" si="19"/>
        <v>1500</v>
      </c>
      <c r="L292" s="314">
        <f t="shared" si="19"/>
        <v>1500</v>
      </c>
      <c r="M292" s="314">
        <f t="shared" si="19"/>
        <v>1500</v>
      </c>
      <c r="N292" s="314">
        <f t="shared" si="19"/>
        <v>1500</v>
      </c>
      <c r="O292" s="314">
        <f t="shared" si="19"/>
        <v>1500</v>
      </c>
      <c r="P292" s="314">
        <f t="shared" si="19"/>
        <v>1500</v>
      </c>
      <c r="Q292" s="315">
        <f t="shared" si="22"/>
        <v>18000</v>
      </c>
      <c r="R292" s="316">
        <f t="shared" si="20"/>
        <v>18000</v>
      </c>
    </row>
    <row r="293" spans="1:19" s="192" customFormat="1" ht="23.25">
      <c r="A293" s="215"/>
      <c r="B293" s="203" t="s">
        <v>475</v>
      </c>
      <c r="C293" s="312">
        <v>500</v>
      </c>
      <c r="D293" s="312"/>
      <c r="E293" s="246">
        <f>C293</f>
        <v>500</v>
      </c>
      <c r="F293" s="313">
        <f t="shared" si="19"/>
        <v>500</v>
      </c>
      <c r="G293" s="313">
        <f t="shared" si="19"/>
        <v>500</v>
      </c>
      <c r="H293" s="313">
        <f t="shared" si="19"/>
        <v>500</v>
      </c>
      <c r="I293" s="313">
        <f t="shared" si="19"/>
        <v>500</v>
      </c>
      <c r="J293" s="314">
        <f t="shared" si="19"/>
        <v>500</v>
      </c>
      <c r="K293" s="314">
        <f t="shared" si="19"/>
        <v>500</v>
      </c>
      <c r="L293" s="314">
        <f t="shared" si="19"/>
        <v>500</v>
      </c>
      <c r="M293" s="314">
        <f t="shared" si="19"/>
        <v>500</v>
      </c>
      <c r="N293" s="314">
        <f t="shared" si="19"/>
        <v>500</v>
      </c>
      <c r="O293" s="314">
        <f t="shared" si="19"/>
        <v>500</v>
      </c>
      <c r="P293" s="314">
        <f t="shared" si="19"/>
        <v>500</v>
      </c>
      <c r="Q293" s="315">
        <f t="shared" si="22"/>
        <v>6000</v>
      </c>
      <c r="R293" s="316">
        <f t="shared" si="20"/>
        <v>6000</v>
      </c>
    </row>
    <row r="294" spans="1:19" s="192" customFormat="1" ht="46.5">
      <c r="A294" s="215"/>
      <c r="B294" s="203" t="s">
        <v>293</v>
      </c>
      <c r="C294" s="317">
        <v>500</v>
      </c>
      <c r="D294" s="203"/>
      <c r="E294" s="246">
        <f>C294</f>
        <v>500</v>
      </c>
      <c r="F294" s="313">
        <f t="shared" si="19"/>
        <v>500</v>
      </c>
      <c r="G294" s="313">
        <f t="shared" si="19"/>
        <v>500</v>
      </c>
      <c r="H294" s="313">
        <f t="shared" si="19"/>
        <v>500</v>
      </c>
      <c r="I294" s="313">
        <f t="shared" si="19"/>
        <v>500</v>
      </c>
      <c r="J294" s="314">
        <f t="shared" si="19"/>
        <v>500</v>
      </c>
      <c r="K294" s="314">
        <f t="shared" si="19"/>
        <v>500</v>
      </c>
      <c r="L294" s="314">
        <f t="shared" si="19"/>
        <v>500</v>
      </c>
      <c r="M294" s="314">
        <f t="shared" si="19"/>
        <v>500</v>
      </c>
      <c r="N294" s="314">
        <f t="shared" si="19"/>
        <v>500</v>
      </c>
      <c r="O294" s="314">
        <f t="shared" si="19"/>
        <v>500</v>
      </c>
      <c r="P294" s="314">
        <f t="shared" si="19"/>
        <v>500</v>
      </c>
      <c r="Q294" s="315">
        <f t="shared" si="22"/>
        <v>6000</v>
      </c>
      <c r="R294" s="316">
        <f t="shared" si="20"/>
        <v>6000</v>
      </c>
    </row>
    <row r="295" spans="1:19" s="192" customFormat="1" ht="51" customHeight="1">
      <c r="A295" s="215"/>
      <c r="B295" s="1102" t="s">
        <v>476</v>
      </c>
      <c r="C295" s="1112"/>
      <c r="D295" s="1103"/>
      <c r="E295" s="320">
        <f t="shared" ref="E295:R295" si="23">SUM(E282:E294)</f>
        <v>19073.648933333334</v>
      </c>
      <c r="F295" s="320">
        <f t="shared" si="23"/>
        <v>19073.648933333334</v>
      </c>
      <c r="G295" s="320">
        <f t="shared" si="23"/>
        <v>19073.648933333334</v>
      </c>
      <c r="H295" s="320">
        <f t="shared" si="23"/>
        <v>19073.648933333334</v>
      </c>
      <c r="I295" s="320">
        <f t="shared" si="23"/>
        <v>19073.648933333334</v>
      </c>
      <c r="J295" s="320">
        <f t="shared" si="23"/>
        <v>19073.648933333334</v>
      </c>
      <c r="K295" s="283">
        <f t="shared" si="23"/>
        <v>19073.648933333334</v>
      </c>
      <c r="L295" s="283">
        <f t="shared" si="23"/>
        <v>19073.648933333334</v>
      </c>
      <c r="M295" s="283">
        <f t="shared" si="23"/>
        <v>19073.648933333334</v>
      </c>
      <c r="N295" s="283">
        <f t="shared" si="23"/>
        <v>19073.648933333334</v>
      </c>
      <c r="O295" s="283">
        <f t="shared" si="23"/>
        <v>19073.648933333334</v>
      </c>
      <c r="P295" s="283">
        <f t="shared" si="23"/>
        <v>19073.648933333334</v>
      </c>
      <c r="Q295" s="321">
        <f t="shared" si="23"/>
        <v>228883.78720000002</v>
      </c>
      <c r="R295" s="322">
        <f t="shared" si="23"/>
        <v>228883.78720000002</v>
      </c>
    </row>
    <row r="296" spans="1:19" s="192" customFormat="1" ht="23.25">
      <c r="A296" s="215"/>
      <c r="B296" s="203"/>
      <c r="C296" s="203"/>
      <c r="D296" s="203"/>
      <c r="E296" s="203"/>
      <c r="F296" s="313">
        <f>E296</f>
        <v>0</v>
      </c>
      <c r="G296" s="302"/>
      <c r="H296" s="302"/>
      <c r="I296" s="302"/>
      <c r="J296" s="310"/>
      <c r="K296" s="310"/>
      <c r="L296" s="310"/>
      <c r="M296" s="310"/>
      <c r="N296" s="310"/>
      <c r="O296" s="310"/>
      <c r="P296" s="310"/>
      <c r="Q296" s="302"/>
      <c r="R296" s="310"/>
    </row>
    <row r="297" spans="1:19" s="192" customFormat="1" ht="23.25">
      <c r="A297" s="215"/>
      <c r="B297" s="223" t="s">
        <v>294</v>
      </c>
      <c r="C297" s="203"/>
      <c r="D297" s="203"/>
      <c r="E297" s="323">
        <f>+'8'!$H$30</f>
        <v>737.42683333333343</v>
      </c>
      <c r="F297" s="323">
        <f>+'8'!$H$30</f>
        <v>737.42683333333343</v>
      </c>
      <c r="G297" s="323">
        <f>+'8'!$H$30</f>
        <v>737.42683333333343</v>
      </c>
      <c r="H297" s="323">
        <f>+'8'!$H$30</f>
        <v>737.42683333333343</v>
      </c>
      <c r="I297" s="323">
        <f>+'8'!$H$30</f>
        <v>737.42683333333343</v>
      </c>
      <c r="J297" s="323">
        <f>+'8'!$H$30</f>
        <v>737.42683333333343</v>
      </c>
      <c r="K297" s="323">
        <f>+'8'!$H$30</f>
        <v>737.42683333333343</v>
      </c>
      <c r="L297" s="323">
        <f>+'8'!$H$30</f>
        <v>737.42683333333343</v>
      </c>
      <c r="M297" s="323">
        <f>+'8'!$H$30</f>
        <v>737.42683333333343</v>
      </c>
      <c r="N297" s="323">
        <f>+'8'!$H$30</f>
        <v>737.42683333333343</v>
      </c>
      <c r="O297" s="323">
        <f>+'8'!$H$30</f>
        <v>737.42683333333343</v>
      </c>
      <c r="P297" s="323">
        <f>+'8'!$H$30</f>
        <v>737.42683333333343</v>
      </c>
      <c r="Q297" s="219">
        <f>SUM(E297:P297)</f>
        <v>8849.1219999999994</v>
      </c>
      <c r="R297" s="325">
        <f>Q297</f>
        <v>8849.1219999999994</v>
      </c>
    </row>
    <row r="298" spans="1:19" s="192" customFormat="1" ht="23.25">
      <c r="A298" s="215"/>
      <c r="B298" s="223" t="s">
        <v>295</v>
      </c>
      <c r="C298" s="203"/>
      <c r="D298" s="203"/>
      <c r="E298" s="323">
        <f>+'8'!$H$40</f>
        <v>45.179166666666667</v>
      </c>
      <c r="F298" s="323">
        <f>+'8'!$H$40</f>
        <v>45.179166666666667</v>
      </c>
      <c r="G298" s="323">
        <f>+'8'!$H$40</f>
        <v>45.179166666666667</v>
      </c>
      <c r="H298" s="323">
        <f>+'8'!$H$40</f>
        <v>45.179166666666667</v>
      </c>
      <c r="I298" s="323">
        <f>+'8'!$H$40</f>
        <v>45.179166666666667</v>
      </c>
      <c r="J298" s="323">
        <f>+'8'!$H$40</f>
        <v>45.179166666666667</v>
      </c>
      <c r="K298" s="323">
        <f>+'8'!$H$40</f>
        <v>45.179166666666667</v>
      </c>
      <c r="L298" s="323">
        <f>+'8'!$H$40</f>
        <v>45.179166666666667</v>
      </c>
      <c r="M298" s="323">
        <f>+'8'!$H$40</f>
        <v>45.179166666666667</v>
      </c>
      <c r="N298" s="323">
        <f>+'8'!$H$40</f>
        <v>45.179166666666667</v>
      </c>
      <c r="O298" s="323">
        <f>+'8'!$H$40</f>
        <v>45.179166666666667</v>
      </c>
      <c r="P298" s="323">
        <f>+'8'!$H$40</f>
        <v>45.179166666666667</v>
      </c>
      <c r="Q298" s="219">
        <f>SUM(E298:P298)</f>
        <v>542.15</v>
      </c>
      <c r="R298" s="325">
        <f>Q298</f>
        <v>542.15</v>
      </c>
    </row>
    <row r="299" spans="1:19" s="192" customFormat="1" ht="23.25">
      <c r="A299" s="215"/>
      <c r="B299" s="203"/>
      <c r="C299" s="203"/>
      <c r="D299" s="203"/>
      <c r="E299" s="203"/>
      <c r="F299" s="313">
        <f>E299</f>
        <v>0</v>
      </c>
      <c r="G299" s="302"/>
      <c r="H299" s="302"/>
      <c r="I299" s="302"/>
      <c r="J299" s="310"/>
      <c r="K299" s="310"/>
      <c r="L299" s="310"/>
      <c r="M299" s="310"/>
      <c r="N299" s="310"/>
      <c r="O299" s="310"/>
      <c r="P299" s="310"/>
      <c r="Q299" s="302"/>
      <c r="R299" s="310"/>
    </row>
    <row r="300" spans="1:19" s="192" customFormat="1" ht="69.75" customHeight="1">
      <c r="A300" s="215"/>
      <c r="B300" s="1102" t="s">
        <v>477</v>
      </c>
      <c r="C300" s="1112"/>
      <c r="D300" s="1103"/>
      <c r="E300" s="326">
        <f>E295+E297+E298</f>
        <v>19856.254933333334</v>
      </c>
      <c r="F300" s="326">
        <f>F295+F297+F298</f>
        <v>19856.254933333334</v>
      </c>
      <c r="G300" s="326">
        <f t="shared" ref="G300:Q300" si="24">G295+G297+G298</f>
        <v>19856.254933333334</v>
      </c>
      <c r="H300" s="326">
        <f t="shared" si="24"/>
        <v>19856.254933333334</v>
      </c>
      <c r="I300" s="326">
        <f t="shared" si="24"/>
        <v>19856.254933333334</v>
      </c>
      <c r="J300" s="327">
        <f t="shared" si="24"/>
        <v>19856.254933333334</v>
      </c>
      <c r="K300" s="327">
        <f t="shared" si="24"/>
        <v>19856.254933333334</v>
      </c>
      <c r="L300" s="327">
        <f t="shared" si="24"/>
        <v>19856.254933333334</v>
      </c>
      <c r="M300" s="327">
        <f t="shared" si="24"/>
        <v>19856.254933333334</v>
      </c>
      <c r="N300" s="327">
        <f t="shared" si="24"/>
        <v>19856.254933333334</v>
      </c>
      <c r="O300" s="327">
        <f t="shared" si="24"/>
        <v>19856.254933333334</v>
      </c>
      <c r="P300" s="327">
        <f t="shared" si="24"/>
        <v>19856.254933333334</v>
      </c>
      <c r="Q300" s="326">
        <f t="shared" si="24"/>
        <v>238275.05920000002</v>
      </c>
      <c r="R300" s="327">
        <f>R295+R297+R298</f>
        <v>238275.05920000002</v>
      </c>
    </row>
    <row r="301" spans="1:19" ht="70.5" customHeight="1">
      <c r="A301" s="761"/>
      <c r="B301" s="712"/>
      <c r="C301" s="712"/>
      <c r="D301" s="728"/>
      <c r="E301" s="795"/>
      <c r="F301" s="795"/>
      <c r="G301" s="795"/>
      <c r="H301" s="795"/>
      <c r="I301" s="795"/>
      <c r="J301" s="795"/>
      <c r="K301" s="795"/>
      <c r="L301" s="795"/>
      <c r="M301" s="795"/>
      <c r="N301" s="795"/>
      <c r="O301" s="795"/>
      <c r="P301" s="795"/>
      <c r="Q301" s="795"/>
      <c r="R301" s="795"/>
      <c r="S301" s="634"/>
    </row>
    <row r="302" spans="1:19" hidden="1">
      <c r="D302" s="635" t="s">
        <v>478</v>
      </c>
    </row>
    <row r="303" spans="1:19" ht="52.5">
      <c r="B303" s="796" t="s">
        <v>479</v>
      </c>
    </row>
    <row r="304" spans="1:19" ht="29.25" thickBot="1">
      <c r="A304" s="759">
        <v>4</v>
      </c>
      <c r="B304" s="1290" t="s">
        <v>480</v>
      </c>
      <c r="C304" s="1290"/>
      <c r="D304" s="1290"/>
      <c r="E304" s="1290"/>
      <c r="F304" s="1291"/>
      <c r="G304" s="1290"/>
      <c r="H304" s="634"/>
      <c r="I304" s="634"/>
    </row>
    <row r="305" spans="1:18" ht="27" thickBot="1">
      <c r="F305" s="797">
        <v>12</v>
      </c>
    </row>
    <row r="306" spans="1:18" ht="23.25">
      <c r="B306" s="637" t="s">
        <v>481</v>
      </c>
      <c r="C306" s="637" t="s">
        <v>301</v>
      </c>
      <c r="D306" s="637" t="s">
        <v>482</v>
      </c>
      <c r="E306" s="640" t="s">
        <v>483</v>
      </c>
      <c r="F306" s="714"/>
      <c r="Q306" s="798"/>
      <c r="R306" s="652" t="s">
        <v>484</v>
      </c>
    </row>
    <row r="307" spans="1:18" ht="23.25">
      <c r="B307" s="691"/>
      <c r="C307" s="691"/>
      <c r="D307" s="691"/>
      <c r="E307" s="637" t="s">
        <v>467</v>
      </c>
      <c r="F307" s="969" t="s">
        <v>187</v>
      </c>
      <c r="G307" s="646" t="s">
        <v>188</v>
      </c>
      <c r="H307" s="972" t="s">
        <v>189</v>
      </c>
      <c r="I307" s="646" t="s">
        <v>190</v>
      </c>
      <c r="J307" s="972" t="s">
        <v>191</v>
      </c>
      <c r="K307" s="646" t="s">
        <v>192</v>
      </c>
      <c r="L307" s="972" t="s">
        <v>193</v>
      </c>
      <c r="M307" s="646" t="s">
        <v>468</v>
      </c>
      <c r="N307" s="972" t="s">
        <v>195</v>
      </c>
      <c r="O307" s="646" t="s">
        <v>196</v>
      </c>
      <c r="P307" s="972" t="s">
        <v>197</v>
      </c>
      <c r="Q307" s="637" t="s">
        <v>198</v>
      </c>
      <c r="R307" s="652"/>
    </row>
    <row r="308" spans="1:18" ht="23.25">
      <c r="B308" s="312" t="s">
        <v>485</v>
      </c>
      <c r="C308" s="205">
        <v>1</v>
      </c>
      <c r="D308" s="312">
        <v>2500</v>
      </c>
      <c r="E308" s="312">
        <f>C308*D308</f>
        <v>2500</v>
      </c>
      <c r="F308" s="313">
        <f>E308</f>
        <v>2500</v>
      </c>
      <c r="G308" s="314">
        <f t="shared" ref="G308:P308" si="25">F308</f>
        <v>2500</v>
      </c>
      <c r="H308" s="314">
        <f t="shared" si="25"/>
        <v>2500</v>
      </c>
      <c r="I308" s="314">
        <f t="shared" si="25"/>
        <v>2500</v>
      </c>
      <c r="J308" s="314">
        <f t="shared" si="25"/>
        <v>2500</v>
      </c>
      <c r="K308" s="314">
        <f t="shared" si="25"/>
        <v>2500</v>
      </c>
      <c r="L308" s="314">
        <f t="shared" si="25"/>
        <v>2500</v>
      </c>
      <c r="M308" s="314">
        <f t="shared" si="25"/>
        <v>2500</v>
      </c>
      <c r="N308" s="314">
        <f t="shared" si="25"/>
        <v>2500</v>
      </c>
      <c r="O308" s="314">
        <f t="shared" si="25"/>
        <v>2500</v>
      </c>
      <c r="P308" s="314">
        <f t="shared" si="25"/>
        <v>2500</v>
      </c>
      <c r="Q308" s="740">
        <f>SUM(E308:P308)</f>
        <v>30000</v>
      </c>
      <c r="R308" s="671">
        <f t="shared" ref="R308:R313" si="26">E308*$F$305</f>
        <v>30000</v>
      </c>
    </row>
    <row r="309" spans="1:18" ht="23.25">
      <c r="B309" s="312" t="s">
        <v>486</v>
      </c>
      <c r="C309" s="205">
        <v>1</v>
      </c>
      <c r="D309" s="312">
        <v>2100</v>
      </c>
      <c r="E309" s="312">
        <f t="shared" ref="E309:E313" si="27">C309*D309</f>
        <v>2100</v>
      </c>
      <c r="F309" s="313">
        <f t="shared" ref="F309:P322" si="28">E309</f>
        <v>2100</v>
      </c>
      <c r="G309" s="314">
        <f t="shared" si="28"/>
        <v>2100</v>
      </c>
      <c r="H309" s="314">
        <f t="shared" si="28"/>
        <v>2100</v>
      </c>
      <c r="I309" s="314">
        <f t="shared" si="28"/>
        <v>2100</v>
      </c>
      <c r="J309" s="314">
        <f t="shared" si="28"/>
        <v>2100</v>
      </c>
      <c r="K309" s="314">
        <f t="shared" si="28"/>
        <v>2100</v>
      </c>
      <c r="L309" s="314">
        <f t="shared" si="28"/>
        <v>2100</v>
      </c>
      <c r="M309" s="314">
        <f t="shared" si="28"/>
        <v>2100</v>
      </c>
      <c r="N309" s="314">
        <f t="shared" si="28"/>
        <v>2100</v>
      </c>
      <c r="O309" s="314">
        <f t="shared" si="28"/>
        <v>2100</v>
      </c>
      <c r="P309" s="314">
        <f t="shared" si="28"/>
        <v>2100</v>
      </c>
      <c r="Q309" s="740">
        <f t="shared" ref="Q309:Q322" si="29">SUM(E309:P309)</f>
        <v>25200</v>
      </c>
      <c r="R309" s="671">
        <f t="shared" si="26"/>
        <v>25200</v>
      </c>
    </row>
    <row r="310" spans="1:18" ht="23.25">
      <c r="B310" s="312" t="s">
        <v>296</v>
      </c>
      <c r="C310" s="205">
        <v>1</v>
      </c>
      <c r="D310" s="312">
        <v>1200</v>
      </c>
      <c r="E310" s="312">
        <f t="shared" si="27"/>
        <v>1200</v>
      </c>
      <c r="F310" s="313">
        <f t="shared" si="28"/>
        <v>1200</v>
      </c>
      <c r="G310" s="314">
        <f t="shared" si="28"/>
        <v>1200</v>
      </c>
      <c r="H310" s="314">
        <f t="shared" si="28"/>
        <v>1200</v>
      </c>
      <c r="I310" s="314">
        <f t="shared" si="28"/>
        <v>1200</v>
      </c>
      <c r="J310" s="314">
        <f t="shared" si="28"/>
        <v>1200</v>
      </c>
      <c r="K310" s="314">
        <f t="shared" si="28"/>
        <v>1200</v>
      </c>
      <c r="L310" s="314">
        <f t="shared" si="28"/>
        <v>1200</v>
      </c>
      <c r="M310" s="314">
        <f t="shared" si="28"/>
        <v>1200</v>
      </c>
      <c r="N310" s="314">
        <f t="shared" si="28"/>
        <v>1200</v>
      </c>
      <c r="O310" s="314">
        <f t="shared" si="28"/>
        <v>1200</v>
      </c>
      <c r="P310" s="314">
        <f t="shared" si="28"/>
        <v>1200</v>
      </c>
      <c r="Q310" s="740">
        <f t="shared" si="29"/>
        <v>14400</v>
      </c>
      <c r="R310" s="671">
        <f t="shared" si="26"/>
        <v>14400</v>
      </c>
    </row>
    <row r="311" spans="1:18" ht="23.25">
      <c r="B311" s="312" t="s">
        <v>297</v>
      </c>
      <c r="C311" s="205">
        <v>1</v>
      </c>
      <c r="D311" s="312">
        <v>930</v>
      </c>
      <c r="E311" s="312">
        <f t="shared" si="27"/>
        <v>930</v>
      </c>
      <c r="F311" s="313">
        <f t="shared" si="28"/>
        <v>930</v>
      </c>
      <c r="G311" s="314">
        <f t="shared" si="28"/>
        <v>930</v>
      </c>
      <c r="H311" s="314">
        <f t="shared" si="28"/>
        <v>930</v>
      </c>
      <c r="I311" s="314">
        <f t="shared" si="28"/>
        <v>930</v>
      </c>
      <c r="J311" s="314">
        <f t="shared" si="28"/>
        <v>930</v>
      </c>
      <c r="K311" s="314">
        <f t="shared" si="28"/>
        <v>930</v>
      </c>
      <c r="L311" s="314">
        <f t="shared" si="28"/>
        <v>930</v>
      </c>
      <c r="M311" s="314">
        <f t="shared" si="28"/>
        <v>930</v>
      </c>
      <c r="N311" s="314">
        <f t="shared" si="28"/>
        <v>930</v>
      </c>
      <c r="O311" s="314">
        <f t="shared" si="28"/>
        <v>930</v>
      </c>
      <c r="P311" s="314">
        <f t="shared" si="28"/>
        <v>930</v>
      </c>
      <c r="Q311" s="740">
        <f t="shared" si="29"/>
        <v>11160</v>
      </c>
      <c r="R311" s="671">
        <f t="shared" si="26"/>
        <v>11160</v>
      </c>
    </row>
    <row r="312" spans="1:18" ht="46.5">
      <c r="B312" s="312" t="s">
        <v>738</v>
      </c>
      <c r="C312" s="205">
        <v>1</v>
      </c>
      <c r="D312" s="312">
        <v>1900</v>
      </c>
      <c r="E312" s="312">
        <f t="shared" si="27"/>
        <v>1900</v>
      </c>
      <c r="F312" s="313">
        <f t="shared" si="28"/>
        <v>1900</v>
      </c>
      <c r="G312" s="314">
        <f t="shared" si="28"/>
        <v>1900</v>
      </c>
      <c r="H312" s="314">
        <f t="shared" si="28"/>
        <v>1900</v>
      </c>
      <c r="I312" s="314">
        <f t="shared" si="28"/>
        <v>1900</v>
      </c>
      <c r="J312" s="314">
        <f t="shared" si="28"/>
        <v>1900</v>
      </c>
      <c r="K312" s="314">
        <f t="shared" si="28"/>
        <v>1900</v>
      </c>
      <c r="L312" s="314">
        <f t="shared" si="28"/>
        <v>1900</v>
      </c>
      <c r="M312" s="314">
        <f t="shared" si="28"/>
        <v>1900</v>
      </c>
      <c r="N312" s="314">
        <f t="shared" si="28"/>
        <v>1900</v>
      </c>
      <c r="O312" s="314">
        <f t="shared" si="28"/>
        <v>1900</v>
      </c>
      <c r="P312" s="314">
        <f t="shared" si="28"/>
        <v>1900</v>
      </c>
      <c r="Q312" s="740">
        <f t="shared" si="29"/>
        <v>22800</v>
      </c>
      <c r="R312" s="671">
        <f t="shared" si="26"/>
        <v>22800</v>
      </c>
    </row>
    <row r="313" spans="1:18" ht="24" thickBot="1">
      <c r="B313" s="312" t="s">
        <v>739</v>
      </c>
      <c r="C313" s="205">
        <v>1</v>
      </c>
      <c r="D313" s="312">
        <v>1200</v>
      </c>
      <c r="E313" s="312">
        <f t="shared" si="27"/>
        <v>1200</v>
      </c>
      <c r="F313" s="313">
        <f t="shared" si="28"/>
        <v>1200</v>
      </c>
      <c r="G313" s="314">
        <f t="shared" si="28"/>
        <v>1200</v>
      </c>
      <c r="H313" s="314">
        <f t="shared" si="28"/>
        <v>1200</v>
      </c>
      <c r="I313" s="314">
        <f t="shared" si="28"/>
        <v>1200</v>
      </c>
      <c r="J313" s="314">
        <f t="shared" si="28"/>
        <v>1200</v>
      </c>
      <c r="K313" s="314">
        <f t="shared" si="28"/>
        <v>1200</v>
      </c>
      <c r="L313" s="314">
        <f t="shared" si="28"/>
        <v>1200</v>
      </c>
      <c r="M313" s="314">
        <f t="shared" si="28"/>
        <v>1200</v>
      </c>
      <c r="N313" s="314">
        <f t="shared" si="28"/>
        <v>1200</v>
      </c>
      <c r="O313" s="314">
        <f t="shared" si="28"/>
        <v>1200</v>
      </c>
      <c r="P313" s="314">
        <f t="shared" si="28"/>
        <v>1200</v>
      </c>
      <c r="Q313" s="740">
        <f t="shared" si="29"/>
        <v>14400</v>
      </c>
      <c r="R313" s="671">
        <f t="shared" si="26"/>
        <v>14400</v>
      </c>
    </row>
    <row r="314" spans="1:18" ht="24" thickBot="1">
      <c r="B314" s="703" t="s">
        <v>487</v>
      </c>
      <c r="C314" s="800">
        <f>SUM(C308:C313)</f>
        <v>6</v>
      </c>
      <c r="D314" s="801"/>
      <c r="E314" s="740">
        <f>SUM(E308:E313)</f>
        <v>9830</v>
      </c>
      <c r="F314" s="740">
        <f t="shared" si="28"/>
        <v>9830</v>
      </c>
      <c r="G314" s="793">
        <f t="shared" si="28"/>
        <v>9830</v>
      </c>
      <c r="H314" s="793">
        <f t="shared" si="28"/>
        <v>9830</v>
      </c>
      <c r="I314" s="793">
        <f t="shared" si="28"/>
        <v>9830</v>
      </c>
      <c r="J314" s="793">
        <f t="shared" si="28"/>
        <v>9830</v>
      </c>
      <c r="K314" s="793">
        <f t="shared" si="28"/>
        <v>9830</v>
      </c>
      <c r="L314" s="793">
        <f t="shared" si="28"/>
        <v>9830</v>
      </c>
      <c r="M314" s="793">
        <f t="shared" si="28"/>
        <v>9830</v>
      </c>
      <c r="N314" s="793">
        <f t="shared" si="28"/>
        <v>9830</v>
      </c>
      <c r="O314" s="793">
        <f t="shared" si="28"/>
        <v>9830</v>
      </c>
      <c r="P314" s="793">
        <f t="shared" si="28"/>
        <v>9830</v>
      </c>
      <c r="Q314" s="740">
        <f t="shared" si="29"/>
        <v>117960</v>
      </c>
      <c r="R314" s="793">
        <f>SUM(R308:R313)</f>
        <v>117960</v>
      </c>
    </row>
    <row r="315" spans="1:18" s="192" customFormat="1" ht="24" thickBot="1">
      <c r="B315" s="302"/>
      <c r="C315" s="337"/>
      <c r="D315" s="302"/>
      <c r="E315" s="203"/>
      <c r="F315" s="313">
        <f t="shared" si="28"/>
        <v>0</v>
      </c>
      <c r="G315" s="314">
        <f t="shared" si="28"/>
        <v>0</v>
      </c>
      <c r="H315" s="314">
        <f t="shared" si="28"/>
        <v>0</v>
      </c>
      <c r="I315" s="314">
        <f t="shared" si="28"/>
        <v>0</v>
      </c>
      <c r="J315" s="314">
        <f t="shared" si="28"/>
        <v>0</v>
      </c>
      <c r="K315" s="314">
        <f t="shared" si="28"/>
        <v>0</v>
      </c>
      <c r="L315" s="314">
        <f t="shared" si="28"/>
        <v>0</v>
      </c>
      <c r="M315" s="314">
        <f t="shared" si="28"/>
        <v>0</v>
      </c>
      <c r="N315" s="314">
        <f t="shared" si="28"/>
        <v>0</v>
      </c>
      <c r="O315" s="314">
        <f t="shared" si="28"/>
        <v>0</v>
      </c>
      <c r="P315" s="314">
        <f t="shared" si="28"/>
        <v>0</v>
      </c>
      <c r="Q315" s="219">
        <f t="shared" si="29"/>
        <v>0</v>
      </c>
      <c r="R315" s="295"/>
    </row>
    <row r="316" spans="1:18" s="192" customFormat="1" ht="23.25">
      <c r="A316" s="1211" t="s">
        <v>488</v>
      </c>
      <c r="B316" s="338" t="s">
        <v>489</v>
      </c>
      <c r="C316" s="302"/>
      <c r="D316" s="1214" t="s">
        <v>800</v>
      </c>
      <c r="E316" s="339">
        <f>(R316/12)*50%</f>
        <v>409.58333333333331</v>
      </c>
      <c r="F316" s="313">
        <f t="shared" si="28"/>
        <v>409.58333333333331</v>
      </c>
      <c r="G316" s="314">
        <f t="shared" si="28"/>
        <v>409.58333333333331</v>
      </c>
      <c r="H316" s="314">
        <f t="shared" si="28"/>
        <v>409.58333333333331</v>
      </c>
      <c r="I316" s="314">
        <f t="shared" si="28"/>
        <v>409.58333333333331</v>
      </c>
      <c r="J316" s="314">
        <f t="shared" si="28"/>
        <v>409.58333333333331</v>
      </c>
      <c r="K316" s="314">
        <f t="shared" si="28"/>
        <v>409.58333333333331</v>
      </c>
      <c r="L316" s="314">
        <f t="shared" si="28"/>
        <v>409.58333333333331</v>
      </c>
      <c r="M316" s="314">
        <f t="shared" si="28"/>
        <v>409.58333333333331</v>
      </c>
      <c r="N316" s="314">
        <f t="shared" si="28"/>
        <v>409.58333333333331</v>
      </c>
      <c r="O316" s="314">
        <f t="shared" si="28"/>
        <v>409.58333333333331</v>
      </c>
      <c r="P316" s="314">
        <f t="shared" si="28"/>
        <v>409.58333333333331</v>
      </c>
      <c r="Q316" s="219">
        <f t="shared" si="29"/>
        <v>4915</v>
      </c>
      <c r="R316" s="314">
        <f>E314</f>
        <v>9830</v>
      </c>
    </row>
    <row r="317" spans="1:18" s="192" customFormat="1" ht="23.25">
      <c r="A317" s="1212"/>
      <c r="B317" s="340" t="s">
        <v>490</v>
      </c>
      <c r="C317" s="302"/>
      <c r="D317" s="1215"/>
      <c r="E317" s="339">
        <f>(R317/12)*50%</f>
        <v>409.58333333333331</v>
      </c>
      <c r="F317" s="313">
        <f t="shared" si="28"/>
        <v>409.58333333333331</v>
      </c>
      <c r="G317" s="314">
        <f t="shared" si="28"/>
        <v>409.58333333333331</v>
      </c>
      <c r="H317" s="314">
        <f t="shared" si="28"/>
        <v>409.58333333333331</v>
      </c>
      <c r="I317" s="314">
        <f t="shared" si="28"/>
        <v>409.58333333333331</v>
      </c>
      <c r="J317" s="314">
        <f t="shared" si="28"/>
        <v>409.58333333333331</v>
      </c>
      <c r="K317" s="314">
        <f t="shared" si="28"/>
        <v>409.58333333333331</v>
      </c>
      <c r="L317" s="314">
        <f t="shared" si="28"/>
        <v>409.58333333333331</v>
      </c>
      <c r="M317" s="314">
        <f t="shared" si="28"/>
        <v>409.58333333333331</v>
      </c>
      <c r="N317" s="314">
        <f t="shared" si="28"/>
        <v>409.58333333333331</v>
      </c>
      <c r="O317" s="314">
        <f t="shared" si="28"/>
        <v>409.58333333333331</v>
      </c>
      <c r="P317" s="314">
        <f t="shared" si="28"/>
        <v>409.58333333333331</v>
      </c>
      <c r="Q317" s="219">
        <f t="shared" si="29"/>
        <v>4915</v>
      </c>
      <c r="R317" s="314">
        <f>R316</f>
        <v>9830</v>
      </c>
    </row>
    <row r="318" spans="1:18" s="192" customFormat="1" ht="23.25">
      <c r="A318" s="1212"/>
      <c r="B318" s="338" t="s">
        <v>298</v>
      </c>
      <c r="C318" s="302"/>
      <c r="D318" s="1215"/>
      <c r="E318" s="339">
        <f>(R318/12)*50%</f>
        <v>409.58333333333331</v>
      </c>
      <c r="F318" s="313">
        <f t="shared" si="28"/>
        <v>409.58333333333331</v>
      </c>
      <c r="G318" s="314">
        <f t="shared" si="28"/>
        <v>409.58333333333331</v>
      </c>
      <c r="H318" s="314">
        <f t="shared" si="28"/>
        <v>409.58333333333331</v>
      </c>
      <c r="I318" s="314">
        <f t="shared" si="28"/>
        <v>409.58333333333331</v>
      </c>
      <c r="J318" s="314">
        <f t="shared" si="28"/>
        <v>409.58333333333331</v>
      </c>
      <c r="K318" s="314">
        <f t="shared" si="28"/>
        <v>409.58333333333331</v>
      </c>
      <c r="L318" s="314">
        <f t="shared" si="28"/>
        <v>409.58333333333331</v>
      </c>
      <c r="M318" s="314">
        <f t="shared" si="28"/>
        <v>409.58333333333331</v>
      </c>
      <c r="N318" s="314">
        <f t="shared" si="28"/>
        <v>409.58333333333331</v>
      </c>
      <c r="O318" s="314">
        <f t="shared" si="28"/>
        <v>409.58333333333331</v>
      </c>
      <c r="P318" s="314">
        <f t="shared" si="28"/>
        <v>409.58333333333331</v>
      </c>
      <c r="Q318" s="219">
        <f t="shared" si="29"/>
        <v>4915</v>
      </c>
      <c r="R318" s="314">
        <f>R317</f>
        <v>9830</v>
      </c>
    </row>
    <row r="319" spans="1:18" s="192" customFormat="1" ht="23.25">
      <c r="A319" s="1212"/>
      <c r="B319" s="340" t="s">
        <v>491</v>
      </c>
      <c r="C319" s="287">
        <v>60</v>
      </c>
      <c r="D319" s="1215"/>
      <c r="E319" s="339">
        <f>(C314*C319)/2</f>
        <v>180</v>
      </c>
      <c r="F319" s="341">
        <f t="shared" si="28"/>
        <v>180</v>
      </c>
      <c r="G319" s="342">
        <f t="shared" si="28"/>
        <v>180</v>
      </c>
      <c r="H319" s="342">
        <f t="shared" si="28"/>
        <v>180</v>
      </c>
      <c r="I319" s="342">
        <f t="shared" si="28"/>
        <v>180</v>
      </c>
      <c r="J319" s="342">
        <f t="shared" si="28"/>
        <v>180</v>
      </c>
      <c r="K319" s="342">
        <f t="shared" si="28"/>
        <v>180</v>
      </c>
      <c r="L319" s="342">
        <f t="shared" si="28"/>
        <v>180</v>
      </c>
      <c r="M319" s="342">
        <f t="shared" si="28"/>
        <v>180</v>
      </c>
      <c r="N319" s="342">
        <f t="shared" si="28"/>
        <v>180</v>
      </c>
      <c r="O319" s="342">
        <f t="shared" si="28"/>
        <v>180</v>
      </c>
      <c r="P319" s="342">
        <f t="shared" si="28"/>
        <v>180</v>
      </c>
      <c r="Q319" s="320">
        <f t="shared" si="29"/>
        <v>2160</v>
      </c>
      <c r="R319" s="342">
        <f>R314*C319</f>
        <v>7077600</v>
      </c>
    </row>
    <row r="320" spans="1:18" s="192" customFormat="1" ht="31.5" customHeight="1" thickBot="1">
      <c r="A320" s="1213"/>
      <c r="B320" s="338" t="s">
        <v>492</v>
      </c>
      <c r="C320" s="302"/>
      <c r="D320" s="1216"/>
      <c r="E320" s="339">
        <f>(R320/12)*50%</f>
        <v>409.58333333333331</v>
      </c>
      <c r="F320" s="313">
        <f t="shared" si="28"/>
        <v>409.58333333333331</v>
      </c>
      <c r="G320" s="314">
        <f t="shared" si="28"/>
        <v>409.58333333333331</v>
      </c>
      <c r="H320" s="314">
        <f t="shared" si="28"/>
        <v>409.58333333333331</v>
      </c>
      <c r="I320" s="314">
        <f t="shared" si="28"/>
        <v>409.58333333333331</v>
      </c>
      <c r="J320" s="314">
        <f t="shared" si="28"/>
        <v>409.58333333333331</v>
      </c>
      <c r="K320" s="314">
        <f t="shared" si="28"/>
        <v>409.58333333333331</v>
      </c>
      <c r="L320" s="314">
        <f t="shared" si="28"/>
        <v>409.58333333333331</v>
      </c>
      <c r="M320" s="314">
        <f t="shared" si="28"/>
        <v>409.58333333333331</v>
      </c>
      <c r="N320" s="314">
        <f t="shared" si="28"/>
        <v>409.58333333333331</v>
      </c>
      <c r="O320" s="314">
        <f t="shared" si="28"/>
        <v>409.58333333333331</v>
      </c>
      <c r="P320" s="314">
        <f t="shared" si="28"/>
        <v>409.58333333333331</v>
      </c>
      <c r="Q320" s="219">
        <f t="shared" si="29"/>
        <v>4915</v>
      </c>
      <c r="R320" s="314">
        <f>E314</f>
        <v>9830</v>
      </c>
    </row>
    <row r="321" spans="1:18" s="192" customFormat="1" ht="23.25">
      <c r="B321" s="302"/>
      <c r="C321" s="302"/>
      <c r="D321" s="302"/>
      <c r="E321" s="203"/>
      <c r="F321" s="313">
        <f t="shared" si="28"/>
        <v>0</v>
      </c>
      <c r="G321" s="314">
        <f t="shared" si="28"/>
        <v>0</v>
      </c>
      <c r="H321" s="314">
        <f t="shared" si="28"/>
        <v>0</v>
      </c>
      <c r="I321" s="314">
        <f t="shared" si="28"/>
        <v>0</v>
      </c>
      <c r="J321" s="314">
        <f t="shared" si="28"/>
        <v>0</v>
      </c>
      <c r="K321" s="314">
        <f t="shared" si="28"/>
        <v>0</v>
      </c>
      <c r="L321" s="314">
        <f t="shared" si="28"/>
        <v>0</v>
      </c>
      <c r="M321" s="314">
        <f t="shared" si="28"/>
        <v>0</v>
      </c>
      <c r="N321" s="314">
        <f t="shared" si="28"/>
        <v>0</v>
      </c>
      <c r="O321" s="314">
        <f t="shared" si="28"/>
        <v>0</v>
      </c>
      <c r="P321" s="314">
        <f t="shared" si="28"/>
        <v>0</v>
      </c>
      <c r="Q321" s="219">
        <f t="shared" si="29"/>
        <v>0</v>
      </c>
      <c r="R321" s="295"/>
    </row>
    <row r="322" spans="1:18" ht="55.5" customHeight="1">
      <c r="B322" s="1267" t="s">
        <v>493</v>
      </c>
      <c r="C322" s="1268"/>
      <c r="D322" s="1269"/>
      <c r="E322" s="792">
        <f>SUM(E314:E321)</f>
        <v>11648.333333333336</v>
      </c>
      <c r="F322" s="792">
        <f t="shared" si="28"/>
        <v>11648.333333333336</v>
      </c>
      <c r="G322" s="785">
        <f t="shared" si="28"/>
        <v>11648.333333333336</v>
      </c>
      <c r="H322" s="785">
        <f t="shared" si="28"/>
        <v>11648.333333333336</v>
      </c>
      <c r="I322" s="785">
        <f t="shared" si="28"/>
        <v>11648.333333333336</v>
      </c>
      <c r="J322" s="785">
        <f t="shared" si="28"/>
        <v>11648.333333333336</v>
      </c>
      <c r="K322" s="785">
        <f t="shared" si="28"/>
        <v>11648.333333333336</v>
      </c>
      <c r="L322" s="785">
        <f t="shared" si="28"/>
        <v>11648.333333333336</v>
      </c>
      <c r="M322" s="785">
        <f t="shared" si="28"/>
        <v>11648.333333333336</v>
      </c>
      <c r="N322" s="785">
        <f t="shared" si="28"/>
        <v>11648.333333333336</v>
      </c>
      <c r="O322" s="785">
        <f t="shared" si="28"/>
        <v>11648.333333333336</v>
      </c>
      <c r="P322" s="785">
        <f t="shared" si="28"/>
        <v>11648.333333333336</v>
      </c>
      <c r="Q322" s="792">
        <f t="shared" si="29"/>
        <v>139780.00000000006</v>
      </c>
      <c r="R322" s="785"/>
    </row>
    <row r="324" spans="1:18" ht="21.75" thickBot="1"/>
    <row r="325" spans="1:18" ht="51.75" customHeight="1">
      <c r="A325" s="1297" t="s">
        <v>494</v>
      </c>
      <c r="B325" s="1298" t="s">
        <v>495</v>
      </c>
      <c r="C325" s="1290" t="s">
        <v>496</v>
      </c>
      <c r="D325" s="1290"/>
      <c r="E325" s="1290"/>
      <c r="F325" s="1290"/>
      <c r="G325" s="1290"/>
      <c r="H325" s="1290"/>
    </row>
    <row r="326" spans="1:18" ht="57.75" customHeight="1" thickBot="1">
      <c r="A326" s="1297"/>
      <c r="B326" s="1299"/>
      <c r="C326" s="1290" t="s">
        <v>497</v>
      </c>
      <c r="D326" s="1290"/>
      <c r="E326" s="1290"/>
      <c r="F326" s="1290"/>
      <c r="G326" s="1290"/>
      <c r="H326" s="1290"/>
    </row>
    <row r="329" spans="1:18" ht="51.75" customHeight="1">
      <c r="B329" s="1287" t="s">
        <v>498</v>
      </c>
      <c r="C329" s="1287"/>
      <c r="D329" s="1287"/>
      <c r="E329" s="1287"/>
      <c r="F329" s="1287"/>
    </row>
    <row r="331" spans="1:18" ht="114" customHeight="1">
      <c r="B331" s="1293" t="s">
        <v>499</v>
      </c>
      <c r="C331" s="1294"/>
    </row>
    <row r="332" spans="1:18">
      <c r="A332" s="1295" t="s">
        <v>820</v>
      </c>
      <c r="B332" s="1295"/>
      <c r="C332" s="1295"/>
      <c r="D332" s="1295"/>
      <c r="E332" s="1295"/>
      <c r="F332" s="1295"/>
      <c r="G332" s="1295"/>
      <c r="H332" s="1295"/>
      <c r="I332" s="1296"/>
      <c r="J332" s="1296"/>
    </row>
    <row r="333" spans="1:18">
      <c r="A333" s="295"/>
      <c r="B333" s="295"/>
      <c r="C333" s="295"/>
      <c r="D333" s="956" t="s">
        <v>284</v>
      </c>
      <c r="E333" s="243"/>
      <c r="F333" s="243"/>
      <c r="G333" s="243"/>
      <c r="H333" s="956" t="s">
        <v>284</v>
      </c>
      <c r="I333" s="712"/>
      <c r="J333" s="712"/>
    </row>
    <row r="334" spans="1:18" ht="21" customHeight="1">
      <c r="A334" s="1203" t="s">
        <v>504</v>
      </c>
      <c r="B334" s="1204"/>
      <c r="C334" s="1205"/>
      <c r="D334" s="333">
        <f>F190</f>
        <v>2048.5</v>
      </c>
      <c r="E334" s="243" t="s">
        <v>501</v>
      </c>
      <c r="F334" s="295"/>
      <c r="G334" s="295"/>
      <c r="H334" s="333">
        <v>0</v>
      </c>
      <c r="I334" s="712"/>
      <c r="J334" s="712"/>
    </row>
    <row r="335" spans="1:18" ht="21" customHeight="1">
      <c r="A335" s="1203" t="s">
        <v>502</v>
      </c>
      <c r="B335" s="1204"/>
      <c r="C335" s="1205"/>
      <c r="D335" s="333">
        <f>D255</f>
        <v>1303.8</v>
      </c>
      <c r="E335" s="243" t="s">
        <v>503</v>
      </c>
      <c r="F335" s="295"/>
      <c r="G335" s="295"/>
      <c r="H335" s="333">
        <v>0</v>
      </c>
      <c r="I335" s="712"/>
      <c r="J335" s="712"/>
    </row>
    <row r="336" spans="1:18">
      <c r="A336" s="343"/>
      <c r="B336" s="343"/>
      <c r="C336" s="343"/>
      <c r="D336" s="333"/>
      <c r="E336" s="243"/>
      <c r="F336" s="295"/>
      <c r="G336" s="295"/>
      <c r="H336" s="333"/>
      <c r="I336" s="712"/>
      <c r="J336" s="712"/>
    </row>
    <row r="337" spans="1:8" ht="21" customHeight="1">
      <c r="A337" s="1203" t="s">
        <v>500</v>
      </c>
      <c r="B337" s="1204"/>
      <c r="C337" s="1205"/>
      <c r="D337" s="333">
        <f>F191</f>
        <v>1311</v>
      </c>
      <c r="E337" s="243" t="s">
        <v>505</v>
      </c>
      <c r="F337" s="295"/>
      <c r="G337" s="295"/>
      <c r="H337" s="333">
        <v>0</v>
      </c>
    </row>
    <row r="338" spans="1:8" ht="21" customHeight="1">
      <c r="A338" s="1203" t="s">
        <v>506</v>
      </c>
      <c r="B338" s="1204"/>
      <c r="C338" s="1205"/>
      <c r="D338" s="333">
        <f>D256</f>
        <v>803.8</v>
      </c>
      <c r="E338" s="243" t="s">
        <v>503</v>
      </c>
      <c r="F338" s="295"/>
      <c r="G338" s="295"/>
      <c r="H338" s="333">
        <v>0</v>
      </c>
    </row>
    <row r="339" spans="1:8">
      <c r="A339" s="295"/>
      <c r="B339" s="295"/>
      <c r="C339" s="295"/>
      <c r="D339" s="333"/>
      <c r="E339" s="295"/>
      <c r="F339" s="295"/>
      <c r="G339" s="295"/>
      <c r="H339" s="333"/>
    </row>
    <row r="340" spans="1:8">
      <c r="A340" s="1203" t="s">
        <v>507</v>
      </c>
      <c r="B340" s="1204"/>
      <c r="C340" s="1205"/>
      <c r="D340" s="333">
        <f>F192</f>
        <v>783.33333333333337</v>
      </c>
      <c r="E340" s="295" t="s">
        <v>505</v>
      </c>
      <c r="F340" s="295"/>
      <c r="G340" s="295"/>
      <c r="H340" s="333"/>
    </row>
    <row r="341" spans="1:8">
      <c r="A341" s="1203" t="s">
        <v>508</v>
      </c>
      <c r="B341" s="1204"/>
      <c r="C341" s="1205"/>
      <c r="D341" s="344">
        <v>0</v>
      </c>
      <c r="E341" s="295" t="s">
        <v>509</v>
      </c>
      <c r="F341" s="295"/>
      <c r="G341" s="295"/>
      <c r="H341" s="333"/>
    </row>
    <row r="342" spans="1:8">
      <c r="A342" s="295"/>
      <c r="B342" s="295"/>
      <c r="C342" s="295"/>
      <c r="D342" s="333"/>
      <c r="E342" s="295"/>
      <c r="F342" s="295"/>
      <c r="G342" s="295"/>
      <c r="H342" s="333"/>
    </row>
    <row r="343" spans="1:8" ht="21" customHeight="1">
      <c r="A343" s="1243" t="s">
        <v>243</v>
      </c>
      <c r="B343" s="1244"/>
      <c r="C343" s="1245"/>
      <c r="D343" s="978" t="s">
        <v>248</v>
      </c>
      <c r="E343" s="789"/>
      <c r="F343" s="789"/>
      <c r="G343" s="789"/>
      <c r="H343" s="789"/>
    </row>
    <row r="344" spans="1:8" ht="21" customHeight="1">
      <c r="A344" s="1300" t="s">
        <v>510</v>
      </c>
      <c r="B344" s="1301"/>
      <c r="C344" s="1302"/>
      <c r="D344" s="671">
        <f>E53</f>
        <v>62883.72</v>
      </c>
      <c r="E344" s="789"/>
      <c r="F344" s="789"/>
      <c r="G344" s="789"/>
      <c r="H344" s="789"/>
    </row>
    <row r="345" spans="1:8" ht="21" customHeight="1">
      <c r="A345" s="1300" t="s">
        <v>511</v>
      </c>
      <c r="B345" s="1301"/>
      <c r="C345" s="1302"/>
      <c r="D345" s="671">
        <f>E63</f>
        <v>6221.5</v>
      </c>
      <c r="E345" s="789"/>
      <c r="F345" s="789"/>
      <c r="G345" s="789"/>
      <c r="H345" s="789"/>
    </row>
    <row r="346" spans="1:8" ht="21" customHeight="1">
      <c r="A346" s="1300" t="s">
        <v>512</v>
      </c>
      <c r="B346" s="1301"/>
      <c r="C346" s="1302"/>
      <c r="D346" s="671">
        <f>E65</f>
        <v>10365.782999999999</v>
      </c>
      <c r="E346" s="789"/>
      <c r="F346" s="789"/>
      <c r="G346" s="789"/>
      <c r="H346" s="789"/>
    </row>
    <row r="347" spans="1:8" ht="21" customHeight="1">
      <c r="A347" s="1243" t="s">
        <v>513</v>
      </c>
      <c r="B347" s="1244"/>
      <c r="C347" s="1245"/>
      <c r="D347" s="647">
        <f>SUM(D344:D346)</f>
        <v>79471.002999999997</v>
      </c>
      <c r="E347" s="789"/>
      <c r="F347" s="789"/>
      <c r="G347" s="789"/>
      <c r="H347" s="789"/>
    </row>
    <row r="348" spans="1:8">
      <c r="A348" s="802"/>
      <c r="B348" s="802"/>
      <c r="C348" s="802"/>
      <c r="D348" s="672"/>
      <c r="E348" s="789"/>
      <c r="F348" s="789"/>
      <c r="G348" s="789"/>
      <c r="H348" s="789"/>
    </row>
    <row r="349" spans="1:8" ht="63">
      <c r="A349" s="1188" t="s">
        <v>514</v>
      </c>
      <c r="B349" s="1189"/>
      <c r="C349" s="209" t="s">
        <v>515</v>
      </c>
      <c r="D349" s="938" t="s">
        <v>248</v>
      </c>
      <c r="E349" s="938" t="s">
        <v>516</v>
      </c>
      <c r="F349" s="938" t="s">
        <v>517</v>
      </c>
      <c r="G349" s="310"/>
      <c r="H349" s="295"/>
    </row>
    <row r="350" spans="1:8" ht="26.25" customHeight="1">
      <c r="A350" s="1201" t="s">
        <v>518</v>
      </c>
      <c r="B350" s="1202"/>
      <c r="C350" s="347">
        <v>0.6</v>
      </c>
      <c r="D350" s="342">
        <f>D347*C350</f>
        <v>47682.601799999997</v>
      </c>
      <c r="E350" s="348">
        <f>+'8'!I62</f>
        <v>0.26392900000000002</v>
      </c>
      <c r="F350" s="295"/>
      <c r="G350" s="310"/>
      <c r="H350" s="295"/>
    </row>
    <row r="351" spans="1:8" ht="26.25" customHeight="1">
      <c r="A351" s="1201" t="s">
        <v>519</v>
      </c>
      <c r="B351" s="1202"/>
      <c r="C351" s="347">
        <v>0.4</v>
      </c>
      <c r="D351" s="342">
        <f>D347*C351</f>
        <v>31788.4012</v>
      </c>
      <c r="E351" s="295"/>
      <c r="F351" s="349">
        <v>0.17199999999999999</v>
      </c>
      <c r="G351" s="310"/>
      <c r="H351" s="295"/>
    </row>
    <row r="352" spans="1:8">
      <c r="A352" s="295"/>
      <c r="B352" s="295"/>
      <c r="C352" s="350"/>
      <c r="D352" s="350"/>
      <c r="E352" s="295"/>
      <c r="F352" s="295"/>
      <c r="G352" s="295"/>
      <c r="H352" s="295"/>
    </row>
    <row r="353" spans="1:10" ht="21" customHeight="1">
      <c r="A353" s="1188" t="s">
        <v>520</v>
      </c>
      <c r="B353" s="1194"/>
      <c r="C353" s="1189"/>
      <c r="D353" s="938" t="s">
        <v>389</v>
      </c>
      <c r="E353" s="243"/>
      <c r="F353" s="243"/>
      <c r="G353" s="243"/>
      <c r="H353" s="938" t="s">
        <v>521</v>
      </c>
    </row>
    <row r="354" spans="1:10" ht="26.25">
      <c r="A354" s="1195" t="s">
        <v>522</v>
      </c>
      <c r="B354" s="1196"/>
      <c r="C354" s="1197"/>
      <c r="D354" s="351">
        <f>E295</f>
        <v>19073.648933333334</v>
      </c>
      <c r="E354" s="295"/>
      <c r="F354" s="295"/>
      <c r="G354" s="295"/>
      <c r="H354" s="312">
        <f>D354*12</f>
        <v>228883.78720000002</v>
      </c>
    </row>
    <row r="355" spans="1:10" ht="26.25" customHeight="1">
      <c r="A355" s="1198" t="s">
        <v>523</v>
      </c>
      <c r="B355" s="1199"/>
      <c r="C355" s="1200"/>
      <c r="D355" s="352">
        <f>E322</f>
        <v>11648.333333333336</v>
      </c>
      <c r="E355" s="350"/>
      <c r="F355" s="350"/>
      <c r="G355" s="350"/>
      <c r="H355" s="317">
        <f>D355*12</f>
        <v>139780.00000000003</v>
      </c>
    </row>
    <row r="356" spans="1:10" ht="26.25">
      <c r="A356" s="295"/>
      <c r="B356" s="295"/>
      <c r="C356" s="295"/>
      <c r="D356" s="351"/>
      <c r="E356" s="295"/>
      <c r="F356" s="295"/>
      <c r="G356" s="295"/>
      <c r="H356" s="312">
        <f>D356*12</f>
        <v>0</v>
      </c>
    </row>
    <row r="357" spans="1:10" ht="26.25">
      <c r="A357" s="295"/>
      <c r="B357" s="295"/>
      <c r="C357" s="295"/>
      <c r="D357" s="351"/>
      <c r="E357" s="295"/>
      <c r="F357" s="295"/>
      <c r="G357" s="295"/>
      <c r="H357" s="312">
        <f>D357*12</f>
        <v>0</v>
      </c>
    </row>
    <row r="358" spans="1:10" ht="26.25">
      <c r="A358" s="295"/>
      <c r="B358" s="295"/>
      <c r="C358" s="948" t="s">
        <v>524</v>
      </c>
      <c r="D358" s="353">
        <f>SUM(D354:D357)</f>
        <v>30721.98226666667</v>
      </c>
      <c r="E358" s="295"/>
      <c r="F358" s="295"/>
      <c r="G358" s="948" t="s">
        <v>525</v>
      </c>
      <c r="H358" s="354">
        <f>SUM(H354:H357)</f>
        <v>368663.78720000002</v>
      </c>
    </row>
    <row r="359" spans="1:10" ht="26.25">
      <c r="A359" s="1195" t="s">
        <v>526</v>
      </c>
      <c r="B359" s="1196"/>
      <c r="C359" s="1197"/>
      <c r="D359" s="351">
        <f>E297</f>
        <v>737.42683333333343</v>
      </c>
      <c r="E359" s="295"/>
      <c r="F359" s="295"/>
      <c r="G359" s="295"/>
      <c r="H359" s="312">
        <f>D344/10</f>
        <v>6288.3720000000003</v>
      </c>
    </row>
    <row r="360" spans="1:10" ht="26.25">
      <c r="A360" s="1195" t="s">
        <v>527</v>
      </c>
      <c r="B360" s="1196"/>
      <c r="C360" s="1197"/>
      <c r="D360" s="351">
        <f>E298</f>
        <v>45.179166666666667</v>
      </c>
      <c r="E360" s="295"/>
      <c r="F360" s="295"/>
      <c r="G360" s="295"/>
      <c r="H360" s="312">
        <f>D345/10</f>
        <v>622.15</v>
      </c>
    </row>
    <row r="361" spans="1:10" ht="42" customHeight="1">
      <c r="A361" s="1188" t="s">
        <v>528</v>
      </c>
      <c r="B361" s="1194"/>
      <c r="C361" s="1189"/>
      <c r="D361" s="355">
        <f>SUM(D358:D360)</f>
        <v>31504.588266666669</v>
      </c>
      <c r="E361" s="356"/>
      <c r="F361" s="356"/>
      <c r="G361" s="938" t="s">
        <v>529</v>
      </c>
      <c r="H361" s="355">
        <f>SUM(H358:H360)</f>
        <v>375574.30920000002</v>
      </c>
    </row>
    <row r="362" spans="1:10">
      <c r="A362" s="802"/>
      <c r="B362" s="802"/>
      <c r="C362" s="802"/>
      <c r="D362" s="672"/>
      <c r="E362" s="802"/>
      <c r="F362" s="802"/>
      <c r="G362" s="802"/>
      <c r="H362" s="672"/>
      <c r="I362" s="634"/>
      <c r="J362" s="634"/>
    </row>
    <row r="363" spans="1:10">
      <c r="A363" s="802"/>
      <c r="B363" s="802"/>
      <c r="C363" s="802"/>
      <c r="D363" s="672"/>
      <c r="E363" s="802"/>
      <c r="F363" s="802"/>
      <c r="G363" s="802"/>
      <c r="H363" s="672"/>
      <c r="I363" s="634"/>
      <c r="J363" s="634"/>
    </row>
    <row r="364" spans="1:10">
      <c r="A364" s="790"/>
      <c r="B364" s="790"/>
      <c r="C364" s="790"/>
      <c r="D364" s="673"/>
      <c r="E364" s="790"/>
      <c r="F364" s="790"/>
      <c r="G364" s="790"/>
      <c r="H364" s="673"/>
    </row>
    <row r="365" spans="1:10" ht="49.5" customHeight="1">
      <c r="A365" s="1303" t="s">
        <v>530</v>
      </c>
      <c r="B365" s="1304"/>
      <c r="C365" s="1304"/>
      <c r="D365" s="1304"/>
      <c r="E365" s="1304"/>
      <c r="F365" s="1305"/>
      <c r="G365" s="790"/>
      <c r="H365" s="673"/>
    </row>
    <row r="366" spans="1:10">
      <c r="A366" s="790"/>
      <c r="B366" s="790"/>
      <c r="C366" s="790"/>
      <c r="D366" s="790"/>
      <c r="E366" s="790"/>
      <c r="F366" s="790"/>
      <c r="G366" s="790"/>
      <c r="H366" s="790"/>
    </row>
    <row r="367" spans="1:10" ht="46.5">
      <c r="A367" s="243"/>
      <c r="B367" s="243"/>
      <c r="C367" s="941" t="s">
        <v>531</v>
      </c>
      <c r="D367" s="941" t="s">
        <v>532</v>
      </c>
      <c r="E367" s="941" t="s">
        <v>533</v>
      </c>
      <c r="F367" s="941" t="s">
        <v>534</v>
      </c>
      <c r="G367" s="941" t="s">
        <v>535</v>
      </c>
      <c r="H367" s="358"/>
      <c r="I367" s="192"/>
    </row>
    <row r="368" spans="1:10" ht="63">
      <c r="A368" s="1145" t="s">
        <v>538</v>
      </c>
      <c r="B368" s="1147"/>
      <c r="C368" s="359">
        <f>D334</f>
        <v>2048.5</v>
      </c>
      <c r="D368" s="359">
        <f>D335</f>
        <v>1303.8</v>
      </c>
      <c r="E368" s="359">
        <f>C368-D368</f>
        <v>744.7</v>
      </c>
      <c r="F368" s="360">
        <f>D361/E368</f>
        <v>42.305073541918446</v>
      </c>
      <c r="G368" s="360">
        <f>H361/E368</f>
        <v>504.32967530549212</v>
      </c>
      <c r="H368" s="232" t="s">
        <v>537</v>
      </c>
      <c r="I368" s="361">
        <f>E368*G368</f>
        <v>375574.30920000002</v>
      </c>
    </row>
    <row r="369" spans="1:14" ht="28.5">
      <c r="A369" s="956"/>
      <c r="B369" s="243"/>
      <c r="C369" s="359">
        <f>H334</f>
        <v>0</v>
      </c>
      <c r="D369" s="359">
        <f>H335</f>
        <v>0</v>
      </c>
      <c r="E369" s="359">
        <f>C369-D369</f>
        <v>0</v>
      </c>
      <c r="F369" s="360"/>
      <c r="G369" s="362"/>
      <c r="H369" s="232"/>
      <c r="I369" s="327">
        <f>E369*G369</f>
        <v>0</v>
      </c>
    </row>
    <row r="370" spans="1:14" ht="63">
      <c r="A370" s="1145" t="s">
        <v>536</v>
      </c>
      <c r="B370" s="1147"/>
      <c r="C370" s="359">
        <f>D337</f>
        <v>1311</v>
      </c>
      <c r="D370" s="359">
        <f>D338</f>
        <v>803.8</v>
      </c>
      <c r="E370" s="359">
        <f>C370-D370</f>
        <v>507.20000000000005</v>
      </c>
      <c r="F370" s="360">
        <f>D361/E370</f>
        <v>62.11472450052576</v>
      </c>
      <c r="G370" s="362">
        <f>H361/E370</f>
        <v>740.48562539432169</v>
      </c>
      <c r="H370" s="232" t="s">
        <v>539</v>
      </c>
      <c r="I370" s="361">
        <f>E370*G370</f>
        <v>375574.30920000002</v>
      </c>
    </row>
    <row r="371" spans="1:14">
      <c r="A371" s="956"/>
      <c r="B371" s="243"/>
      <c r="C371" s="363">
        <f>H337</f>
        <v>0</v>
      </c>
      <c r="D371" s="363">
        <f>H338</f>
        <v>0</v>
      </c>
      <c r="E371" s="363">
        <f>C371-D371</f>
        <v>0</v>
      </c>
      <c r="F371" s="288"/>
      <c r="G371" s="288"/>
      <c r="H371" s="232"/>
      <c r="I371" s="327">
        <f>E371*G371</f>
        <v>0</v>
      </c>
    </row>
    <row r="372" spans="1:14" ht="63">
      <c r="A372" s="1145" t="s">
        <v>380</v>
      </c>
      <c r="B372" s="1147"/>
      <c r="C372" s="359">
        <f>+D340</f>
        <v>783.33333333333337</v>
      </c>
      <c r="D372" s="364">
        <f>+D341</f>
        <v>0</v>
      </c>
      <c r="E372" s="359">
        <f>+C372-D372</f>
        <v>783.33333333333337</v>
      </c>
      <c r="F372" s="360">
        <f>+D361/E372</f>
        <v>40.218623319148939</v>
      </c>
      <c r="G372" s="362">
        <f>+H361/E372</f>
        <v>479.4565649361702</v>
      </c>
      <c r="H372" s="232" t="s">
        <v>540</v>
      </c>
      <c r="I372" s="361">
        <f>+E372*G372</f>
        <v>375574.30920000002</v>
      </c>
    </row>
    <row r="373" spans="1:14">
      <c r="A373" s="804"/>
      <c r="B373" s="805"/>
      <c r="C373" s="806"/>
      <c r="D373" s="806"/>
      <c r="E373" s="806"/>
      <c r="F373" s="674"/>
      <c r="G373" s="674"/>
      <c r="H373" s="804"/>
    </row>
    <row r="374" spans="1:14" ht="51" customHeight="1">
      <c r="A374" s="1155" t="s">
        <v>822</v>
      </c>
      <c r="B374" s="1155"/>
      <c r="C374" s="1155"/>
      <c r="D374" s="1155"/>
      <c r="E374" s="1155"/>
      <c r="F374" s="1155"/>
      <c r="G374" s="1155"/>
      <c r="H374" s="1155"/>
      <c r="I374" s="193"/>
      <c r="J374" s="192"/>
      <c r="K374" s="192"/>
    </row>
    <row r="375" spans="1:14">
      <c r="A375" s="358"/>
      <c r="B375" s="358"/>
      <c r="C375" s="358"/>
      <c r="D375" s="358"/>
      <c r="E375" s="358"/>
      <c r="F375" s="358"/>
      <c r="G375" s="358"/>
      <c r="H375" s="358"/>
      <c r="I375" s="192"/>
      <c r="J375" s="192"/>
      <c r="K375" s="192"/>
    </row>
    <row r="376" spans="1:14" ht="52.5">
      <c r="A376" s="243"/>
      <c r="B376" s="243"/>
      <c r="C376" s="368" t="s">
        <v>541</v>
      </c>
      <c r="D376" s="368" t="s">
        <v>542</v>
      </c>
      <c r="E376" s="368" t="s">
        <v>543</v>
      </c>
      <c r="F376" s="368" t="s">
        <v>544</v>
      </c>
      <c r="G376" s="368" t="s">
        <v>545</v>
      </c>
      <c r="H376" s="368" t="s">
        <v>546</v>
      </c>
      <c r="I376" s="192"/>
      <c r="J376" s="192"/>
      <c r="K376" s="192"/>
    </row>
    <row r="377" spans="1:14">
      <c r="A377" s="243"/>
      <c r="B377" s="243"/>
      <c r="C377" s="243"/>
      <c r="D377" s="243"/>
      <c r="E377" s="243"/>
      <c r="F377" s="243"/>
      <c r="G377" s="243">
        <v>12</v>
      </c>
      <c r="H377" s="243"/>
      <c r="I377" s="192"/>
      <c r="J377" s="192"/>
      <c r="K377" s="192"/>
    </row>
    <row r="378" spans="1:14" ht="75.75" customHeight="1">
      <c r="A378" s="1138" t="str">
        <f>+A368</f>
        <v>SERVICIO ONCOLÓGICO</v>
      </c>
      <c r="B378" s="1140"/>
      <c r="C378" s="369">
        <f t="shared" ref="C378:E380" si="30">C368</f>
        <v>2048.5</v>
      </c>
      <c r="D378" s="369">
        <f t="shared" si="30"/>
        <v>1303.8</v>
      </c>
      <c r="E378" s="369">
        <f t="shared" si="30"/>
        <v>744.7</v>
      </c>
      <c r="F378" s="370">
        <v>17</v>
      </c>
      <c r="G378" s="942">
        <f>F378*$G$377</f>
        <v>204</v>
      </c>
      <c r="H378" s="372">
        <f>G378*E378</f>
        <v>151918.80000000002</v>
      </c>
      <c r="I378" s="1188" t="s">
        <v>547</v>
      </c>
      <c r="J378" s="1189"/>
      <c r="K378" s="373"/>
      <c r="L378" s="728"/>
      <c r="M378" s="728"/>
    </row>
    <row r="379" spans="1:14" ht="28.5">
      <c r="A379" s="374"/>
      <c r="B379" s="374"/>
      <c r="C379" s="369">
        <f t="shared" si="30"/>
        <v>0</v>
      </c>
      <c r="D379" s="369">
        <f t="shared" si="30"/>
        <v>0</v>
      </c>
      <c r="E379" s="369">
        <f t="shared" si="30"/>
        <v>0</v>
      </c>
      <c r="F379" s="942"/>
      <c r="G379" s="942"/>
      <c r="H379" s="369">
        <f>G379*E379</f>
        <v>0</v>
      </c>
      <c r="I379" s="1190"/>
      <c r="J379" s="1190"/>
      <c r="K379" s="193"/>
      <c r="L379" s="634"/>
      <c r="M379" s="634"/>
    </row>
    <row r="380" spans="1:14" ht="65.25" customHeight="1">
      <c r="A380" s="1138" t="str">
        <f>+A370</f>
        <v>SERVICIO ENDOCRINO</v>
      </c>
      <c r="B380" s="1140"/>
      <c r="C380" s="369">
        <f t="shared" si="30"/>
        <v>1311</v>
      </c>
      <c r="D380" s="369">
        <f t="shared" si="30"/>
        <v>803.8</v>
      </c>
      <c r="E380" s="369">
        <f t="shared" si="30"/>
        <v>507.20000000000005</v>
      </c>
      <c r="F380" s="370">
        <v>22</v>
      </c>
      <c r="G380" s="942">
        <f>F380*$G$377</f>
        <v>264</v>
      </c>
      <c r="H380" s="372">
        <f>G380*E380</f>
        <v>133900.80000000002</v>
      </c>
      <c r="I380" s="1188" t="s">
        <v>548</v>
      </c>
      <c r="J380" s="1189"/>
      <c r="K380" s="373"/>
      <c r="L380" s="634"/>
      <c r="M380" s="634"/>
    </row>
    <row r="381" spans="1:14" ht="22.5" customHeight="1">
      <c r="A381" s="953"/>
      <c r="B381" s="376"/>
      <c r="C381" s="369"/>
      <c r="D381" s="369"/>
      <c r="E381" s="369"/>
      <c r="F381" s="370"/>
      <c r="G381" s="942"/>
      <c r="H381" s="372"/>
      <c r="I381" s="954"/>
      <c r="J381" s="378"/>
      <c r="K381" s="379"/>
    </row>
    <row r="382" spans="1:14" ht="22.5" customHeight="1">
      <c r="A382" s="1138" t="str">
        <f>+A372</f>
        <v>SERVICIO DE IMPORTACIÓN</v>
      </c>
      <c r="B382" s="1140"/>
      <c r="C382" s="369">
        <f>+C372</f>
        <v>783.33333333333337</v>
      </c>
      <c r="D382" s="369">
        <f>+D372</f>
        <v>0</v>
      </c>
      <c r="E382" s="369">
        <f>+C382-D382</f>
        <v>783.33333333333337</v>
      </c>
      <c r="F382" s="370">
        <v>10</v>
      </c>
      <c r="G382" s="942">
        <f>F382*$G$377</f>
        <v>120</v>
      </c>
      <c r="H382" s="372">
        <f>+E382*G382</f>
        <v>94000</v>
      </c>
      <c r="I382" s="954"/>
      <c r="J382" s="378"/>
      <c r="K382" s="379"/>
    </row>
    <row r="383" spans="1:14">
      <c r="A383" s="243"/>
      <c r="B383" s="243"/>
      <c r="C383" s="380">
        <f>C371</f>
        <v>0</v>
      </c>
      <c r="D383" s="380">
        <f>D371</f>
        <v>0</v>
      </c>
      <c r="E383" s="380">
        <f>E371</f>
        <v>0</v>
      </c>
      <c r="F383" s="297"/>
      <c r="G383" s="297"/>
      <c r="H383" s="380">
        <f>G383*E383</f>
        <v>0</v>
      </c>
      <c r="I383" s="1190"/>
      <c r="J383" s="1190"/>
      <c r="K383" s="193"/>
      <c r="L383" s="772"/>
      <c r="M383" s="728"/>
      <c r="N383" s="772"/>
    </row>
    <row r="384" spans="1:14" ht="31.5">
      <c r="A384" s="381"/>
      <c r="B384" s="381"/>
      <c r="C384" s="948"/>
      <c r="D384" s="948"/>
      <c r="E384" s="382" t="s">
        <v>183</v>
      </c>
      <c r="F384" s="383">
        <f>SUM(F378:F383)</f>
        <v>49</v>
      </c>
      <c r="G384" s="384">
        <f>SUM(G378:G383)</f>
        <v>588</v>
      </c>
      <c r="H384" s="383">
        <f>SUM(H378:H383)</f>
        <v>379819.60000000003</v>
      </c>
      <c r="I384" s="192"/>
      <c r="J384" s="207"/>
      <c r="K384" s="207"/>
      <c r="L384" s="772"/>
      <c r="M384" s="728"/>
      <c r="N384" s="772"/>
    </row>
    <row r="385" spans="1:14" ht="72.75" customHeight="1">
      <c r="A385" s="949"/>
      <c r="B385" s="949"/>
      <c r="C385" s="949"/>
      <c r="D385" s="949"/>
      <c r="E385" s="949"/>
      <c r="F385" s="385"/>
      <c r="G385" s="386" t="s">
        <v>549</v>
      </c>
      <c r="H385" s="387">
        <f>I370</f>
        <v>375574.30920000002</v>
      </c>
      <c r="I385" s="192"/>
      <c r="J385" s="207"/>
      <c r="K385" s="207"/>
      <c r="L385" s="772"/>
      <c r="M385" s="728"/>
      <c r="N385" s="772"/>
    </row>
    <row r="386" spans="1:14" ht="37.5" customHeight="1">
      <c r="A386" s="192"/>
      <c r="B386" s="192"/>
      <c r="C386" s="192"/>
      <c r="D386" s="192"/>
      <c r="E386" s="192"/>
      <c r="F386" s="192"/>
      <c r="G386" s="192"/>
      <c r="H386" s="369">
        <f>H384-H361</f>
        <v>4245.290800000017</v>
      </c>
      <c r="I386" s="1178" t="s">
        <v>550</v>
      </c>
      <c r="J386" s="1178"/>
      <c r="K386" s="388"/>
      <c r="L386" s="772"/>
      <c r="M386" s="728"/>
      <c r="N386" s="772"/>
    </row>
    <row r="387" spans="1:14" hidden="1">
      <c r="L387" s="634"/>
    </row>
    <row r="388" spans="1:14">
      <c r="L388" s="634"/>
    </row>
    <row r="389" spans="1:14" ht="52.5">
      <c r="B389" s="974" t="s">
        <v>840</v>
      </c>
      <c r="D389" s="809" t="s">
        <v>552</v>
      </c>
      <c r="L389" s="634"/>
    </row>
    <row r="390" spans="1:14">
      <c r="L390" s="634"/>
    </row>
    <row r="391" spans="1:14" ht="21.75" customHeight="1" thickBot="1">
      <c r="A391" s="215"/>
      <c r="B391" s="215"/>
      <c r="C391" s="215"/>
      <c r="D391" s="1179" t="s">
        <v>553</v>
      </c>
      <c r="E391" s="1180"/>
      <c r="F391" s="1180"/>
      <c r="G391" s="1180"/>
      <c r="H391" s="1181"/>
      <c r="L391" s="634"/>
    </row>
    <row r="392" spans="1:14" ht="132" customHeight="1" thickBot="1">
      <c r="A392" s="1353" t="s">
        <v>841</v>
      </c>
      <c r="B392" s="1354"/>
      <c r="C392" s="1355"/>
      <c r="D392" s="958" t="s">
        <v>555</v>
      </c>
      <c r="E392" s="950">
        <v>2</v>
      </c>
      <c r="F392" s="950">
        <v>3</v>
      </c>
      <c r="G392" s="950">
        <v>4</v>
      </c>
      <c r="H392" s="950">
        <v>5</v>
      </c>
      <c r="J392" s="810"/>
      <c r="K392" s="810"/>
      <c r="L392" s="634"/>
    </row>
    <row r="393" spans="1:14" ht="63" customHeight="1">
      <c r="A393" s="1185" t="s">
        <v>556</v>
      </c>
      <c r="B393" s="1186"/>
      <c r="C393" s="1187"/>
      <c r="D393" s="393">
        <v>2023</v>
      </c>
      <c r="E393" s="394">
        <f>D393+1</f>
        <v>2024</v>
      </c>
      <c r="F393" s="394">
        <f>E393+1</f>
        <v>2025</v>
      </c>
      <c r="G393" s="394">
        <f>F393+1</f>
        <v>2026</v>
      </c>
      <c r="H393" s="394">
        <f>G393+1</f>
        <v>2027</v>
      </c>
    </row>
    <row r="394" spans="1:14" ht="72" customHeight="1">
      <c r="A394" s="1169" t="s">
        <v>557</v>
      </c>
      <c r="B394" s="1170"/>
      <c r="C394" s="1171"/>
      <c r="D394" s="940" t="s">
        <v>558</v>
      </c>
      <c r="E394" s="396">
        <v>0.01</v>
      </c>
      <c r="F394" s="396">
        <v>0.01</v>
      </c>
      <c r="G394" s="396">
        <v>0.01</v>
      </c>
      <c r="H394" s="396">
        <v>0.01</v>
      </c>
    </row>
    <row r="395" spans="1:14" ht="61.5" customHeight="1">
      <c r="A395" s="1172" t="s">
        <v>559</v>
      </c>
      <c r="B395" s="1173"/>
      <c r="C395" s="1174"/>
      <c r="D395" s="940" t="s">
        <v>558</v>
      </c>
      <c r="E395" s="397">
        <v>1.01</v>
      </c>
      <c r="F395" s="397">
        <v>1.01</v>
      </c>
      <c r="G395" s="397">
        <v>1.01</v>
      </c>
      <c r="H395" s="397">
        <v>1.01</v>
      </c>
    </row>
    <row r="396" spans="1:14" ht="23.25">
      <c r="A396" s="951"/>
      <c r="B396" s="399"/>
      <c r="C396" s="952"/>
      <c r="D396" s="401" t="s">
        <v>553</v>
      </c>
      <c r="E396" s="402">
        <v>2024</v>
      </c>
      <c r="F396" s="402">
        <v>2025</v>
      </c>
      <c r="G396" s="402">
        <v>2026</v>
      </c>
      <c r="H396" s="402">
        <v>2027</v>
      </c>
      <c r="K396" s="980"/>
      <c r="L396" s="812"/>
    </row>
    <row r="397" spans="1:14" ht="68.25" customHeight="1">
      <c r="A397" s="1169" t="s">
        <v>560</v>
      </c>
      <c r="B397" s="1170"/>
      <c r="C397" s="1171"/>
      <c r="D397" s="940" t="s">
        <v>558</v>
      </c>
      <c r="E397" s="396">
        <v>5.0000000000000001E-3</v>
      </c>
      <c r="F397" s="396">
        <v>5.0000000000000001E-3</v>
      </c>
      <c r="G397" s="396">
        <v>5.0000000000000001E-3</v>
      </c>
      <c r="H397" s="396">
        <v>5.0000000000000001E-3</v>
      </c>
      <c r="I397" s="813"/>
      <c r="J397" s="813"/>
      <c r="K397" s="813"/>
      <c r="L397" s="634"/>
    </row>
    <row r="398" spans="1:14" ht="50.25" customHeight="1">
      <c r="A398" s="1172" t="s">
        <v>561</v>
      </c>
      <c r="B398" s="1173"/>
      <c r="C398" s="1174"/>
      <c r="D398" s="940" t="s">
        <v>558</v>
      </c>
      <c r="E398" s="944">
        <v>1.0049999999999999</v>
      </c>
      <c r="F398" s="944">
        <v>1.0049999999999999</v>
      </c>
      <c r="G398" s="944">
        <v>1.0049999999999999</v>
      </c>
      <c r="H398" s="405">
        <v>1.0049999999999999</v>
      </c>
      <c r="I398" s="813"/>
      <c r="J398" s="815"/>
      <c r="K398" s="815"/>
      <c r="L398" s="634"/>
    </row>
    <row r="399" spans="1:14" ht="28.5">
      <c r="A399" s="345"/>
      <c r="B399" s="345"/>
      <c r="C399" s="345"/>
      <c r="D399" s="952" t="s">
        <v>553</v>
      </c>
      <c r="E399" s="402">
        <f>E396</f>
        <v>2024</v>
      </c>
      <c r="F399" s="402">
        <f>F396</f>
        <v>2025</v>
      </c>
      <c r="G399" s="402">
        <f>G396</f>
        <v>2026</v>
      </c>
      <c r="H399" s="402">
        <f>H396</f>
        <v>2027</v>
      </c>
      <c r="I399" s="813"/>
      <c r="J399" s="813"/>
      <c r="K399" s="813"/>
      <c r="L399" s="634"/>
    </row>
    <row r="400" spans="1:14" ht="78.75" customHeight="1">
      <c r="A400" s="1169" t="s">
        <v>562</v>
      </c>
      <c r="B400" s="1170"/>
      <c r="C400" s="1171"/>
      <c r="D400" s="947" t="s">
        <v>558</v>
      </c>
      <c r="E400" s="407">
        <v>0.01</v>
      </c>
      <c r="F400" s="407">
        <v>0.01</v>
      </c>
      <c r="G400" s="407">
        <v>0.01</v>
      </c>
      <c r="H400" s="407">
        <v>0.01</v>
      </c>
      <c r="I400" s="813"/>
      <c r="J400" s="813"/>
      <c r="K400" s="816"/>
      <c r="L400" s="634"/>
    </row>
    <row r="401" spans="1:12" ht="45.75" customHeight="1">
      <c r="A401" s="1172" t="s">
        <v>563</v>
      </c>
      <c r="B401" s="1173"/>
      <c r="C401" s="1174"/>
      <c r="D401" s="947" t="s">
        <v>558</v>
      </c>
      <c r="E401" s="959">
        <v>1.01</v>
      </c>
      <c r="F401" s="959">
        <v>1.01</v>
      </c>
      <c r="G401" s="959">
        <v>1.01</v>
      </c>
      <c r="H401" s="959">
        <v>1.01</v>
      </c>
      <c r="I401" s="813"/>
      <c r="J401" s="813"/>
      <c r="K401" s="813"/>
      <c r="L401" s="634"/>
    </row>
    <row r="402" spans="1:12" ht="28.5">
      <c r="A402" s="345"/>
      <c r="B402" s="345"/>
      <c r="C402" s="345"/>
      <c r="D402" s="952" t="s">
        <v>553</v>
      </c>
      <c r="E402" s="408">
        <f>E399</f>
        <v>2024</v>
      </c>
      <c r="F402" s="408">
        <f>F399</f>
        <v>2025</v>
      </c>
      <c r="G402" s="408">
        <f>G399</f>
        <v>2026</v>
      </c>
      <c r="H402" s="408">
        <f>H399</f>
        <v>2027</v>
      </c>
      <c r="I402" s="813"/>
      <c r="J402" s="813"/>
      <c r="K402" s="813"/>
      <c r="L402" s="634"/>
    </row>
    <row r="403" spans="1:12" ht="57" customHeight="1">
      <c r="A403" s="1175" t="s">
        <v>564</v>
      </c>
      <c r="B403" s="1176"/>
      <c r="C403" s="1177"/>
      <c r="D403" s="947" t="s">
        <v>558</v>
      </c>
      <c r="E403" s="407">
        <v>0.05</v>
      </c>
      <c r="F403" s="407">
        <v>0.06</v>
      </c>
      <c r="G403" s="407">
        <v>7.0000000000000007E-2</v>
      </c>
      <c r="H403" s="407">
        <v>0.08</v>
      </c>
      <c r="I403" s="813"/>
      <c r="J403" s="813"/>
      <c r="K403" s="816"/>
      <c r="L403" s="634"/>
    </row>
    <row r="404" spans="1:12" ht="39.75" customHeight="1">
      <c r="A404" s="1172" t="s">
        <v>565</v>
      </c>
      <c r="B404" s="1173"/>
      <c r="C404" s="1174"/>
      <c r="D404" s="947" t="s">
        <v>558</v>
      </c>
      <c r="E404" s="988">
        <v>1.05</v>
      </c>
      <c r="F404" s="959">
        <v>1.06</v>
      </c>
      <c r="G404" s="988">
        <v>1.07</v>
      </c>
      <c r="H404" s="988">
        <v>1.08</v>
      </c>
      <c r="L404" s="634"/>
    </row>
    <row r="405" spans="1:12">
      <c r="L405" s="634"/>
    </row>
    <row r="406" spans="1:12">
      <c r="L406" s="634"/>
    </row>
    <row r="407" spans="1:12">
      <c r="L407" s="634"/>
    </row>
    <row r="409" spans="1:12" ht="60" customHeight="1">
      <c r="A409" s="759">
        <v>1</v>
      </c>
      <c r="B409" s="1352" t="s">
        <v>566</v>
      </c>
      <c r="C409" s="1287"/>
      <c r="D409" s="1287"/>
      <c r="E409" s="1287"/>
      <c r="F409" s="1287"/>
      <c r="G409" s="1287"/>
      <c r="H409" s="1287"/>
    </row>
    <row r="411" spans="1:12">
      <c r="B411" s="731"/>
      <c r="C411" s="731"/>
      <c r="D411" s="731"/>
      <c r="E411" s="731"/>
      <c r="F411" s="776" t="s">
        <v>567</v>
      </c>
      <c r="G411" s="776" t="s">
        <v>567</v>
      </c>
      <c r="H411" s="776" t="s">
        <v>567</v>
      </c>
      <c r="I411" s="776" t="s">
        <v>567</v>
      </c>
      <c r="J411" s="776" t="s">
        <v>567</v>
      </c>
    </row>
    <row r="412" spans="1:12">
      <c r="B412" s="731"/>
      <c r="C412" s="731"/>
      <c r="D412" s="731"/>
      <c r="E412" s="731"/>
      <c r="F412" s="817">
        <v>1</v>
      </c>
      <c r="G412" s="817">
        <v>2</v>
      </c>
      <c r="H412" s="817">
        <v>3</v>
      </c>
      <c r="I412" s="817">
        <v>4</v>
      </c>
      <c r="J412" s="817">
        <v>5</v>
      </c>
    </row>
    <row r="413" spans="1:12" ht="63" customHeight="1">
      <c r="B413" s="1287" t="s">
        <v>568</v>
      </c>
      <c r="C413" s="1287"/>
      <c r="D413" s="1287"/>
      <c r="E413" s="774"/>
      <c r="F413" s="972">
        <f>D393</f>
        <v>2023</v>
      </c>
      <c r="G413" s="972">
        <f>E393</f>
        <v>2024</v>
      </c>
      <c r="H413" s="972">
        <f>F393</f>
        <v>2025</v>
      </c>
      <c r="I413" s="972">
        <f>G393</f>
        <v>2026</v>
      </c>
      <c r="J413" s="972">
        <f>H393</f>
        <v>2027</v>
      </c>
    </row>
    <row r="414" spans="1:12">
      <c r="B414" s="731"/>
      <c r="C414" s="731"/>
      <c r="D414" s="731"/>
      <c r="E414" s="731"/>
      <c r="F414" s="731"/>
      <c r="G414" s="731"/>
      <c r="H414" s="731"/>
      <c r="I414" s="731"/>
      <c r="J414" s="731"/>
    </row>
    <row r="415" spans="1:12" ht="21" customHeight="1">
      <c r="B415" s="1166" t="s">
        <v>569</v>
      </c>
      <c r="C415" s="1166"/>
      <c r="D415" s="1166"/>
      <c r="E415" s="1166"/>
      <c r="F415" s="215"/>
      <c r="G415" s="411">
        <f>E395</f>
        <v>1.01</v>
      </c>
      <c r="H415" s="411">
        <f>F395</f>
        <v>1.01</v>
      </c>
      <c r="I415" s="411">
        <f>G395</f>
        <v>1.01</v>
      </c>
      <c r="J415" s="411">
        <f>H395</f>
        <v>1.01</v>
      </c>
    </row>
    <row r="416" spans="1:12" ht="21" customHeight="1">
      <c r="B416" s="1166" t="s">
        <v>570</v>
      </c>
      <c r="C416" s="1166"/>
      <c r="D416" s="1166"/>
      <c r="E416" s="1166"/>
      <c r="F416" s="215"/>
      <c r="G416" s="411">
        <f>E395</f>
        <v>1.01</v>
      </c>
      <c r="H416" s="411">
        <f>F395</f>
        <v>1.01</v>
      </c>
      <c r="I416" s="411">
        <f>G395</f>
        <v>1.01</v>
      </c>
      <c r="J416" s="411">
        <f>H395</f>
        <v>1.01</v>
      </c>
    </row>
    <row r="417" spans="2:10" ht="21" customHeight="1">
      <c r="B417" s="1166" t="s">
        <v>571</v>
      </c>
      <c r="C417" s="1166"/>
      <c r="D417" s="1166"/>
      <c r="E417" s="1166"/>
      <c r="F417" s="215"/>
      <c r="G417" s="411">
        <f>+E395</f>
        <v>1.01</v>
      </c>
      <c r="H417" s="411">
        <f t="shared" ref="H417:J417" si="31">+F395</f>
        <v>1.01</v>
      </c>
      <c r="I417" s="411">
        <f t="shared" si="31"/>
        <v>1.01</v>
      </c>
      <c r="J417" s="411">
        <f t="shared" si="31"/>
        <v>1.01</v>
      </c>
    </row>
    <row r="418" spans="2:10" ht="21" customHeight="1">
      <c r="B418" s="1166" t="s">
        <v>572</v>
      </c>
      <c r="C418" s="1166"/>
      <c r="D418" s="1166"/>
      <c r="E418" s="1166"/>
      <c r="F418" s="215"/>
      <c r="G418" s="411">
        <f>E398</f>
        <v>1.0049999999999999</v>
      </c>
      <c r="H418" s="411">
        <f>F398</f>
        <v>1.0049999999999999</v>
      </c>
      <c r="I418" s="411">
        <f>G398</f>
        <v>1.0049999999999999</v>
      </c>
      <c r="J418" s="411">
        <f>H398</f>
        <v>1.0049999999999999</v>
      </c>
    </row>
    <row r="419" spans="2:10">
      <c r="B419" s="1166" t="s">
        <v>573</v>
      </c>
      <c r="C419" s="1166"/>
      <c r="D419" s="1166"/>
      <c r="E419" s="1166"/>
      <c r="F419" s="215"/>
      <c r="G419" s="411">
        <f>E398</f>
        <v>1.0049999999999999</v>
      </c>
      <c r="H419" s="411">
        <f>F398</f>
        <v>1.0049999999999999</v>
      </c>
      <c r="I419" s="411">
        <f>G398</f>
        <v>1.0049999999999999</v>
      </c>
      <c r="J419" s="411">
        <f>H398</f>
        <v>1.0049999999999999</v>
      </c>
    </row>
    <row r="420" spans="2:10">
      <c r="B420" s="1166" t="s">
        <v>574</v>
      </c>
      <c r="C420" s="1166"/>
      <c r="D420" s="1166"/>
      <c r="E420" s="1166"/>
      <c r="F420" s="215"/>
      <c r="G420" s="411">
        <f>+E398</f>
        <v>1.0049999999999999</v>
      </c>
      <c r="H420" s="411">
        <f t="shared" ref="H420:J420" si="32">+F398</f>
        <v>1.0049999999999999</v>
      </c>
      <c r="I420" s="411">
        <f t="shared" si="32"/>
        <v>1.0049999999999999</v>
      </c>
      <c r="J420" s="411">
        <f t="shared" si="32"/>
        <v>1.0049999999999999</v>
      </c>
    </row>
    <row r="421" spans="2:10">
      <c r="B421" s="215"/>
      <c r="C421" s="215"/>
      <c r="D421" s="215"/>
      <c r="E421" s="215"/>
      <c r="F421" s="215"/>
      <c r="G421" s="412"/>
      <c r="H421" s="412"/>
      <c r="I421" s="412"/>
      <c r="J421" s="412"/>
    </row>
    <row r="422" spans="2:10" ht="42" customHeight="1">
      <c r="B422" s="1287" t="s">
        <v>575</v>
      </c>
      <c r="C422" s="1287"/>
      <c r="D422" s="731"/>
      <c r="E422" s="731"/>
      <c r="F422" s="731"/>
      <c r="G422" s="731"/>
      <c r="H422" s="731"/>
      <c r="I422" s="731"/>
      <c r="J422" s="731"/>
    </row>
    <row r="423" spans="2:10" ht="37.5">
      <c r="B423" s="1167" t="s">
        <v>536</v>
      </c>
      <c r="C423" s="1167"/>
      <c r="D423" s="1167"/>
      <c r="E423" s="413" t="s">
        <v>576</v>
      </c>
      <c r="F423" s="987">
        <v>287.97599999999994</v>
      </c>
      <c r="G423" s="987">
        <v>297.09663188399992</v>
      </c>
      <c r="H423" s="987">
        <v>306.81050336007917</v>
      </c>
      <c r="I423" s="987">
        <v>317.15630693863267</v>
      </c>
      <c r="J423" s="987">
        <v>328.17590282321544</v>
      </c>
    </row>
    <row r="424" spans="2:10" ht="37.5">
      <c r="B424" s="1167" t="s">
        <v>538</v>
      </c>
      <c r="C424" s="1167"/>
      <c r="D424" s="1167"/>
      <c r="E424" s="413" t="s">
        <v>577</v>
      </c>
      <c r="F424" s="987">
        <v>383.99640000000005</v>
      </c>
      <c r="G424" s="987">
        <v>396.1581419826</v>
      </c>
      <c r="H424" s="987">
        <v>409.11092859286305</v>
      </c>
      <c r="I424" s="987">
        <v>422.90635366047866</v>
      </c>
      <c r="J424" s="987">
        <v>437.60023491841201</v>
      </c>
    </row>
    <row r="425" spans="2:10" ht="37.5">
      <c r="B425" s="1167" t="s">
        <v>380</v>
      </c>
      <c r="C425" s="1167"/>
      <c r="D425" s="1167"/>
      <c r="E425" s="413" t="s">
        <v>578</v>
      </c>
      <c r="F425" s="987">
        <v>180.02759999999998</v>
      </c>
      <c r="G425" s="987">
        <v>185.72934413339993</v>
      </c>
      <c r="H425" s="987">
        <v>191.80195076918557</v>
      </c>
      <c r="I425" s="987">
        <v>198.26960845009788</v>
      </c>
      <c r="J425" s="987">
        <v>205.15848599569654</v>
      </c>
    </row>
    <row r="426" spans="2:10">
      <c r="B426" s="731"/>
      <c r="C426" s="731"/>
      <c r="D426" s="731"/>
      <c r="E426" s="731"/>
      <c r="F426" s="731"/>
      <c r="G426" s="731"/>
      <c r="H426" s="731"/>
      <c r="I426" s="731"/>
      <c r="J426" s="731"/>
    </row>
    <row r="427" spans="2:10" ht="63" customHeight="1">
      <c r="B427" s="1287" t="s">
        <v>579</v>
      </c>
      <c r="C427" s="1287"/>
      <c r="D427" s="1287"/>
      <c r="E427" s="731"/>
      <c r="F427" s="731"/>
      <c r="G427" s="731"/>
      <c r="H427" s="731"/>
      <c r="I427" s="731"/>
      <c r="J427" s="731"/>
    </row>
    <row r="428" spans="2:10">
      <c r="B428" s="731"/>
      <c r="C428" s="731"/>
      <c r="D428" s="731"/>
      <c r="E428" s="731"/>
      <c r="F428" s="731"/>
      <c r="G428" s="731"/>
      <c r="H428" s="731"/>
      <c r="I428" s="731"/>
      <c r="J428" s="731"/>
    </row>
    <row r="429" spans="2:10" ht="21" customHeight="1">
      <c r="B429" s="1166" t="s">
        <v>827</v>
      </c>
      <c r="C429" s="1166"/>
      <c r="D429" s="1166"/>
      <c r="E429" s="1166"/>
      <c r="F429" s="215"/>
      <c r="G429" s="414">
        <f>E401</f>
        <v>1.01</v>
      </c>
      <c r="H429" s="414">
        <f>F401</f>
        <v>1.01</v>
      </c>
      <c r="I429" s="414">
        <f>G401</f>
        <v>1.01</v>
      </c>
      <c r="J429" s="414">
        <f>H401</f>
        <v>1.01</v>
      </c>
    </row>
    <row r="430" spans="2:10" ht="21" customHeight="1">
      <c r="B430" s="1166" t="s">
        <v>825</v>
      </c>
      <c r="C430" s="1166"/>
      <c r="D430" s="1166"/>
      <c r="E430" s="1166"/>
      <c r="F430" s="215"/>
      <c r="G430" s="414">
        <f>E401</f>
        <v>1.01</v>
      </c>
      <c r="H430" s="414">
        <f>F401</f>
        <v>1.01</v>
      </c>
      <c r="I430" s="414">
        <f>G401</f>
        <v>1.01</v>
      </c>
      <c r="J430" s="414">
        <f>H401</f>
        <v>1.01</v>
      </c>
    </row>
    <row r="431" spans="2:10" ht="21" customHeight="1">
      <c r="B431" s="1166" t="s">
        <v>826</v>
      </c>
      <c r="C431" s="1166"/>
      <c r="D431" s="1166"/>
      <c r="E431" s="1166"/>
      <c r="F431" s="215"/>
      <c r="G431" s="414">
        <f>+E401</f>
        <v>1.01</v>
      </c>
      <c r="H431" s="414">
        <f t="shared" ref="H431:J431" si="33">+F401</f>
        <v>1.01</v>
      </c>
      <c r="I431" s="414">
        <f t="shared" si="33"/>
        <v>1.01</v>
      </c>
      <c r="J431" s="414">
        <f t="shared" si="33"/>
        <v>1.01</v>
      </c>
    </row>
    <row r="432" spans="2:10">
      <c r="B432" s="731"/>
      <c r="C432" s="731"/>
      <c r="D432" s="731"/>
      <c r="E432" s="731"/>
      <c r="F432" s="731"/>
      <c r="G432" s="818"/>
      <c r="H432" s="818"/>
      <c r="I432" s="818"/>
      <c r="J432" s="818"/>
    </row>
    <row r="433" spans="1:11" ht="37.5" customHeight="1">
      <c r="B433" s="1156" t="s">
        <v>581</v>
      </c>
      <c r="C433" s="1156"/>
      <c r="D433" s="1156"/>
      <c r="E433" s="413" t="s">
        <v>576</v>
      </c>
      <c r="F433" s="416">
        <f>C19</f>
        <v>2048.5</v>
      </c>
      <c r="G433" s="416">
        <f>F433*G429</f>
        <v>2068.9850000000001</v>
      </c>
      <c r="H433" s="416">
        <f t="shared" ref="H433:J433" si="34">G433*H429</f>
        <v>2089.6748500000003</v>
      </c>
      <c r="I433" s="416">
        <f t="shared" si="34"/>
        <v>2110.5715985000002</v>
      </c>
      <c r="J433" s="416">
        <f t="shared" si="34"/>
        <v>2131.6773144850004</v>
      </c>
    </row>
    <row r="434" spans="1:11" ht="37.5" customHeight="1">
      <c r="B434" s="1156" t="s">
        <v>580</v>
      </c>
      <c r="C434" s="1156"/>
      <c r="D434" s="1156"/>
      <c r="E434" s="413" t="s">
        <v>577</v>
      </c>
      <c r="F434" s="416">
        <f>D19</f>
        <v>1311</v>
      </c>
      <c r="G434" s="416">
        <f t="shared" ref="G434:J435" si="35">F434*G430</f>
        <v>1324.11</v>
      </c>
      <c r="H434" s="416">
        <f t="shared" si="35"/>
        <v>1337.3510999999999</v>
      </c>
      <c r="I434" s="416">
        <f t="shared" si="35"/>
        <v>1350.7246109999999</v>
      </c>
      <c r="J434" s="416">
        <f t="shared" si="35"/>
        <v>1364.23185711</v>
      </c>
    </row>
    <row r="435" spans="1:11" ht="37.5" customHeight="1">
      <c r="B435" s="1156" t="s">
        <v>582</v>
      </c>
      <c r="C435" s="1156"/>
      <c r="D435" s="1156"/>
      <c r="E435" s="413" t="s">
        <v>578</v>
      </c>
      <c r="F435" s="416">
        <f>G19</f>
        <v>783.33333333333337</v>
      </c>
      <c r="G435" s="416">
        <f t="shared" si="35"/>
        <v>791.16666666666674</v>
      </c>
      <c r="H435" s="416">
        <f t="shared" si="35"/>
        <v>799.07833333333338</v>
      </c>
      <c r="I435" s="416">
        <f t="shared" si="35"/>
        <v>807.06911666666667</v>
      </c>
      <c r="J435" s="416">
        <f t="shared" si="35"/>
        <v>815.13980783333329</v>
      </c>
    </row>
    <row r="436" spans="1:11">
      <c r="B436" s="819"/>
      <c r="C436" s="819"/>
      <c r="D436" s="819"/>
      <c r="E436" s="819"/>
      <c r="F436" s="820"/>
      <c r="G436" s="820"/>
      <c r="H436" s="820"/>
      <c r="I436" s="820"/>
      <c r="J436" s="820"/>
    </row>
    <row r="437" spans="1:11" ht="58.5" customHeight="1">
      <c r="B437" s="1306" t="s">
        <v>583</v>
      </c>
      <c r="C437" s="1307"/>
      <c r="D437" s="1307"/>
      <c r="E437" s="1307"/>
      <c r="F437" s="1307"/>
      <c r="G437" s="1307"/>
      <c r="H437" s="1307"/>
      <c r="I437" s="1307"/>
      <c r="J437" s="1308"/>
    </row>
    <row r="438" spans="1:11">
      <c r="B438" s="821"/>
      <c r="C438" s="821"/>
      <c r="D438" s="821"/>
      <c r="E438" s="821"/>
      <c r="F438" s="822" t="s">
        <v>521</v>
      </c>
      <c r="G438" s="822" t="s">
        <v>521</v>
      </c>
      <c r="H438" s="822" t="s">
        <v>521</v>
      </c>
      <c r="I438" s="823" t="s">
        <v>521</v>
      </c>
      <c r="J438" s="823" t="s">
        <v>521</v>
      </c>
    </row>
    <row r="439" spans="1:11" ht="84" customHeight="1">
      <c r="B439" s="1309" t="s">
        <v>584</v>
      </c>
      <c r="C439" s="1309"/>
      <c r="D439" s="1309"/>
      <c r="E439" s="1309"/>
      <c r="F439" s="975">
        <f>F413</f>
        <v>2023</v>
      </c>
      <c r="G439" s="975">
        <f>G413</f>
        <v>2024</v>
      </c>
      <c r="H439" s="975">
        <f>H413</f>
        <v>2025</v>
      </c>
      <c r="I439" s="975">
        <f>I413</f>
        <v>2026</v>
      </c>
      <c r="J439" s="975">
        <f>J413</f>
        <v>2027</v>
      </c>
    </row>
    <row r="440" spans="1:11">
      <c r="B440" s="1162" t="s">
        <v>538</v>
      </c>
      <c r="C440" s="1163"/>
      <c r="D440" s="1163"/>
      <c r="E440" s="1164"/>
      <c r="F440" s="283">
        <f>P208</f>
        <v>589918.83600000001</v>
      </c>
      <c r="G440" s="283">
        <f>G423*G433</f>
        <v>614688.47491851763</v>
      </c>
      <c r="H440" s="283">
        <f t="shared" ref="H440:J440" si="36">H423*H433</f>
        <v>641134.19258739799</v>
      </c>
      <c r="I440" s="283">
        <f t="shared" si="36"/>
        <v>669381.09370982659</v>
      </c>
      <c r="J440" s="283">
        <f t="shared" si="36"/>
        <v>699565.12720888236</v>
      </c>
    </row>
    <row r="441" spans="1:11">
      <c r="B441" s="1162" t="s">
        <v>536</v>
      </c>
      <c r="C441" s="1163"/>
      <c r="D441" s="1163"/>
      <c r="E441" s="1164"/>
      <c r="F441" s="283">
        <f>P209</f>
        <v>503419.28040000005</v>
      </c>
      <c r="G441" s="283">
        <f t="shared" ref="G441:J442" si="37">G424*G434</f>
        <v>524556.95738058048</v>
      </c>
      <c r="H441" s="283">
        <f t="shared" si="37"/>
        <v>547124.95037568675</v>
      </c>
      <c r="I441" s="283">
        <f t="shared" si="37"/>
        <v>571230.02003747842</v>
      </c>
      <c r="J441" s="283">
        <f t="shared" si="37"/>
        <v>596988.18115451746</v>
      </c>
    </row>
    <row r="442" spans="1:11">
      <c r="B442" s="1162" t="s">
        <v>830</v>
      </c>
      <c r="C442" s="1163"/>
      <c r="D442" s="1163"/>
      <c r="E442" s="1164"/>
      <c r="F442" s="283">
        <f>P210</f>
        <v>141021.62000000002</v>
      </c>
      <c r="G442" s="283">
        <f t="shared" si="37"/>
        <v>146942.86610020825</v>
      </c>
      <c r="H442" s="283">
        <f t="shared" si="37"/>
        <v>153264.78315072285</v>
      </c>
      <c r="I442" s="283">
        <f t="shared" si="37"/>
        <v>160017.27775366636</v>
      </c>
      <c r="J442" s="283">
        <f t="shared" si="37"/>
        <v>167232.84884990967</v>
      </c>
    </row>
    <row r="443" spans="1:11" ht="42" customHeight="1">
      <c r="B443" s="1152" t="s">
        <v>585</v>
      </c>
      <c r="C443" s="1153"/>
      <c r="D443" s="1153"/>
      <c r="E443" s="1154"/>
      <c r="F443" s="283">
        <f>SUM(F440:F442)</f>
        <v>1234359.7364000003</v>
      </c>
      <c r="G443" s="283">
        <f>SUM(G440:G442)</f>
        <v>1286188.2983993064</v>
      </c>
      <c r="H443" s="283">
        <f t="shared" ref="H443:J443" si="38">SUM(H440:H442)</f>
        <v>1341523.9261138076</v>
      </c>
      <c r="I443" s="283">
        <f t="shared" si="38"/>
        <v>1400628.3915009713</v>
      </c>
      <c r="J443" s="283">
        <f t="shared" si="38"/>
        <v>1463786.1572133095</v>
      </c>
    </row>
    <row r="444" spans="1:11">
      <c r="B444" s="731"/>
      <c r="C444" s="731"/>
      <c r="D444" s="731"/>
      <c r="E444" s="731"/>
      <c r="F444" s="731"/>
      <c r="G444" s="731"/>
      <c r="H444" s="731"/>
      <c r="I444" s="731"/>
      <c r="J444" s="731"/>
      <c r="K444" s="635" t="s">
        <v>586</v>
      </c>
    </row>
    <row r="445" spans="1:11">
      <c r="B445" s="731"/>
      <c r="C445" s="731"/>
      <c r="D445" s="731"/>
      <c r="E445" s="731"/>
      <c r="F445" s="731"/>
      <c r="G445" s="731"/>
      <c r="H445" s="731"/>
      <c r="I445" s="731"/>
      <c r="J445" s="731"/>
    </row>
    <row r="446" spans="1:11">
      <c r="B446" s="731"/>
      <c r="C446" s="731"/>
      <c r="D446" s="731"/>
      <c r="E446" s="731"/>
      <c r="F446" s="731"/>
      <c r="G446" s="731"/>
      <c r="H446" s="731"/>
      <c r="I446" s="731"/>
      <c r="J446" s="731"/>
    </row>
    <row r="447" spans="1:11">
      <c r="B447" s="731"/>
      <c r="C447" s="731"/>
      <c r="D447" s="731"/>
      <c r="E447" s="731"/>
      <c r="F447" s="731"/>
      <c r="G447" s="731"/>
      <c r="H447" s="731"/>
      <c r="I447" s="731"/>
      <c r="J447" s="731"/>
    </row>
    <row r="448" spans="1:11" ht="59.25" customHeight="1">
      <c r="A448" s="759">
        <v>2</v>
      </c>
      <c r="B448" s="1289" t="s">
        <v>587</v>
      </c>
      <c r="C448" s="1289"/>
      <c r="D448" s="1289"/>
      <c r="E448" s="1289"/>
      <c r="F448" s="1289"/>
      <c r="G448" s="1289"/>
      <c r="H448" s="1289"/>
      <c r="I448" s="1289"/>
      <c r="J448" s="1289"/>
    </row>
    <row r="449" spans="2:10">
      <c r="B449" s="761"/>
      <c r="C449" s="761"/>
      <c r="D449" s="761"/>
      <c r="E449" s="761"/>
      <c r="F449" s="634"/>
    </row>
    <row r="450" spans="2:10">
      <c r="B450" s="819"/>
      <c r="C450" s="819"/>
      <c r="D450" s="819"/>
      <c r="E450" s="819"/>
      <c r="F450" s="824" t="s">
        <v>521</v>
      </c>
      <c r="G450" s="824" t="s">
        <v>521</v>
      </c>
      <c r="H450" s="824" t="s">
        <v>521</v>
      </c>
      <c r="I450" s="824" t="s">
        <v>521</v>
      </c>
      <c r="J450" s="824" t="s">
        <v>521</v>
      </c>
    </row>
    <row r="451" spans="2:10">
      <c r="B451" s="819"/>
      <c r="C451" s="819"/>
      <c r="D451" s="819"/>
      <c r="E451" s="819"/>
      <c r="F451" s="825">
        <v>1</v>
      </c>
      <c r="G451" s="825">
        <v>2</v>
      </c>
      <c r="H451" s="825">
        <v>3</v>
      </c>
      <c r="I451" s="825">
        <v>4</v>
      </c>
      <c r="J451" s="825">
        <v>5</v>
      </c>
    </row>
    <row r="452" spans="2:10">
      <c r="B452" s="819"/>
      <c r="C452" s="819"/>
      <c r="D452" s="819"/>
      <c r="E452" s="819"/>
      <c r="F452" s="776">
        <f>F439</f>
        <v>2023</v>
      </c>
      <c r="G452" s="776">
        <f>G439</f>
        <v>2024</v>
      </c>
      <c r="H452" s="776">
        <f>H439</f>
        <v>2025</v>
      </c>
      <c r="I452" s="776">
        <f>I439</f>
        <v>2026</v>
      </c>
      <c r="J452" s="776">
        <f>J439</f>
        <v>2027</v>
      </c>
    </row>
    <row r="453" spans="2:10" ht="21" customHeight="1">
      <c r="B453" s="1156" t="s">
        <v>828</v>
      </c>
      <c r="C453" s="1156"/>
      <c r="D453" s="1156"/>
      <c r="E453" s="1156"/>
      <c r="F453" s="986">
        <f t="shared" ref="F453:J454" si="39">F423</f>
        <v>287.97599999999994</v>
      </c>
      <c r="G453" s="986">
        <f t="shared" si="39"/>
        <v>297.09663188399992</v>
      </c>
      <c r="H453" s="986">
        <f t="shared" si="39"/>
        <v>306.81050336007917</v>
      </c>
      <c r="I453" s="986">
        <f t="shared" si="39"/>
        <v>317.15630693863267</v>
      </c>
      <c r="J453" s="986">
        <f t="shared" si="39"/>
        <v>328.17590282321544</v>
      </c>
    </row>
    <row r="454" spans="2:10" ht="21" customHeight="1">
      <c r="B454" s="1156" t="s">
        <v>588</v>
      </c>
      <c r="C454" s="1156"/>
      <c r="D454" s="1156"/>
      <c r="E454" s="1156"/>
      <c r="F454" s="986">
        <f t="shared" si="39"/>
        <v>383.99640000000005</v>
      </c>
      <c r="G454" s="986">
        <f t="shared" si="39"/>
        <v>396.1581419826</v>
      </c>
      <c r="H454" s="986">
        <f t="shared" si="39"/>
        <v>409.11092859286305</v>
      </c>
      <c r="I454" s="986">
        <f t="shared" si="39"/>
        <v>422.90635366047866</v>
      </c>
      <c r="J454" s="986">
        <f t="shared" si="39"/>
        <v>437.60023491841201</v>
      </c>
    </row>
    <row r="455" spans="2:10" ht="21" customHeight="1">
      <c r="B455" s="1156" t="s">
        <v>589</v>
      </c>
      <c r="C455" s="1156"/>
      <c r="D455" s="1156"/>
      <c r="E455" s="1156"/>
      <c r="F455" s="986">
        <f>+F425</f>
        <v>180.02759999999998</v>
      </c>
      <c r="G455" s="986">
        <f t="shared" ref="G455:J455" si="40">+G425</f>
        <v>185.72934413339993</v>
      </c>
      <c r="H455" s="986">
        <f t="shared" si="40"/>
        <v>191.80195076918557</v>
      </c>
      <c r="I455" s="986">
        <f t="shared" si="40"/>
        <v>198.26960845009788</v>
      </c>
      <c r="J455" s="986">
        <f t="shared" si="40"/>
        <v>205.15848599569654</v>
      </c>
    </row>
    <row r="456" spans="2:10">
      <c r="B456" s="819"/>
      <c r="C456" s="819"/>
      <c r="D456" s="819"/>
      <c r="E456" s="819"/>
      <c r="F456" s="826"/>
      <c r="G456" s="826"/>
      <c r="H456" s="826"/>
      <c r="I456" s="826"/>
      <c r="J456" s="826"/>
    </row>
    <row r="457" spans="2:10">
      <c r="B457" s="1350" t="s">
        <v>590</v>
      </c>
      <c r="C457" s="1350"/>
      <c r="D457" s="1350"/>
      <c r="E457" s="1351"/>
      <c r="F457" s="826"/>
      <c r="G457" s="826"/>
      <c r="H457" s="826"/>
      <c r="I457" s="826"/>
      <c r="J457" s="826"/>
    </row>
    <row r="458" spans="2:10">
      <c r="B458" s="819"/>
      <c r="C458" s="819"/>
      <c r="D458" s="819"/>
      <c r="E458" s="819"/>
      <c r="F458" s="799"/>
      <c r="G458" s="799"/>
      <c r="H458" s="799"/>
      <c r="I458" s="799"/>
      <c r="J458" s="799"/>
    </row>
    <row r="459" spans="2:10" ht="21" customHeight="1">
      <c r="B459" s="1156" t="s">
        <v>592</v>
      </c>
      <c r="C459" s="1156"/>
      <c r="D459" s="1156"/>
      <c r="E459" s="1156"/>
      <c r="F459" s="342"/>
      <c r="G459" s="282">
        <f>E404</f>
        <v>1.05</v>
      </c>
      <c r="H459" s="282">
        <f>F404</f>
        <v>1.06</v>
      </c>
      <c r="I459" s="282">
        <f>G404</f>
        <v>1.07</v>
      </c>
      <c r="J459" s="282">
        <f>H404</f>
        <v>1.08</v>
      </c>
    </row>
    <row r="460" spans="2:10" ht="21" customHeight="1">
      <c r="B460" s="1156" t="s">
        <v>591</v>
      </c>
      <c r="C460" s="1156"/>
      <c r="D460" s="1156"/>
      <c r="E460" s="1156"/>
      <c r="F460" s="342"/>
      <c r="G460" s="282">
        <f>E404</f>
        <v>1.05</v>
      </c>
      <c r="H460" s="282">
        <f>F404</f>
        <v>1.06</v>
      </c>
      <c r="I460" s="282">
        <f>G404</f>
        <v>1.07</v>
      </c>
      <c r="J460" s="282">
        <f>H404</f>
        <v>1.08</v>
      </c>
    </row>
    <row r="461" spans="2:10" ht="21" customHeight="1">
      <c r="B461" s="1156" t="s">
        <v>593</v>
      </c>
      <c r="C461" s="1156"/>
      <c r="D461" s="1156"/>
      <c r="E461" s="1156"/>
      <c r="F461" s="342"/>
      <c r="G461" s="282">
        <f>+E404</f>
        <v>1.05</v>
      </c>
      <c r="H461" s="282">
        <f>+F404</f>
        <v>1.06</v>
      </c>
      <c r="I461" s="282">
        <f>+G404</f>
        <v>1.07</v>
      </c>
      <c r="J461" s="282">
        <f>+H404</f>
        <v>1.08</v>
      </c>
    </row>
    <row r="462" spans="2:10">
      <c r="B462" s="819"/>
      <c r="C462" s="819"/>
      <c r="D462" s="819"/>
      <c r="E462" s="819"/>
      <c r="F462" s="803"/>
      <c r="G462" s="803"/>
      <c r="H462" s="803"/>
      <c r="I462" s="803"/>
      <c r="J462" s="803"/>
    </row>
    <row r="463" spans="2:10" ht="21" customHeight="1">
      <c r="B463" s="1156" t="s">
        <v>595</v>
      </c>
      <c r="C463" s="1156"/>
      <c r="D463" s="1156"/>
      <c r="E463" s="1156"/>
      <c r="F463" s="827">
        <f>D245</f>
        <v>1303.8</v>
      </c>
      <c r="G463" s="828">
        <f t="shared" ref="G463:J464" si="41">F463*G459</f>
        <v>1368.99</v>
      </c>
      <c r="H463" s="828">
        <f t="shared" si="41"/>
        <v>1451.1294</v>
      </c>
      <c r="I463" s="828">
        <f t="shared" si="41"/>
        <v>1552.7084580000001</v>
      </c>
      <c r="J463" s="828">
        <f t="shared" si="41"/>
        <v>1676.9251346400001</v>
      </c>
    </row>
    <row r="464" spans="2:10" ht="21" customHeight="1">
      <c r="B464" s="1156" t="s">
        <v>594</v>
      </c>
      <c r="C464" s="1156"/>
      <c r="D464" s="1156"/>
      <c r="E464" s="1156"/>
      <c r="F464" s="827">
        <f>D242</f>
        <v>803.8</v>
      </c>
      <c r="G464" s="828">
        <f t="shared" si="41"/>
        <v>843.99</v>
      </c>
      <c r="H464" s="828">
        <f t="shared" si="41"/>
        <v>894.62940000000003</v>
      </c>
      <c r="I464" s="828">
        <f t="shared" si="41"/>
        <v>957.25345800000014</v>
      </c>
      <c r="J464" s="828">
        <f t="shared" si="41"/>
        <v>1033.8337346400001</v>
      </c>
    </row>
    <row r="465" spans="1:10" ht="21" customHeight="1">
      <c r="B465" s="1156" t="s">
        <v>596</v>
      </c>
      <c r="C465" s="1156"/>
      <c r="D465" s="1156"/>
      <c r="E465" s="1156"/>
      <c r="F465" s="827"/>
      <c r="G465" s="828"/>
      <c r="H465" s="828"/>
      <c r="I465" s="828"/>
      <c r="J465" s="828"/>
    </row>
    <row r="466" spans="1:10">
      <c r="B466" s="819"/>
      <c r="C466" s="819"/>
      <c r="D466" s="819"/>
      <c r="E466" s="819"/>
      <c r="F466" s="799"/>
      <c r="G466" s="829"/>
      <c r="H466" s="829"/>
      <c r="I466" s="829"/>
      <c r="J466" s="829"/>
    </row>
    <row r="467" spans="1:10" ht="66.75" customHeight="1">
      <c r="B467" s="1309" t="s">
        <v>597</v>
      </c>
      <c r="C467" s="1309"/>
      <c r="D467" s="1309"/>
      <c r="E467" s="1309"/>
      <c r="F467" s="975">
        <f>F452</f>
        <v>2023</v>
      </c>
      <c r="G467" s="975">
        <f>G452</f>
        <v>2024</v>
      </c>
      <c r="H467" s="975">
        <f>H452</f>
        <v>2025</v>
      </c>
      <c r="I467" s="975">
        <f>I452</f>
        <v>2026</v>
      </c>
      <c r="J467" s="975">
        <f>J452</f>
        <v>2027</v>
      </c>
    </row>
    <row r="468" spans="1:10" ht="21" customHeight="1">
      <c r="B468" s="1152" t="s">
        <v>599</v>
      </c>
      <c r="C468" s="1153"/>
      <c r="D468" s="1153"/>
      <c r="E468" s="1154"/>
      <c r="F468" s="212">
        <f t="shared" ref="F468:J469" si="42">F453*F463</f>
        <v>375463.10879999993</v>
      </c>
      <c r="G468" s="212">
        <f t="shared" si="42"/>
        <v>406722.31808287703</v>
      </c>
      <c r="H468" s="212">
        <f t="shared" si="42"/>
        <v>445221.74165460968</v>
      </c>
      <c r="I468" s="212">
        <f t="shared" si="42"/>
        <v>492451.28029165906</v>
      </c>
      <c r="J468" s="212">
        <f t="shared" si="42"/>
        <v>550326.42002742412</v>
      </c>
    </row>
    <row r="469" spans="1:10" ht="21" customHeight="1">
      <c r="B469" s="1152" t="s">
        <v>598</v>
      </c>
      <c r="C469" s="1153"/>
      <c r="D469" s="1153"/>
      <c r="E469" s="1154"/>
      <c r="F469" s="212">
        <f t="shared" si="42"/>
        <v>308656.30632000003</v>
      </c>
      <c r="G469" s="212">
        <f t="shared" si="42"/>
        <v>334353.51025189459</v>
      </c>
      <c r="H469" s="212">
        <f t="shared" si="42"/>
        <v>366002.66458047595</v>
      </c>
      <c r="I469" s="212">
        <f t="shared" si="42"/>
        <v>404828.56945166423</v>
      </c>
      <c r="J469" s="212">
        <f t="shared" si="42"/>
        <v>452405.88514504326</v>
      </c>
    </row>
    <row r="470" spans="1:10" ht="21" customHeight="1">
      <c r="B470" s="1152" t="s">
        <v>600</v>
      </c>
      <c r="C470" s="1153"/>
      <c r="D470" s="1153"/>
      <c r="E470" s="1154"/>
      <c r="F470" s="212">
        <f>+F455*F465</f>
        <v>0</v>
      </c>
      <c r="G470" s="212">
        <f t="shared" ref="G470:J470" si="43">+G455*G465</f>
        <v>0</v>
      </c>
      <c r="H470" s="212">
        <f t="shared" si="43"/>
        <v>0</v>
      </c>
      <c r="I470" s="212">
        <f t="shared" si="43"/>
        <v>0</v>
      </c>
      <c r="J470" s="212">
        <f t="shared" si="43"/>
        <v>0</v>
      </c>
    </row>
    <row r="471" spans="1:10" ht="42" customHeight="1">
      <c r="B471" s="1320" t="s">
        <v>601</v>
      </c>
      <c r="C471" s="1321"/>
      <c r="D471" s="1321"/>
      <c r="E471" s="1322"/>
      <c r="F471" s="785">
        <f>SUM(F468:F469)</f>
        <v>684119.41512000002</v>
      </c>
      <c r="G471" s="785">
        <f>SUM(G468:G469)</f>
        <v>741075.82833477156</v>
      </c>
      <c r="H471" s="785">
        <f>SUM(H468:H469)</f>
        <v>811224.40623508557</v>
      </c>
      <c r="I471" s="785">
        <f>SUM(I468:I469)</f>
        <v>897279.84974332328</v>
      </c>
      <c r="J471" s="785">
        <f>SUM(J468:J469)</f>
        <v>1002732.3051724674</v>
      </c>
    </row>
    <row r="477" spans="1:10" ht="63" customHeight="1">
      <c r="A477" s="759">
        <v>3</v>
      </c>
      <c r="B477" s="1323" t="s">
        <v>602</v>
      </c>
      <c r="C477" s="1323"/>
      <c r="D477" s="1323"/>
      <c r="E477" s="1323"/>
      <c r="F477" s="1323"/>
      <c r="G477" s="1323"/>
      <c r="H477" s="1323"/>
      <c r="I477" s="1323"/>
      <c r="J477" s="830"/>
    </row>
    <row r="479" spans="1:10" ht="23.25">
      <c r="E479" s="831" t="str">
        <f t="shared" ref="E479:I481" si="44">F450</f>
        <v>año</v>
      </c>
      <c r="F479" s="831" t="str">
        <f t="shared" si="44"/>
        <v>año</v>
      </c>
      <c r="G479" s="831" t="str">
        <f t="shared" si="44"/>
        <v>año</v>
      </c>
      <c r="H479" s="831" t="str">
        <f t="shared" si="44"/>
        <v>año</v>
      </c>
      <c r="I479" s="831" t="str">
        <f t="shared" si="44"/>
        <v>año</v>
      </c>
    </row>
    <row r="480" spans="1:10" ht="23.25">
      <c r="E480" s="832">
        <f t="shared" si="44"/>
        <v>1</v>
      </c>
      <c r="F480" s="832">
        <f t="shared" si="44"/>
        <v>2</v>
      </c>
      <c r="G480" s="832">
        <f t="shared" si="44"/>
        <v>3</v>
      </c>
      <c r="H480" s="832">
        <f t="shared" si="44"/>
        <v>4</v>
      </c>
      <c r="I480" s="832">
        <f t="shared" si="44"/>
        <v>5</v>
      </c>
    </row>
    <row r="481" spans="1:9" ht="23.25">
      <c r="B481" s="833"/>
      <c r="C481" s="834"/>
      <c r="E481" s="966">
        <f t="shared" si="44"/>
        <v>2023</v>
      </c>
      <c r="F481" s="966">
        <f t="shared" si="44"/>
        <v>2024</v>
      </c>
      <c r="G481" s="966">
        <f t="shared" si="44"/>
        <v>2025</v>
      </c>
      <c r="H481" s="966">
        <f t="shared" si="44"/>
        <v>2026</v>
      </c>
      <c r="I481" s="966">
        <f t="shared" si="44"/>
        <v>2027</v>
      </c>
    </row>
    <row r="482" spans="1:9" ht="24" thickBot="1">
      <c r="B482" s="833"/>
      <c r="C482" s="834"/>
      <c r="E482" s="835"/>
      <c r="F482" s="835"/>
      <c r="G482" s="835"/>
      <c r="H482" s="835"/>
      <c r="I482" s="835"/>
    </row>
    <row r="483" spans="1:9" ht="84.75" customHeight="1" thickBot="1">
      <c r="A483" s="836" t="s">
        <v>803</v>
      </c>
      <c r="B483" s="1324" t="s">
        <v>603</v>
      </c>
      <c r="C483" s="1325"/>
      <c r="D483" s="1326"/>
      <c r="E483" s="967">
        <f>E481</f>
        <v>2023</v>
      </c>
      <c r="F483" s="967">
        <f t="shared" ref="F483:I483" si="45">F481</f>
        <v>2024</v>
      </c>
      <c r="G483" s="967">
        <f t="shared" si="45"/>
        <v>2025</v>
      </c>
      <c r="H483" s="967">
        <f t="shared" si="45"/>
        <v>2026</v>
      </c>
      <c r="I483" s="967">
        <f t="shared" si="45"/>
        <v>2027</v>
      </c>
    </row>
    <row r="484" spans="1:9" ht="23.25">
      <c r="A484" s="838">
        <v>1.0345</v>
      </c>
      <c r="B484" s="746" t="s">
        <v>469</v>
      </c>
      <c r="C484" s="739"/>
      <c r="D484" s="739"/>
      <c r="E484" s="839">
        <v>12097.987200000003</v>
      </c>
      <c r="F484" s="840">
        <v>12515.367758400003</v>
      </c>
      <c r="G484" s="840">
        <v>12947.147946064802</v>
      </c>
      <c r="H484" s="840">
        <v>13393.824550204037</v>
      </c>
      <c r="I484" s="840">
        <v>13855.911497186076</v>
      </c>
    </row>
    <row r="485" spans="1:9" ht="23.25">
      <c r="A485" s="838">
        <v>1.01</v>
      </c>
      <c r="B485" s="746" t="s">
        <v>470</v>
      </c>
      <c r="C485" s="739"/>
      <c r="D485" s="739"/>
      <c r="E485" s="839">
        <v>2400</v>
      </c>
      <c r="F485" s="840">
        <v>2424</v>
      </c>
      <c r="G485" s="840">
        <v>2448.2400000000002</v>
      </c>
      <c r="H485" s="840">
        <v>2472.7224000000001</v>
      </c>
      <c r="I485" s="840">
        <v>2497.4496240000003</v>
      </c>
    </row>
    <row r="486" spans="1:9" ht="23.25">
      <c r="A486" s="838">
        <v>1.04</v>
      </c>
      <c r="B486" s="746" t="s">
        <v>288</v>
      </c>
      <c r="C486" s="739"/>
      <c r="D486" s="739"/>
      <c r="E486" s="839">
        <v>12000</v>
      </c>
      <c r="F486" s="840">
        <v>12000</v>
      </c>
      <c r="G486" s="840">
        <v>12480</v>
      </c>
      <c r="H486" s="840">
        <v>12979.2</v>
      </c>
      <c r="I486" s="840">
        <v>13498.368</v>
      </c>
    </row>
    <row r="487" spans="1:9" ht="23.25">
      <c r="A487" s="838">
        <v>1.024</v>
      </c>
      <c r="B487" s="841" t="s">
        <v>471</v>
      </c>
      <c r="C487" s="739"/>
      <c r="D487" s="739"/>
      <c r="E487" s="839">
        <v>987</v>
      </c>
      <c r="F487" s="840">
        <v>987</v>
      </c>
      <c r="G487" s="840">
        <v>1010.688</v>
      </c>
      <c r="H487" s="840">
        <v>1034.944512</v>
      </c>
      <c r="I487" s="840">
        <v>1059.783180288</v>
      </c>
    </row>
    <row r="488" spans="1:9" ht="46.5">
      <c r="A488" s="838">
        <v>1.0349999999999999</v>
      </c>
      <c r="B488" s="746" t="s">
        <v>472</v>
      </c>
      <c r="C488" s="739"/>
      <c r="D488" s="739"/>
      <c r="E488" s="839">
        <v>1894.8000000000002</v>
      </c>
      <c r="F488" s="842">
        <v>1961.1179999999999</v>
      </c>
      <c r="G488" s="842">
        <v>2029.7571299999997</v>
      </c>
      <c r="H488" s="842">
        <v>2100.7986295499995</v>
      </c>
      <c r="I488" s="842">
        <v>2174.3265815842492</v>
      </c>
    </row>
    <row r="489" spans="1:9" ht="46.5">
      <c r="A489" s="838">
        <v>1.05</v>
      </c>
      <c r="B489" s="746" t="s">
        <v>289</v>
      </c>
      <c r="C489" s="739"/>
      <c r="D489" s="739"/>
      <c r="E489" s="839">
        <v>1000</v>
      </c>
      <c r="F489" s="840">
        <v>1050</v>
      </c>
      <c r="G489" s="840">
        <v>1102.5</v>
      </c>
      <c r="H489" s="840">
        <v>1157.625</v>
      </c>
      <c r="I489" s="840">
        <v>1215.5062500000001</v>
      </c>
    </row>
    <row r="490" spans="1:9" ht="23.25">
      <c r="A490" s="838">
        <v>1.04</v>
      </c>
      <c r="B490" s="746" t="s">
        <v>473</v>
      </c>
      <c r="C490" s="739"/>
      <c r="D490" s="739"/>
      <c r="E490" s="839">
        <v>21600</v>
      </c>
      <c r="F490" s="840">
        <v>21600</v>
      </c>
      <c r="G490" s="840">
        <v>22464</v>
      </c>
      <c r="H490" s="840">
        <v>23362.560000000001</v>
      </c>
      <c r="I490" s="840">
        <v>24297.062400000003</v>
      </c>
    </row>
    <row r="491" spans="1:9" ht="23.25">
      <c r="A491" s="838">
        <v>1.0249999999999999</v>
      </c>
      <c r="B491" s="746" t="s">
        <v>290</v>
      </c>
      <c r="C491" s="739"/>
      <c r="D491" s="739"/>
      <c r="E491" s="839">
        <v>121200</v>
      </c>
      <c r="F491" s="840">
        <v>124229.99999999999</v>
      </c>
      <c r="G491" s="840">
        <v>127335.74999999997</v>
      </c>
      <c r="H491" s="840">
        <v>130519.14374999996</v>
      </c>
      <c r="I491" s="840">
        <v>133782.12234374994</v>
      </c>
    </row>
    <row r="492" spans="1:9" ht="23.25">
      <c r="A492" s="838">
        <v>1.056</v>
      </c>
      <c r="B492" s="746" t="s">
        <v>291</v>
      </c>
      <c r="C492" s="739"/>
      <c r="D492" s="739"/>
      <c r="E492" s="839">
        <v>11304</v>
      </c>
      <c r="F492" s="840">
        <v>11937.024000000001</v>
      </c>
      <c r="G492" s="840">
        <v>12605.497344000001</v>
      </c>
      <c r="H492" s="840">
        <v>12605.497344000001</v>
      </c>
      <c r="I492" s="840">
        <v>13311.405195264002</v>
      </c>
    </row>
    <row r="493" spans="1:9" ht="23.25">
      <c r="A493" s="838">
        <v>1.03</v>
      </c>
      <c r="B493" s="746" t="s">
        <v>292</v>
      </c>
      <c r="C493" s="739"/>
      <c r="D493" s="739"/>
      <c r="E493" s="839">
        <v>14400</v>
      </c>
      <c r="F493" s="840">
        <v>14400</v>
      </c>
      <c r="G493" s="840">
        <v>14832</v>
      </c>
      <c r="H493" s="840">
        <v>15276.960000000001</v>
      </c>
      <c r="I493" s="840">
        <v>15735.268800000002</v>
      </c>
    </row>
    <row r="494" spans="1:9" ht="23.25">
      <c r="A494" s="838">
        <v>1.05</v>
      </c>
      <c r="B494" s="746" t="s">
        <v>474</v>
      </c>
      <c r="C494" s="739"/>
      <c r="D494" s="739"/>
      <c r="E494" s="839">
        <v>18000</v>
      </c>
      <c r="F494" s="840">
        <v>18900</v>
      </c>
      <c r="G494" s="840">
        <v>19845</v>
      </c>
      <c r="H494" s="840">
        <v>20837.25</v>
      </c>
      <c r="I494" s="840">
        <v>21879.112499999999</v>
      </c>
    </row>
    <row r="495" spans="1:9" ht="23.25">
      <c r="A495" s="838">
        <v>1.03</v>
      </c>
      <c r="B495" s="841" t="s">
        <v>475</v>
      </c>
      <c r="C495" s="739"/>
      <c r="D495" s="739"/>
      <c r="E495" s="839">
        <v>6000</v>
      </c>
      <c r="F495" s="840">
        <v>6000</v>
      </c>
      <c r="G495" s="840">
        <v>6180</v>
      </c>
      <c r="H495" s="840">
        <v>6365.4000000000005</v>
      </c>
      <c r="I495" s="840">
        <v>6556.362000000001</v>
      </c>
    </row>
    <row r="496" spans="1:9" ht="46.5">
      <c r="A496" s="913">
        <v>1.0149999999999999</v>
      </c>
      <c r="B496" s="841" t="s">
        <v>293</v>
      </c>
      <c r="C496" s="972"/>
      <c r="D496" s="739"/>
      <c r="E496" s="839">
        <v>6000</v>
      </c>
      <c r="F496" s="842">
        <v>6089.9999999999991</v>
      </c>
      <c r="G496" s="842">
        <v>6181.3499999999985</v>
      </c>
      <c r="H496" s="842">
        <v>6274.0702499999979</v>
      </c>
      <c r="I496" s="842">
        <v>6368.1813037499969</v>
      </c>
    </row>
    <row r="497" spans="1:10" ht="44.25" customHeight="1">
      <c r="A497" s="731"/>
      <c r="B497" s="1327" t="s">
        <v>604</v>
      </c>
      <c r="C497" s="1327"/>
      <c r="D497" s="1327"/>
      <c r="E497" s="843">
        <f>SUM(E484:E496)</f>
        <v>228883.78720000002</v>
      </c>
      <c r="F497" s="844">
        <f>SUM(F484:F496)</f>
        <v>234094.5097584</v>
      </c>
      <c r="G497" s="844">
        <f>SUM(G484:G496)</f>
        <v>241461.93042006477</v>
      </c>
      <c r="H497" s="844">
        <f>SUM(H484:H496)</f>
        <v>248379.99643575397</v>
      </c>
      <c r="I497" s="844">
        <f>SUM(I484:I496)</f>
        <v>256230.85967582226</v>
      </c>
    </row>
    <row r="498" spans="1:10" ht="23.25">
      <c r="A498" s="731"/>
      <c r="B498" s="739"/>
      <c r="C498" s="739"/>
      <c r="D498" s="739"/>
      <c r="E498" s="845">
        <f>E483</f>
        <v>2023</v>
      </c>
      <c r="F498" s="845">
        <f>F483</f>
        <v>2024</v>
      </c>
      <c r="G498" s="845">
        <f>G483</f>
        <v>2025</v>
      </c>
      <c r="H498" s="845">
        <f>H483</f>
        <v>2026</v>
      </c>
      <c r="I498" s="845">
        <f>I483</f>
        <v>2027</v>
      </c>
    </row>
    <row r="499" spans="1:10" ht="23.25">
      <c r="A499" s="731"/>
      <c r="B499" s="739" t="str">
        <f>B297</f>
        <v>DEPRECIACIÓN</v>
      </c>
      <c r="C499" s="739"/>
      <c r="D499" s="739"/>
      <c r="E499" s="839">
        <f>R297</f>
        <v>8849.1219999999994</v>
      </c>
      <c r="F499" s="840">
        <f t="shared" ref="F499:I500" si="46">E499</f>
        <v>8849.1219999999994</v>
      </c>
      <c r="G499" s="840">
        <f t="shared" si="46"/>
        <v>8849.1219999999994</v>
      </c>
      <c r="H499" s="840">
        <f t="shared" si="46"/>
        <v>8849.1219999999994</v>
      </c>
      <c r="I499" s="840">
        <f t="shared" si="46"/>
        <v>8849.1219999999994</v>
      </c>
    </row>
    <row r="500" spans="1:10" ht="23.25">
      <c r="A500" s="731"/>
      <c r="B500" s="739" t="str">
        <f>B298</f>
        <v>AMORTIZACIÓN</v>
      </c>
      <c r="C500" s="739"/>
      <c r="D500" s="739"/>
      <c r="E500" s="839">
        <f>R298</f>
        <v>542.15</v>
      </c>
      <c r="F500" s="840">
        <f t="shared" si="46"/>
        <v>542.15</v>
      </c>
      <c r="G500" s="840">
        <f t="shared" si="46"/>
        <v>542.15</v>
      </c>
      <c r="H500" s="840">
        <f t="shared" si="46"/>
        <v>542.15</v>
      </c>
      <c r="I500" s="840">
        <f t="shared" si="46"/>
        <v>542.15</v>
      </c>
    </row>
    <row r="501" spans="1:10" ht="23.25">
      <c r="A501" s="731"/>
      <c r="B501" s="739"/>
      <c r="C501" s="739"/>
      <c r="D501" s="739"/>
      <c r="E501" s="846"/>
      <c r="F501" s="847"/>
      <c r="G501" s="847"/>
      <c r="H501" s="847"/>
      <c r="I501" s="847"/>
    </row>
    <row r="502" spans="1:10" ht="23.25">
      <c r="A502" s="731"/>
      <c r="B502" s="1327" t="s">
        <v>605</v>
      </c>
      <c r="C502" s="1327"/>
      <c r="D502" s="1327"/>
      <c r="E502" s="848">
        <f>E497+E499+E500</f>
        <v>238275.05920000002</v>
      </c>
      <c r="F502" s="849">
        <f>F497+F499+F500</f>
        <v>243485.7817584</v>
      </c>
      <c r="G502" s="849">
        <f>G497+G499+G500</f>
        <v>250853.20242006477</v>
      </c>
      <c r="H502" s="849">
        <f>H497+H499+H500</f>
        <v>257771.26843575397</v>
      </c>
      <c r="I502" s="849">
        <f>I497+I499+I500</f>
        <v>265622.13167582225</v>
      </c>
    </row>
    <row r="503" spans="1:10">
      <c r="A503" s="731"/>
      <c r="B503" s="731"/>
      <c r="C503" s="731"/>
      <c r="D503" s="731"/>
      <c r="E503" s="789"/>
      <c r="F503" s="790"/>
      <c r="G503" s="790"/>
      <c r="H503" s="790"/>
      <c r="I503" s="790"/>
    </row>
    <row r="504" spans="1:10" ht="21.75" thickBot="1"/>
    <row r="505" spans="1:10" ht="41.25" customHeight="1" thickBot="1">
      <c r="A505" s="850">
        <v>4</v>
      </c>
      <c r="B505" s="1310" t="s">
        <v>606</v>
      </c>
      <c r="C505" s="1311"/>
      <c r="D505" s="1311"/>
      <c r="E505" s="1311"/>
      <c r="F505" s="1311"/>
      <c r="G505" s="1311"/>
      <c r="H505" s="1311"/>
      <c r="I505" s="1312"/>
      <c r="J505" s="807"/>
    </row>
    <row r="507" spans="1:10" ht="105" customHeight="1">
      <c r="A507" s="918" t="s">
        <v>803</v>
      </c>
      <c r="B507" s="1313" t="s">
        <v>607</v>
      </c>
      <c r="C507" s="1314"/>
      <c r="D507" s="1315"/>
      <c r="E507" s="973">
        <f>E481</f>
        <v>2023</v>
      </c>
      <c r="F507" s="975">
        <f>F481</f>
        <v>2024</v>
      </c>
      <c r="G507" s="975">
        <f>G481</f>
        <v>2025</v>
      </c>
      <c r="H507" s="975">
        <f>H481</f>
        <v>2026</v>
      </c>
      <c r="I507" s="975">
        <f>I481</f>
        <v>2027</v>
      </c>
    </row>
    <row r="508" spans="1:10">
      <c r="A508" s="852">
        <v>1.06</v>
      </c>
      <c r="B508" s="793" t="s">
        <v>485</v>
      </c>
      <c r="C508" s="739"/>
      <c r="D508" s="739"/>
      <c r="E508" s="853">
        <v>30000</v>
      </c>
      <c r="F508" s="793">
        <v>30000</v>
      </c>
      <c r="G508" s="793">
        <v>31800</v>
      </c>
      <c r="H508" s="793">
        <v>31800</v>
      </c>
      <c r="I508" s="793">
        <v>33708</v>
      </c>
    </row>
    <row r="509" spans="1:10">
      <c r="A509" s="852">
        <v>1.06</v>
      </c>
      <c r="B509" s="793" t="s">
        <v>486</v>
      </c>
      <c r="C509" s="739"/>
      <c r="D509" s="739"/>
      <c r="E509" s="853">
        <v>25200</v>
      </c>
      <c r="F509" s="793">
        <v>25200</v>
      </c>
      <c r="G509" s="793">
        <v>26712</v>
      </c>
      <c r="H509" s="793">
        <v>26712</v>
      </c>
      <c r="I509" s="793">
        <v>28314.720000000001</v>
      </c>
    </row>
    <row r="510" spans="1:10">
      <c r="A510" s="852">
        <v>1.04</v>
      </c>
      <c r="B510" s="793" t="s">
        <v>296</v>
      </c>
      <c r="C510" s="739"/>
      <c r="D510" s="739"/>
      <c r="E510" s="853">
        <v>14400</v>
      </c>
      <c r="F510" s="793">
        <v>14400</v>
      </c>
      <c r="G510" s="793">
        <v>14976</v>
      </c>
      <c r="H510" s="793">
        <v>14976</v>
      </c>
      <c r="I510" s="793">
        <v>15575.04</v>
      </c>
    </row>
    <row r="511" spans="1:10">
      <c r="A511" s="852">
        <v>1.02</v>
      </c>
      <c r="B511" s="793" t="s">
        <v>297</v>
      </c>
      <c r="C511" s="739"/>
      <c r="D511" s="739"/>
      <c r="E511" s="854">
        <v>11160</v>
      </c>
      <c r="F511" s="785">
        <v>11160</v>
      </c>
      <c r="G511" s="785">
        <v>11383.2</v>
      </c>
      <c r="H511" s="785">
        <v>11383.2</v>
      </c>
      <c r="I511" s="785">
        <v>11610.864000000001</v>
      </c>
    </row>
    <row r="512" spans="1:10" ht="42">
      <c r="A512" s="852">
        <v>1.06</v>
      </c>
      <c r="B512" s="793" t="s">
        <v>738</v>
      </c>
      <c r="C512" s="739"/>
      <c r="D512" s="739"/>
      <c r="E512" s="853">
        <v>22800</v>
      </c>
      <c r="F512" s="793">
        <v>22800</v>
      </c>
      <c r="G512" s="793">
        <v>24168</v>
      </c>
      <c r="H512" s="793">
        <v>24168</v>
      </c>
      <c r="I512" s="793">
        <v>25618.080000000002</v>
      </c>
    </row>
    <row r="513" spans="1:12">
      <c r="B513" s="1148" t="str">
        <f>B314</f>
        <v>SUB-TOTAL</v>
      </c>
      <c r="C513" s="1149"/>
      <c r="D513" s="1150"/>
      <c r="E513" s="453">
        <f>SUM(E508:E512)</f>
        <v>103560</v>
      </c>
      <c r="F513" s="454">
        <f>SUM(F508:F512)</f>
        <v>103560</v>
      </c>
      <c r="G513" s="454">
        <f>SUM(G508:G512)</f>
        <v>109039.2</v>
      </c>
      <c r="H513" s="454">
        <f>SUM(H508:H512)</f>
        <v>109039.2</v>
      </c>
      <c r="I513" s="454">
        <f>SUM(I508:I512)</f>
        <v>114826.70400000001</v>
      </c>
    </row>
    <row r="514" spans="1:12">
      <c r="B514" s="455" t="str">
        <f>B316</f>
        <v>Gratificación julio</v>
      </c>
      <c r="C514" s="218"/>
      <c r="D514" s="1120" t="s">
        <v>804</v>
      </c>
      <c r="E514" s="452">
        <f>(E513/12)*50%</f>
        <v>4315</v>
      </c>
      <c r="F514" s="452">
        <f>(F513/12)*50%</f>
        <v>4315</v>
      </c>
      <c r="G514" s="452">
        <f>(G513/12)*50%</f>
        <v>4543.3</v>
      </c>
      <c r="H514" s="452">
        <f>(H513/12)*50%</f>
        <v>4543.3</v>
      </c>
      <c r="I514" s="452">
        <f>(I513/12)*50%</f>
        <v>4784.4460000000008</v>
      </c>
    </row>
    <row r="515" spans="1:12">
      <c r="B515" s="455" t="str">
        <f>B317</f>
        <v>Gratifica. diciembre</v>
      </c>
      <c r="C515" s="218"/>
      <c r="D515" s="1120"/>
      <c r="E515" s="452">
        <f>E514</f>
        <v>4315</v>
      </c>
      <c r="F515" s="283">
        <f t="shared" ref="F515:I516" si="47">F514</f>
        <v>4315</v>
      </c>
      <c r="G515" s="283">
        <f t="shared" si="47"/>
        <v>4543.3</v>
      </c>
      <c r="H515" s="283">
        <f t="shared" si="47"/>
        <v>4543.3</v>
      </c>
      <c r="I515" s="283">
        <f t="shared" si="47"/>
        <v>4784.4460000000008</v>
      </c>
    </row>
    <row r="516" spans="1:12">
      <c r="B516" s="455" t="str">
        <f>B318</f>
        <v>CTS</v>
      </c>
      <c r="C516" s="218"/>
      <c r="D516" s="1120"/>
      <c r="E516" s="452">
        <f>E515</f>
        <v>4315</v>
      </c>
      <c r="F516" s="283">
        <f t="shared" si="47"/>
        <v>4315</v>
      </c>
      <c r="G516" s="283">
        <f t="shared" si="47"/>
        <v>4543.3</v>
      </c>
      <c r="H516" s="283">
        <f t="shared" si="47"/>
        <v>4543.3</v>
      </c>
      <c r="I516" s="283">
        <f t="shared" si="47"/>
        <v>4784.4460000000008</v>
      </c>
    </row>
    <row r="517" spans="1:12">
      <c r="B517" s="455" t="str">
        <f>B319</f>
        <v>ESSALUD/SIS</v>
      </c>
      <c r="C517" s="250">
        <v>60</v>
      </c>
      <c r="D517" s="1120"/>
      <c r="E517" s="452">
        <f>Q319</f>
        <v>2160</v>
      </c>
      <c r="F517" s="283">
        <f>E517</f>
        <v>2160</v>
      </c>
      <c r="G517" s="283">
        <f>F517</f>
        <v>2160</v>
      </c>
      <c r="H517" s="283">
        <f>G517</f>
        <v>2160</v>
      </c>
      <c r="I517" s="283">
        <f>H517</f>
        <v>2160</v>
      </c>
    </row>
    <row r="518" spans="1:12">
      <c r="B518" s="455" t="str">
        <f>B320</f>
        <v>Vacaciones</v>
      </c>
      <c r="C518" s="218"/>
      <c r="D518" s="1120"/>
      <c r="E518" s="452">
        <f>((E513/12))*50%</f>
        <v>4315</v>
      </c>
      <c r="F518" s="452">
        <f>(F513/12)*50%</f>
        <v>4315</v>
      </c>
      <c r="G518" s="452">
        <f>(G513/12)*50%</f>
        <v>4543.3</v>
      </c>
      <c r="H518" s="452">
        <f>(H513/12)*50%</f>
        <v>4543.3</v>
      </c>
      <c r="I518" s="452">
        <f>(I513/12)*50%</f>
        <v>4784.4460000000008</v>
      </c>
    </row>
    <row r="519" spans="1:12" ht="42" customHeight="1">
      <c r="B519" s="1316" t="s">
        <v>608</v>
      </c>
      <c r="C519" s="1316"/>
      <c r="D519" s="1316"/>
      <c r="E519" s="855">
        <f>SUM(E513:E518)</f>
        <v>122980</v>
      </c>
      <c r="F519" s="856">
        <f>SUM(F513:F518)</f>
        <v>122980</v>
      </c>
      <c r="G519" s="856">
        <f>SUM(G513:G518)</f>
        <v>129372.40000000001</v>
      </c>
      <c r="H519" s="856">
        <f>SUM(H513:H518)</f>
        <v>129372.40000000001</v>
      </c>
      <c r="I519" s="856">
        <f>SUM(I513:I518)</f>
        <v>136124.48800000001</v>
      </c>
    </row>
    <row r="520" spans="1:12" ht="42" customHeight="1">
      <c r="A520" s="634"/>
      <c r="B520" s="857"/>
      <c r="C520" s="857"/>
      <c r="D520" s="857"/>
      <c r="E520" s="858"/>
      <c r="F520" s="858"/>
      <c r="G520" s="858"/>
      <c r="H520" s="858"/>
      <c r="I520" s="858"/>
    </row>
    <row r="521" spans="1:12">
      <c r="A521" s="859"/>
      <c r="B521" s="860"/>
      <c r="C521" s="861"/>
      <c r="D521" s="861"/>
      <c r="E521" s="861"/>
      <c r="F521" s="861"/>
      <c r="G521" s="861"/>
      <c r="H521" s="861"/>
      <c r="I521" s="861"/>
    </row>
    <row r="522" spans="1:12" ht="21.75" thickBot="1">
      <c r="B522" s="731"/>
      <c r="C522" s="731"/>
      <c r="D522" s="731"/>
      <c r="E522" s="731"/>
      <c r="F522" s="731"/>
      <c r="G522" s="731"/>
      <c r="H522" s="731"/>
      <c r="I522" s="731"/>
    </row>
    <row r="523" spans="1:12" ht="126" customHeight="1" thickBot="1">
      <c r="B523" s="1317" t="s">
        <v>609</v>
      </c>
      <c r="C523" s="1318"/>
      <c r="D523" s="721"/>
      <c r="E523" s="1317" t="s">
        <v>842</v>
      </c>
      <c r="F523" s="1319"/>
      <c r="G523" s="1319"/>
      <c r="H523" s="1319"/>
      <c r="I523" s="1318"/>
      <c r="J523" s="715"/>
      <c r="K523" s="634"/>
    </row>
    <row r="524" spans="1:12" ht="23.25">
      <c r="B524" s="714"/>
      <c r="C524" s="714"/>
      <c r="D524" s="714"/>
      <c r="E524" s="714"/>
      <c r="F524" s="714"/>
      <c r="G524" s="714"/>
      <c r="H524" s="714"/>
      <c r="I524" s="714"/>
      <c r="J524" s="714"/>
    </row>
    <row r="525" spans="1:12" ht="39" customHeight="1">
      <c r="B525" s="1288" t="s">
        <v>611</v>
      </c>
      <c r="C525" s="1288"/>
      <c r="D525" s="1288"/>
      <c r="E525" s="1288"/>
      <c r="F525" s="1288"/>
      <c r="G525" s="1288"/>
      <c r="H525" s="1288"/>
      <c r="I525" s="1288"/>
      <c r="J525" s="714"/>
    </row>
    <row r="526" spans="1:12" s="192" customFormat="1" ht="63" customHeight="1">
      <c r="B526" s="1102" t="s">
        <v>843</v>
      </c>
      <c r="C526" s="1103"/>
      <c r="D526" s="463">
        <v>2022</v>
      </c>
      <c r="E526" s="464">
        <f>D526+1</f>
        <v>2023</v>
      </c>
      <c r="F526" s="464">
        <f>E526+1</f>
        <v>2024</v>
      </c>
      <c r="G526" s="464">
        <f>F526+1</f>
        <v>2025</v>
      </c>
      <c r="H526" s="464">
        <f>G526+1</f>
        <v>2026</v>
      </c>
      <c r="I526" s="464">
        <f>H526+1</f>
        <v>2027</v>
      </c>
      <c r="J526" s="198"/>
      <c r="K526" s="207"/>
      <c r="L526" s="193"/>
    </row>
    <row r="527" spans="1:12" s="192" customFormat="1" ht="23.25">
      <c r="B527" s="465" t="s">
        <v>613</v>
      </c>
      <c r="C527" s="465"/>
      <c r="D527" s="466">
        <v>0</v>
      </c>
      <c r="E527" s="466">
        <v>1</v>
      </c>
      <c r="F527" s="466">
        <v>2</v>
      </c>
      <c r="G527" s="466">
        <v>3</v>
      </c>
      <c r="H527" s="466">
        <v>4</v>
      </c>
      <c r="I527" s="466">
        <v>5</v>
      </c>
      <c r="J527" s="197"/>
    </row>
    <row r="528" spans="1:12" s="192" customFormat="1" ht="23.25">
      <c r="A528" s="467" t="s">
        <v>614</v>
      </c>
      <c r="B528" s="961" t="s">
        <v>615</v>
      </c>
      <c r="C528" s="962"/>
      <c r="D528" s="470"/>
      <c r="E528" s="470">
        <f>F443</f>
        <v>1234359.7364000003</v>
      </c>
      <c r="F528" s="470">
        <f>G443</f>
        <v>1286188.2983993064</v>
      </c>
      <c r="G528" s="470">
        <f>H443</f>
        <v>1341523.9261138076</v>
      </c>
      <c r="H528" s="470">
        <f>I443</f>
        <v>1400628.3915009713</v>
      </c>
      <c r="I528" s="470">
        <f>J443</f>
        <v>1463786.1572133095</v>
      </c>
      <c r="J528" s="471"/>
      <c r="K528" s="472"/>
    </row>
    <row r="529" spans="1:11" s="192" customFormat="1" ht="26.25">
      <c r="A529" s="473" t="s">
        <v>616</v>
      </c>
      <c r="B529" s="1130" t="s">
        <v>617</v>
      </c>
      <c r="C529" s="1131"/>
      <c r="D529" s="470"/>
      <c r="E529" s="470">
        <f>F471</f>
        <v>684119.41512000002</v>
      </c>
      <c r="F529" s="470">
        <f>G471</f>
        <v>741075.82833477156</v>
      </c>
      <c r="G529" s="470">
        <f>H471</f>
        <v>811224.40623508557</v>
      </c>
      <c r="H529" s="470">
        <f>I471</f>
        <v>897279.84974332328</v>
      </c>
      <c r="I529" s="470">
        <f>J471</f>
        <v>1002732.3051724674</v>
      </c>
      <c r="J529" s="471"/>
      <c r="K529" s="472"/>
    </row>
    <row r="530" spans="1:11" s="192" customFormat="1" ht="47.25" customHeight="1">
      <c r="A530" s="473" t="s">
        <v>616</v>
      </c>
      <c r="B530" s="1130" t="s">
        <v>618</v>
      </c>
      <c r="C530" s="1131"/>
      <c r="D530" s="964" t="s">
        <v>619</v>
      </c>
      <c r="E530" s="475">
        <f>E497+E519</f>
        <v>351863.78720000002</v>
      </c>
      <c r="F530" s="475">
        <f>F497+F519</f>
        <v>357074.50975840003</v>
      </c>
      <c r="G530" s="475">
        <f>G497+G519</f>
        <v>370834.3304200648</v>
      </c>
      <c r="H530" s="475">
        <f>H497+H519</f>
        <v>377752.39643575397</v>
      </c>
      <c r="I530" s="475">
        <f>I497+I519</f>
        <v>392355.34767582227</v>
      </c>
      <c r="J530" s="471"/>
      <c r="K530" s="472"/>
    </row>
    <row r="531" spans="1:11" s="192" customFormat="1" ht="26.25">
      <c r="A531" s="473" t="s">
        <v>616</v>
      </c>
      <c r="B531" s="962" t="s">
        <v>526</v>
      </c>
      <c r="C531" s="1102" t="s">
        <v>620</v>
      </c>
      <c r="D531" s="1103"/>
      <c r="E531" s="476">
        <f t="shared" ref="E531:I532" si="48">E499</f>
        <v>8849.1219999999994</v>
      </c>
      <c r="F531" s="476">
        <f t="shared" si="48"/>
        <v>8849.1219999999994</v>
      </c>
      <c r="G531" s="476">
        <f t="shared" si="48"/>
        <v>8849.1219999999994</v>
      </c>
      <c r="H531" s="476">
        <f t="shared" si="48"/>
        <v>8849.1219999999994</v>
      </c>
      <c r="I531" s="476">
        <f t="shared" si="48"/>
        <v>8849.1219999999994</v>
      </c>
      <c r="J531" s="471"/>
      <c r="K531" s="472"/>
    </row>
    <row r="532" spans="1:11" s="192" customFormat="1" ht="26.25">
      <c r="A532" s="473" t="s">
        <v>616</v>
      </c>
      <c r="B532" s="962" t="s">
        <v>527</v>
      </c>
      <c r="C532" s="1102" t="s">
        <v>621</v>
      </c>
      <c r="D532" s="1103"/>
      <c r="E532" s="475">
        <f t="shared" si="48"/>
        <v>542.15</v>
      </c>
      <c r="F532" s="475">
        <f t="shared" si="48"/>
        <v>542.15</v>
      </c>
      <c r="G532" s="475">
        <f t="shared" si="48"/>
        <v>542.15</v>
      </c>
      <c r="H532" s="475">
        <f t="shared" si="48"/>
        <v>542.15</v>
      </c>
      <c r="I532" s="475">
        <f t="shared" si="48"/>
        <v>542.15</v>
      </c>
      <c r="J532" s="471"/>
      <c r="K532" s="472"/>
    </row>
    <row r="533" spans="1:11" s="192" customFormat="1" ht="23.25">
      <c r="A533" s="477"/>
      <c r="B533" s="1132" t="s">
        <v>622</v>
      </c>
      <c r="C533" s="1133"/>
      <c r="D533" s="478"/>
      <c r="E533" s="478">
        <f>E528-E529-E530-E531-E532</f>
        <v>188985.26208000025</v>
      </c>
      <c r="F533" s="478">
        <f>F528-F529-F530-F531-F532</f>
        <v>178646.68830613478</v>
      </c>
      <c r="G533" s="478">
        <f>G528-G529-G530-G531-G532</f>
        <v>150073.91745865723</v>
      </c>
      <c r="H533" s="478">
        <f>H528-H529-H530-H531-H532</f>
        <v>116204.87332189403</v>
      </c>
      <c r="I533" s="478">
        <f>I528-I529-I530-I531-I532</f>
        <v>59307.232365019903</v>
      </c>
      <c r="J533" s="471"/>
      <c r="K533" s="472"/>
    </row>
    <row r="534" spans="1:11" s="192" customFormat="1" ht="46.5">
      <c r="A534" s="479" t="s">
        <v>616</v>
      </c>
      <c r="B534" s="961" t="s">
        <v>623</v>
      </c>
      <c r="C534" s="963"/>
      <c r="D534" s="470"/>
      <c r="E534" s="470">
        <v>0</v>
      </c>
      <c r="F534" s="470">
        <v>0</v>
      </c>
      <c r="G534" s="470">
        <v>0</v>
      </c>
      <c r="H534" s="470">
        <v>0</v>
      </c>
      <c r="I534" s="963">
        <v>0</v>
      </c>
      <c r="J534" s="471"/>
      <c r="K534" s="472"/>
    </row>
    <row r="535" spans="1:11" s="192" customFormat="1" ht="23.25">
      <c r="A535" s="479" t="s">
        <v>616</v>
      </c>
      <c r="B535" s="1130" t="s">
        <v>624</v>
      </c>
      <c r="C535" s="1131"/>
      <c r="D535" s="470"/>
      <c r="E535" s="470">
        <v>0</v>
      </c>
      <c r="F535" s="470">
        <v>0</v>
      </c>
      <c r="G535" s="470">
        <v>0</v>
      </c>
      <c r="H535" s="470">
        <v>0</v>
      </c>
      <c r="I535" s="963">
        <v>0</v>
      </c>
      <c r="J535" s="197"/>
    </row>
    <row r="536" spans="1:11" s="192" customFormat="1" ht="23.25">
      <c r="A536" s="479"/>
      <c r="B536" s="1102" t="s">
        <v>625</v>
      </c>
      <c r="C536" s="1103"/>
      <c r="D536" s="478"/>
      <c r="E536" s="478">
        <f>E533-E534-E535</f>
        <v>188985.26208000025</v>
      </c>
      <c r="F536" s="478">
        <f>F533-F534-F535</f>
        <v>178646.68830613478</v>
      </c>
      <c r="G536" s="478">
        <f>G533-G534-G535</f>
        <v>150073.91745865723</v>
      </c>
      <c r="H536" s="478">
        <f>H533-H534-H535</f>
        <v>116204.87332189403</v>
      </c>
      <c r="I536" s="478">
        <f>I533-I534-I535</f>
        <v>59307.232365019903</v>
      </c>
      <c r="J536" s="197"/>
    </row>
    <row r="537" spans="1:11" s="192" customFormat="1" ht="23.25">
      <c r="A537" s="479" t="s">
        <v>616</v>
      </c>
      <c r="B537" s="962" t="s">
        <v>626</v>
      </c>
      <c r="C537" s="963"/>
      <c r="D537" s="481">
        <v>0.01</v>
      </c>
      <c r="E537" s="470">
        <f>E528*D537</f>
        <v>12343.597364000003</v>
      </c>
      <c r="F537" s="470">
        <f>F528*$D$537</f>
        <v>12861.882983993064</v>
      </c>
      <c r="G537" s="470">
        <f t="shared" ref="G537:I537" si="49">G528*$D$537</f>
        <v>13415.239261138076</v>
      </c>
      <c r="H537" s="470">
        <f t="shared" si="49"/>
        <v>14006.283915009713</v>
      </c>
      <c r="I537" s="470">
        <f t="shared" si="49"/>
        <v>14637.861572133095</v>
      </c>
      <c r="J537" s="197"/>
    </row>
    <row r="538" spans="1:11" s="192" customFormat="1" ht="116.25">
      <c r="B538" s="1102" t="s">
        <v>627</v>
      </c>
      <c r="C538" s="1103"/>
      <c r="D538" s="287" t="s">
        <v>628</v>
      </c>
      <c r="E538" s="482">
        <f>E536-E537</f>
        <v>176641.66471600023</v>
      </c>
      <c r="F538" s="482">
        <f>F536-F537</f>
        <v>165784.80532214171</v>
      </c>
      <c r="G538" s="482">
        <f>G536-G537</f>
        <v>136658.67819751916</v>
      </c>
      <c r="H538" s="482">
        <f>H536-H537</f>
        <v>102198.58940688432</v>
      </c>
      <c r="I538" s="482">
        <f>I536-I537</f>
        <v>44669.37079288681</v>
      </c>
      <c r="J538" s="197"/>
    </row>
    <row r="539" spans="1:11" s="192" customFormat="1" ht="26.25">
      <c r="A539" s="483" t="s">
        <v>629</v>
      </c>
      <c r="B539" s="484" t="s">
        <v>526</v>
      </c>
      <c r="C539" s="963"/>
      <c r="D539" s="470"/>
      <c r="E539" s="470">
        <f>E531</f>
        <v>8849.1219999999994</v>
      </c>
      <c r="F539" s="470">
        <f t="shared" ref="F539:I540" si="50">F531</f>
        <v>8849.1219999999994</v>
      </c>
      <c r="G539" s="470">
        <f t="shared" si="50"/>
        <v>8849.1219999999994</v>
      </c>
      <c r="H539" s="470">
        <f t="shared" si="50"/>
        <v>8849.1219999999994</v>
      </c>
      <c r="I539" s="470">
        <f t="shared" si="50"/>
        <v>8849.1219999999994</v>
      </c>
      <c r="J539" s="197"/>
    </row>
    <row r="540" spans="1:11" s="192" customFormat="1" ht="26.25">
      <c r="A540" s="483" t="s">
        <v>629</v>
      </c>
      <c r="B540" s="484" t="s">
        <v>527</v>
      </c>
      <c r="C540" s="963"/>
      <c r="D540" s="963"/>
      <c r="E540" s="470">
        <f>E532</f>
        <v>542.15</v>
      </c>
      <c r="F540" s="470">
        <f t="shared" si="50"/>
        <v>542.15</v>
      </c>
      <c r="G540" s="470">
        <f t="shared" si="50"/>
        <v>542.15</v>
      </c>
      <c r="H540" s="470">
        <f t="shared" si="50"/>
        <v>542.15</v>
      </c>
      <c r="I540" s="470">
        <f t="shared" si="50"/>
        <v>542.15</v>
      </c>
      <c r="J540" s="197"/>
    </row>
    <row r="541" spans="1:11" s="192" customFormat="1" ht="47.25">
      <c r="A541" s="483" t="s">
        <v>629</v>
      </c>
      <c r="B541" s="484" t="s">
        <v>623</v>
      </c>
      <c r="C541" s="963"/>
      <c r="D541" s="963"/>
      <c r="E541" s="319">
        <f>E534</f>
        <v>0</v>
      </c>
      <c r="F541" s="319">
        <f t="shared" ref="F541:I542" si="51">F534</f>
        <v>0</v>
      </c>
      <c r="G541" s="319">
        <f t="shared" si="51"/>
        <v>0</v>
      </c>
      <c r="H541" s="319">
        <f t="shared" si="51"/>
        <v>0</v>
      </c>
      <c r="I541" s="319">
        <f t="shared" si="51"/>
        <v>0</v>
      </c>
      <c r="J541" s="197"/>
    </row>
    <row r="542" spans="1:11" s="192" customFormat="1" ht="47.25">
      <c r="A542" s="483" t="s">
        <v>629</v>
      </c>
      <c r="B542" s="484" t="s">
        <v>624</v>
      </c>
      <c r="C542" s="963"/>
      <c r="D542" s="963"/>
      <c r="E542" s="319">
        <f>E535</f>
        <v>0</v>
      </c>
      <c r="F542" s="319">
        <f t="shared" si="51"/>
        <v>0</v>
      </c>
      <c r="G542" s="319">
        <f t="shared" si="51"/>
        <v>0</v>
      </c>
      <c r="H542" s="319">
        <f t="shared" si="51"/>
        <v>0</v>
      </c>
      <c r="I542" s="319">
        <f t="shared" si="51"/>
        <v>0</v>
      </c>
      <c r="J542" s="197"/>
    </row>
    <row r="543" spans="1:11" s="192" customFormat="1" ht="55.5" customHeight="1">
      <c r="A543" s="228"/>
      <c r="B543" s="1102" t="s">
        <v>630</v>
      </c>
      <c r="C543" s="1103"/>
      <c r="D543" s="943">
        <v>2022</v>
      </c>
      <c r="E543" s="485">
        <f>E538+E539+E540+E541+E542</f>
        <v>186032.93671600023</v>
      </c>
      <c r="F543" s="485">
        <f>F538+F539+F540+F541+F542</f>
        <v>175176.0773221417</v>
      </c>
      <c r="G543" s="485">
        <f>G538+G539+G540+G541+G542</f>
        <v>146049.95019751915</v>
      </c>
      <c r="H543" s="485">
        <f>H538+H539+H540+H541+H542</f>
        <v>111589.86140688432</v>
      </c>
      <c r="I543" s="485">
        <f>I538+I539+I540+I541+I542</f>
        <v>54060.642792886814</v>
      </c>
      <c r="J543" s="197"/>
    </row>
    <row r="544" spans="1:11" s="192" customFormat="1" ht="23.25">
      <c r="B544" s="1114" t="s">
        <v>631</v>
      </c>
      <c r="C544" s="1105"/>
      <c r="D544" s="475">
        <f>-D347</f>
        <v>-79471.002999999997</v>
      </c>
      <c r="E544" s="963"/>
      <c r="F544" s="963"/>
      <c r="G544" s="963"/>
      <c r="H544" s="963"/>
      <c r="I544" s="963"/>
      <c r="J544" s="197"/>
    </row>
    <row r="545" spans="1:11" s="192" customFormat="1" ht="23.25">
      <c r="B545" s="302"/>
      <c r="C545" s="197"/>
      <c r="D545" s="486">
        <f>D543</f>
        <v>2022</v>
      </c>
      <c r="E545" s="487">
        <f>D545+1</f>
        <v>2023</v>
      </c>
      <c r="F545" s="487">
        <f>E545+1</f>
        <v>2024</v>
      </c>
      <c r="G545" s="488">
        <f>F545+1</f>
        <v>2025</v>
      </c>
      <c r="H545" s="487">
        <f>G545+1</f>
        <v>2026</v>
      </c>
      <c r="I545" s="487">
        <f>H545+1</f>
        <v>2027</v>
      </c>
      <c r="J545" s="197"/>
    </row>
    <row r="546" spans="1:11" s="192" customFormat="1" ht="65.25" customHeight="1">
      <c r="B546" s="1102" t="s">
        <v>632</v>
      </c>
      <c r="C546" s="1103"/>
      <c r="D546" s="213">
        <f>D544</f>
        <v>-79471.002999999997</v>
      </c>
      <c r="E546" s="213">
        <f>E543</f>
        <v>186032.93671600023</v>
      </c>
      <c r="F546" s="213">
        <f>F543</f>
        <v>175176.0773221417</v>
      </c>
      <c r="G546" s="213">
        <f>G543</f>
        <v>146049.95019751915</v>
      </c>
      <c r="H546" s="213">
        <f>H543</f>
        <v>111589.86140688432</v>
      </c>
      <c r="I546" s="213">
        <f>I543</f>
        <v>54060.642792886814</v>
      </c>
      <c r="J546" s="489">
        <f>SUM(E546:I547)</f>
        <v>672909.46843543218</v>
      </c>
    </row>
    <row r="547" spans="1:11" s="192" customFormat="1" ht="33.75">
      <c r="A547" s="490">
        <v>10.199999999999999</v>
      </c>
      <c r="B547" s="943" t="s">
        <v>633</v>
      </c>
      <c r="C547" s="491">
        <f>E350</f>
        <v>0.26392900000000002</v>
      </c>
      <c r="D547" s="492"/>
      <c r="E547" s="493"/>
      <c r="F547" s="493"/>
      <c r="G547" s="493"/>
      <c r="H547" s="493"/>
      <c r="I547" s="493"/>
    </row>
    <row r="548" spans="1:11" s="192" customFormat="1" ht="69.75">
      <c r="A548" s="1129" t="s">
        <v>634</v>
      </c>
      <c r="B548" s="941" t="s">
        <v>635</v>
      </c>
      <c r="C548" s="494" t="s">
        <v>636</v>
      </c>
      <c r="D548" s="475">
        <f>NPV(C547,E546:I546)+D546</f>
        <v>310188.14127774234</v>
      </c>
      <c r="E548" s="495"/>
      <c r="F548" s="496"/>
      <c r="G548" s="495"/>
      <c r="H548" s="495"/>
      <c r="I548" s="495"/>
      <c r="J548" s="497"/>
    </row>
    <row r="549" spans="1:11" s="192" customFormat="1" ht="69.75">
      <c r="A549" s="1129"/>
      <c r="B549" s="941" t="s">
        <v>637</v>
      </c>
      <c r="C549" s="494" t="s">
        <v>638</v>
      </c>
      <c r="D549" s="498">
        <f>IRR(D546:I546)</f>
        <v>2.2427475687346869</v>
      </c>
      <c r="E549" s="499"/>
      <c r="F549" s="500"/>
      <c r="G549" s="499"/>
      <c r="H549" s="499"/>
      <c r="I549" s="499"/>
    </row>
    <row r="550" spans="1:11" s="192" customFormat="1" ht="67.5" customHeight="1">
      <c r="A550" s="1129"/>
      <c r="B550" s="941" t="s">
        <v>639</v>
      </c>
      <c r="C550" s="494" t="s">
        <v>640</v>
      </c>
      <c r="D550" s="287">
        <f>NPV(C547,E546:I546)/-D544</f>
        <v>4.9031612735244119</v>
      </c>
      <c r="E550" s="1126" t="s">
        <v>641</v>
      </c>
      <c r="F550" s="1126"/>
      <c r="G550" s="1126"/>
      <c r="H550" s="1126"/>
      <c r="I550" s="501">
        <f>D550-1</f>
        <v>3.9031612735244119</v>
      </c>
      <c r="J550" s="964" t="s">
        <v>284</v>
      </c>
    </row>
    <row r="551" spans="1:11" s="192" customFormat="1" ht="116.25">
      <c r="A551" s="1129"/>
      <c r="B551" s="941" t="s">
        <v>642</v>
      </c>
      <c r="C551" s="494" t="s">
        <v>643</v>
      </c>
      <c r="D551" s="312"/>
      <c r="E551" s="943">
        <v>2023</v>
      </c>
      <c r="F551" s="943">
        <f>E551+1</f>
        <v>2024</v>
      </c>
      <c r="G551" s="943">
        <f>F551+1</f>
        <v>2025</v>
      </c>
      <c r="H551" s="943">
        <f>G551+1</f>
        <v>2026</v>
      </c>
      <c r="I551" s="943">
        <f>H551+1</f>
        <v>2027</v>
      </c>
    </row>
    <row r="552" spans="1:11" s="192" customFormat="1" ht="51.75" customHeight="1">
      <c r="B552" s="943" t="s">
        <v>264</v>
      </c>
      <c r="C552" s="943" t="s">
        <v>644</v>
      </c>
      <c r="D552" s="213" t="s">
        <v>645</v>
      </c>
      <c r="E552" s="402" t="s">
        <v>646</v>
      </c>
      <c r="F552" s="1106" t="s">
        <v>647</v>
      </c>
      <c r="G552" s="1128"/>
      <c r="H552" s="1128"/>
      <c r="I552" s="1128"/>
      <c r="J552" s="356"/>
      <c r="K552" s="956"/>
    </row>
    <row r="553" spans="1:11" s="192" customFormat="1" ht="23.25">
      <c r="B553" s="946">
        <v>0</v>
      </c>
      <c r="C553" s="963"/>
      <c r="D553" s="470">
        <f>-D546</f>
        <v>79471.002999999997</v>
      </c>
      <c r="E553" s="502">
        <f>E546/(1+$C$547)^(1)</f>
        <v>147186.22384326984</v>
      </c>
      <c r="F553" s="502">
        <f>F546/(1+$C$547)^(2)</f>
        <v>109655.25267094676</v>
      </c>
      <c r="G553" s="502">
        <f>G546/(1+$C$547)^(3)</f>
        <v>72332.483651850765</v>
      </c>
      <c r="H553" s="502">
        <f>H546/(1+$C$547)^(4)</f>
        <v>43725.423446463239</v>
      </c>
      <c r="I553" s="503">
        <f>I546/(1+$C$547)^(5)</f>
        <v>16759.760665211776</v>
      </c>
      <c r="J553" s="327">
        <f>SUM(E553:I553)</f>
        <v>389659.14427774237</v>
      </c>
      <c r="K553" s="363"/>
    </row>
    <row r="554" spans="1:11" s="192" customFormat="1" ht="23.25">
      <c r="B554" s="946">
        <v>1</v>
      </c>
      <c r="C554" s="319">
        <f>E553</f>
        <v>147186.22384326984</v>
      </c>
      <c r="D554" s="470">
        <f>D553-C554</f>
        <v>-67715.220843269839</v>
      </c>
      <c r="E554" s="499"/>
      <c r="F554" s="499"/>
      <c r="G554" s="499"/>
      <c r="H554" s="499"/>
      <c r="I554" s="499"/>
      <c r="J554" s="504">
        <f>D546</f>
        <v>-79471.002999999997</v>
      </c>
      <c r="K554" s="956"/>
    </row>
    <row r="555" spans="1:11" s="192" customFormat="1" ht="23.25">
      <c r="B555" s="946">
        <v>2</v>
      </c>
      <c r="C555" s="319">
        <f>F553</f>
        <v>109655.25267094676</v>
      </c>
      <c r="D555" s="470">
        <f>D554-C555</f>
        <v>-177370.4735142166</v>
      </c>
      <c r="E555" s="499"/>
      <c r="F555" s="499"/>
      <c r="G555" s="499"/>
      <c r="H555" s="499"/>
      <c r="I555" s="943" t="s">
        <v>648</v>
      </c>
      <c r="J555" s="327">
        <f>SUM(J553:J554)</f>
        <v>310188.14127774234</v>
      </c>
      <c r="K555" s="505"/>
    </row>
    <row r="556" spans="1:11" s="192" customFormat="1" ht="23.25">
      <c r="B556" s="946">
        <v>3</v>
      </c>
      <c r="C556" s="319">
        <f>G553</f>
        <v>72332.483651850765</v>
      </c>
      <c r="D556" s="470">
        <f>D555-C556</f>
        <v>-249702.95716606738</v>
      </c>
      <c r="E556" s="506" t="s">
        <v>567</v>
      </c>
      <c r="F556" s="506" t="s">
        <v>649</v>
      </c>
      <c r="G556" s="506" t="s">
        <v>650</v>
      </c>
      <c r="H556" s="499"/>
      <c r="I556" s="499"/>
    </row>
    <row r="557" spans="1:11" s="192" customFormat="1" ht="23.25">
      <c r="B557" s="946">
        <v>4</v>
      </c>
      <c r="C557" s="319">
        <f>H553</f>
        <v>43725.423446463239</v>
      </c>
      <c r="D557" s="470">
        <f>D556-C557</f>
        <v>-293428.38061253063</v>
      </c>
      <c r="E557" s="506">
        <v>0</v>
      </c>
      <c r="F557" s="506">
        <v>6</v>
      </c>
      <c r="G557" s="506">
        <v>14</v>
      </c>
      <c r="H557" s="499"/>
      <c r="I557" s="499"/>
    </row>
    <row r="558" spans="1:11" s="192" customFormat="1" ht="23.25">
      <c r="A558" s="228"/>
      <c r="B558" s="946">
        <v>5</v>
      </c>
      <c r="C558" s="319">
        <f>I553</f>
        <v>16759.760665211776</v>
      </c>
      <c r="D558" s="470">
        <f>D557-C558</f>
        <v>-310188.1412777424</v>
      </c>
      <c r="E558" s="507"/>
      <c r="F558" s="506">
        <f>(D553/C554)*12</f>
        <v>6.4792207524495593</v>
      </c>
      <c r="G558" s="506">
        <f>(F558-F557)*30</f>
        <v>14.376622573486779</v>
      </c>
      <c r="H558" s="499"/>
      <c r="I558" s="495"/>
    </row>
    <row r="559" spans="1:11" s="192" customFormat="1">
      <c r="B559" s="215"/>
      <c r="C559" s="508"/>
      <c r="D559" s="509"/>
      <c r="E559" s="207"/>
      <c r="F559" s="949"/>
      <c r="G559" s="949"/>
      <c r="H559" s="207"/>
      <c r="I559" s="510"/>
    </row>
    <row r="560" spans="1:11" s="192" customFormat="1" ht="45" customHeight="1">
      <c r="B560" s="511">
        <v>10.5</v>
      </c>
      <c r="C560" s="1127" t="s">
        <v>651</v>
      </c>
      <c r="D560" s="1127"/>
      <c r="E560" s="1127"/>
      <c r="F560" s="1127"/>
      <c r="G560" s="1127"/>
      <c r="H560" s="207"/>
      <c r="I560" s="215"/>
    </row>
    <row r="561" spans="2:11" s="192" customFormat="1">
      <c r="B561" s="215"/>
      <c r="C561" s="508"/>
      <c r="D561" s="509"/>
      <c r="E561" s="207"/>
      <c r="F561" s="949"/>
      <c r="G561" s="949"/>
      <c r="H561" s="207"/>
      <c r="I561" s="215"/>
    </row>
    <row r="562" spans="2:11" s="192" customFormat="1" ht="45.75" customHeight="1">
      <c r="B562" s="1126" t="s">
        <v>652</v>
      </c>
      <c r="C562" s="1126"/>
      <c r="D562" s="1126"/>
      <c r="E562" s="1126"/>
      <c r="F562" s="1126"/>
      <c r="G562" s="1126"/>
      <c r="H562" s="207"/>
      <c r="I562" s="207"/>
      <c r="J562" s="193"/>
      <c r="K562" s="193"/>
    </row>
    <row r="563" spans="2:11" s="192" customFormat="1" ht="55.5" customHeight="1">
      <c r="B563" s="1126" t="s">
        <v>653</v>
      </c>
      <c r="C563" s="1126"/>
      <c r="D563" s="1126"/>
      <c r="E563" s="1126"/>
      <c r="F563" s="1126"/>
      <c r="G563" s="1126"/>
      <c r="H563" s="207"/>
      <c r="I563" s="207"/>
      <c r="J563" s="193"/>
      <c r="K563" s="193"/>
    </row>
    <row r="564" spans="2:11" s="192" customFormat="1" ht="41.25" customHeight="1">
      <c r="B564" s="1126" t="s">
        <v>654</v>
      </c>
      <c r="C564" s="1126"/>
      <c r="D564" s="1126"/>
      <c r="E564" s="1126"/>
      <c r="F564" s="1126"/>
      <c r="G564" s="1126"/>
      <c r="H564" s="207"/>
      <c r="I564" s="207"/>
      <c r="J564" s="193"/>
      <c r="K564" s="193"/>
    </row>
    <row r="565" spans="2:11" s="192" customFormat="1">
      <c r="B565" s="215"/>
      <c r="C565" s="508"/>
      <c r="D565" s="509"/>
      <c r="E565" s="207"/>
      <c r="F565" s="949"/>
      <c r="G565" s="949"/>
      <c r="H565" s="207"/>
      <c r="I565" s="215"/>
    </row>
    <row r="566" spans="2:11" s="192" customFormat="1" ht="78.75">
      <c r="B566" s="512" t="s">
        <v>655</v>
      </c>
      <c r="C566" s="513" t="s">
        <v>248</v>
      </c>
      <c r="D566" s="514">
        <v>10.6</v>
      </c>
      <c r="E566" s="207"/>
      <c r="F566" s="949"/>
      <c r="G566" s="949"/>
      <c r="H566" s="207"/>
      <c r="I566" s="215"/>
    </row>
    <row r="567" spans="2:11" s="192" customFormat="1" ht="26.25">
      <c r="B567" s="512" t="s">
        <v>656</v>
      </c>
      <c r="C567" s="361">
        <f>D351</f>
        <v>31788.4012</v>
      </c>
      <c r="D567" s="509"/>
      <c r="E567" s="207"/>
      <c r="F567" s="949"/>
      <c r="G567" s="949"/>
      <c r="H567" s="207"/>
      <c r="I567" s="215"/>
    </row>
    <row r="568" spans="2:11" s="192" customFormat="1" ht="26.25">
      <c r="B568" s="512" t="s">
        <v>657</v>
      </c>
      <c r="C568" s="512">
        <f>+'8'!G64</f>
        <v>5</v>
      </c>
      <c r="D568" s="515" t="s">
        <v>264</v>
      </c>
      <c r="E568" s="207"/>
      <c r="F568" s="949"/>
      <c r="G568" s="949"/>
      <c r="H568" s="207"/>
      <c r="I568" s="215"/>
    </row>
    <row r="569" spans="2:11" s="192" customFormat="1" ht="26.25">
      <c r="B569" s="512" t="s">
        <v>263</v>
      </c>
      <c r="C569" s="516">
        <f>+'8'!G63</f>
        <v>0.17199999999999999</v>
      </c>
      <c r="D569" s="515"/>
      <c r="E569" s="207"/>
      <c r="F569" s="949"/>
      <c r="G569" s="949"/>
      <c r="H569" s="207"/>
      <c r="I569" s="215"/>
    </row>
    <row r="570" spans="2:11" s="192" customFormat="1" ht="26.25">
      <c r="B570" s="512" t="s">
        <v>269</v>
      </c>
      <c r="C570" s="517">
        <f>+'8'!C71</f>
        <v>1.3313824334185265E-2</v>
      </c>
      <c r="D570" s="515"/>
      <c r="E570" s="207"/>
      <c r="F570" s="949"/>
      <c r="G570" s="949"/>
      <c r="H570" s="207"/>
      <c r="I570" s="215"/>
    </row>
    <row r="571" spans="2:11" s="192" customFormat="1" ht="52.5">
      <c r="B571" s="512" t="s">
        <v>270</v>
      </c>
      <c r="C571" s="512">
        <f>+'8'!G65</f>
        <v>12</v>
      </c>
      <c r="D571" s="515" t="s">
        <v>658</v>
      </c>
      <c r="E571" s="207"/>
      <c r="F571" s="949"/>
      <c r="G571" s="949"/>
      <c r="H571" s="207"/>
      <c r="I571" s="215"/>
    </row>
    <row r="572" spans="2:11" s="192" customFormat="1" ht="52.5">
      <c r="B572" s="512" t="s">
        <v>272</v>
      </c>
      <c r="C572" s="512">
        <f>+'8'!G66</f>
        <v>60</v>
      </c>
      <c r="D572" s="515" t="s">
        <v>659</v>
      </c>
      <c r="E572" s="207"/>
      <c r="F572" s="949"/>
      <c r="G572" s="949"/>
      <c r="H572" s="207"/>
      <c r="I572" s="215"/>
    </row>
    <row r="573" spans="2:11">
      <c r="B573" s="779"/>
      <c r="C573" s="873"/>
      <c r="D573" s="675"/>
      <c r="E573" s="761"/>
      <c r="F573" s="979"/>
      <c r="G573" s="979"/>
      <c r="H573" s="761"/>
      <c r="I573" s="731"/>
    </row>
    <row r="574" spans="2:11" ht="42" customHeight="1">
      <c r="B574" s="1277" t="s">
        <v>660</v>
      </c>
      <c r="C574" s="1277"/>
      <c r="D574" s="694">
        <v>10.6</v>
      </c>
      <c r="E574" s="761"/>
      <c r="F574" s="979"/>
      <c r="G574" s="979"/>
      <c r="H574" s="761"/>
      <c r="I574" s="731"/>
    </row>
    <row r="575" spans="2:11">
      <c r="B575" s="779"/>
      <c r="C575" s="873"/>
      <c r="D575" s="675"/>
      <c r="E575" s="761"/>
      <c r="F575" s="979"/>
      <c r="G575" s="979"/>
      <c r="H575" s="761"/>
      <c r="I575" s="731"/>
    </row>
    <row r="576" spans="2:11" ht="31.5">
      <c r="B576" s="739"/>
      <c r="C576" s="739"/>
      <c r="D576" s="739"/>
      <c r="E576" s="739"/>
      <c r="F576" s="978" t="s">
        <v>661</v>
      </c>
      <c r="G576" s="978" t="s">
        <v>662</v>
      </c>
      <c r="H576" s="875">
        <f>((1+D577)^(D578)-1)</f>
        <v>1.2112510819256475</v>
      </c>
      <c r="I576" s="978">
        <f>H576/H577</f>
        <v>41.142748137327573</v>
      </c>
      <c r="J576" s="693">
        <f>D579/I576</f>
        <v>772.63679844369324</v>
      </c>
    </row>
    <row r="577" spans="2:12" ht="42">
      <c r="B577" s="976" t="s">
        <v>663</v>
      </c>
      <c r="C577" s="977"/>
      <c r="D577" s="752">
        <f>C570</f>
        <v>1.3313824334185265E-2</v>
      </c>
      <c r="E577" s="739"/>
      <c r="F577" s="877">
        <f>C570</f>
        <v>1.3313824334185265E-2</v>
      </c>
      <c r="G577" s="972"/>
      <c r="H577" s="972">
        <f xml:space="preserve"> D577*((1+D577)^(D578))</f>
        <v>2.9440208463535178E-2</v>
      </c>
      <c r="I577" s="978"/>
      <c r="J577" s="975" t="s">
        <v>664</v>
      </c>
    </row>
    <row r="578" spans="2:12">
      <c r="B578" s="739" t="s">
        <v>665</v>
      </c>
      <c r="C578" s="739"/>
      <c r="D578" s="978">
        <f>C572</f>
        <v>60</v>
      </c>
      <c r="E578" s="978" t="s">
        <v>666</v>
      </c>
      <c r="F578" s="739"/>
      <c r="G578" s="739"/>
      <c r="H578" s="739"/>
      <c r="I578" s="739"/>
      <c r="J578" s="739"/>
      <c r="K578" s="761"/>
      <c r="L578" s="761"/>
    </row>
    <row r="579" spans="2:12">
      <c r="B579" s="739" t="s">
        <v>667</v>
      </c>
      <c r="C579" s="739"/>
      <c r="D579" s="668">
        <f>C567</f>
        <v>31788.4012</v>
      </c>
      <c r="E579" s="739"/>
      <c r="F579" s="739"/>
      <c r="G579" s="739"/>
      <c r="H579" s="739"/>
      <c r="I579" s="739"/>
      <c r="J579" s="739"/>
      <c r="K579" s="761"/>
      <c r="L579" s="761"/>
    </row>
    <row r="580" spans="2:12" ht="42">
      <c r="B580" s="739"/>
      <c r="C580" s="739"/>
      <c r="D580" s="739"/>
      <c r="E580" s="739"/>
      <c r="F580" s="739"/>
      <c r="G580" s="972" t="s">
        <v>668</v>
      </c>
      <c r="H580" s="972" t="s">
        <v>669</v>
      </c>
      <c r="I580" s="972" t="s">
        <v>276</v>
      </c>
      <c r="J580" s="978" t="s">
        <v>670</v>
      </c>
      <c r="K580" s="761"/>
      <c r="L580" s="761"/>
    </row>
    <row r="581" spans="2:12">
      <c r="B581" s="739"/>
      <c r="C581" s="739"/>
      <c r="D581" s="739"/>
      <c r="E581" s="739"/>
      <c r="F581" s="739"/>
      <c r="G581" s="739"/>
      <c r="H581" s="978" t="s">
        <v>671</v>
      </c>
      <c r="I581" s="978" t="s">
        <v>672</v>
      </c>
      <c r="J581" s="739"/>
      <c r="K581" s="761"/>
      <c r="L581" s="761"/>
    </row>
    <row r="582" spans="2:12">
      <c r="B582" s="739"/>
      <c r="C582" s="739"/>
      <c r="D582" s="739"/>
      <c r="E582" s="739"/>
      <c r="F582" s="739"/>
      <c r="G582" s="739"/>
      <c r="H582" s="978" t="s">
        <v>673</v>
      </c>
      <c r="I582" s="739"/>
      <c r="J582" s="739"/>
      <c r="K582" s="761"/>
      <c r="L582" s="761"/>
    </row>
    <row r="583" spans="2:12">
      <c r="B583" s="739"/>
      <c r="C583" s="739"/>
      <c r="D583" s="739"/>
      <c r="E583" s="739"/>
      <c r="F583" s="739"/>
      <c r="G583" s="739"/>
      <c r="H583" s="739"/>
      <c r="I583" s="739"/>
      <c r="J583" s="739"/>
      <c r="K583" s="761"/>
      <c r="L583" s="761"/>
    </row>
    <row r="584" spans="2:12" ht="63">
      <c r="B584" s="739"/>
      <c r="C584" s="736" t="s">
        <v>674</v>
      </c>
      <c r="D584" s="736" t="s">
        <v>675</v>
      </c>
      <c r="E584" s="736" t="s">
        <v>676</v>
      </c>
      <c r="F584" s="878" t="s">
        <v>283</v>
      </c>
      <c r="G584" s="736" t="s">
        <v>677</v>
      </c>
      <c r="H584" s="739"/>
      <c r="I584" s="739"/>
      <c r="J584" s="739"/>
      <c r="K584" s="761"/>
      <c r="L584" s="761"/>
    </row>
    <row r="585" spans="2:12">
      <c r="B585" s="739"/>
      <c r="C585" s="739"/>
      <c r="D585" s="739"/>
      <c r="E585" s="739"/>
      <c r="F585" s="739"/>
      <c r="G585" s="739"/>
      <c r="H585" s="978"/>
      <c r="I585" s="739"/>
      <c r="J585" s="739"/>
      <c r="K585" s="761"/>
      <c r="L585" s="761"/>
    </row>
    <row r="586" spans="2:12">
      <c r="B586" s="739"/>
      <c r="C586" s="736" t="s">
        <v>678</v>
      </c>
      <c r="D586" s="736" t="s">
        <v>262</v>
      </c>
      <c r="E586" s="736" t="s">
        <v>679</v>
      </c>
      <c r="F586" s="736" t="s">
        <v>680</v>
      </c>
      <c r="G586" s="736" t="s">
        <v>681</v>
      </c>
      <c r="H586" s="879"/>
      <c r="I586" s="978"/>
      <c r="J586" s="739"/>
      <c r="K586" s="761"/>
      <c r="L586" s="761"/>
    </row>
    <row r="587" spans="2:12">
      <c r="B587" s="739"/>
      <c r="C587" s="880"/>
      <c r="D587" s="880"/>
      <c r="E587" s="880"/>
      <c r="F587" s="880"/>
      <c r="G587" s="880"/>
      <c r="H587" s="739"/>
      <c r="I587" s="739"/>
      <c r="J587" s="739"/>
      <c r="K587" s="761"/>
      <c r="L587" s="761"/>
    </row>
    <row r="588" spans="2:12">
      <c r="B588" s="739"/>
      <c r="C588" s="676">
        <v>1</v>
      </c>
      <c r="D588" s="676">
        <f>D579</f>
        <v>31788.4012</v>
      </c>
      <c r="E588" s="676">
        <f>G588-F588</f>
        <v>349.41160900228914</v>
      </c>
      <c r="F588" s="676">
        <f>D588*$D$577</f>
        <v>423.2251894414041</v>
      </c>
      <c r="G588" s="676">
        <f>J576</f>
        <v>772.63679844369324</v>
      </c>
      <c r="H588" s="647"/>
      <c r="I588" s="647"/>
      <c r="J588" s="739"/>
      <c r="K588" s="761"/>
      <c r="L588" s="761"/>
    </row>
    <row r="589" spans="2:12">
      <c r="B589" s="739"/>
      <c r="C589" s="676">
        <f>+C588+1</f>
        <v>2</v>
      </c>
      <c r="D589" s="676">
        <f>D588-E588</f>
        <v>31438.989590997709</v>
      </c>
      <c r="E589" s="676">
        <f>G589-F589</f>
        <v>354.06361378487071</v>
      </c>
      <c r="F589" s="676">
        <f>D589*$D$577</f>
        <v>418.57318465882253</v>
      </c>
      <c r="G589" s="676">
        <f>G588</f>
        <v>772.63679844369324</v>
      </c>
      <c r="H589" s="647"/>
      <c r="I589" s="647"/>
      <c r="J589" s="739"/>
      <c r="K589" s="761"/>
      <c r="L589" s="761"/>
    </row>
    <row r="590" spans="2:12">
      <c r="B590" s="739"/>
      <c r="C590" s="676">
        <f>+C589+1</f>
        <v>3</v>
      </c>
      <c r="D590" s="676">
        <f>D589-E589</f>
        <v>31084.925977212839</v>
      </c>
      <c r="E590" s="676">
        <f>G590-F590</f>
        <v>358.77755454192925</v>
      </c>
      <c r="F590" s="676">
        <f>D590*$D$577</f>
        <v>413.85924390176399</v>
      </c>
      <c r="G590" s="676">
        <f>G589</f>
        <v>772.63679844369324</v>
      </c>
      <c r="H590" s="647"/>
      <c r="I590" s="647"/>
      <c r="J590" s="739"/>
      <c r="K590" s="761"/>
      <c r="L590" s="761"/>
    </row>
    <row r="591" spans="2:12">
      <c r="B591" s="739"/>
      <c r="C591" s="676">
        <f>+C590+1</f>
        <v>4</v>
      </c>
      <c r="D591" s="676">
        <f>D590-E590</f>
        <v>30726.148422670911</v>
      </c>
      <c r="E591" s="676">
        <f>G591-F591</f>
        <v>363.55425587814909</v>
      </c>
      <c r="F591" s="676">
        <f>D591*$D$577</f>
        <v>409.08254256554414</v>
      </c>
      <c r="G591" s="676">
        <f>G590</f>
        <v>772.63679844369324</v>
      </c>
      <c r="H591" s="647"/>
      <c r="I591" s="647"/>
      <c r="J591" s="739"/>
      <c r="K591" s="761"/>
      <c r="L591" s="761"/>
    </row>
    <row r="592" spans="2:12">
      <c r="B592" s="739"/>
      <c r="C592" s="676">
        <f>+C591+1</f>
        <v>5</v>
      </c>
      <c r="D592" s="676">
        <f>D591-E591</f>
        <v>30362.594166792762</v>
      </c>
      <c r="E592" s="676">
        <f>G592-F592</f>
        <v>368.39455337685621</v>
      </c>
      <c r="F592" s="676">
        <f>D592*$D$577</f>
        <v>404.24224506683703</v>
      </c>
      <c r="G592" s="676">
        <f>G591</f>
        <v>772.63679844369324</v>
      </c>
      <c r="H592" s="647">
        <f>SUM(G588:G592)</f>
        <v>3863.1839922184663</v>
      </c>
      <c r="I592" s="647"/>
      <c r="J592" s="739"/>
      <c r="K592" s="761"/>
      <c r="L592" s="761"/>
    </row>
    <row r="593" spans="2:12">
      <c r="B593" s="881"/>
      <c r="C593" s="676">
        <f t="shared" ref="C593:C647" si="52">+C592+1</f>
        <v>6</v>
      </c>
      <c r="D593" s="676">
        <f t="shared" ref="D593:D647" si="53">D592-E592</f>
        <v>29994.199613415905</v>
      </c>
      <c r="E593" s="676">
        <f t="shared" ref="E593:E647" si="54">G593-F593</f>
        <v>373.29929374618632</v>
      </c>
      <c r="F593" s="676">
        <f t="shared" ref="F593:F647" si="55">D593*$D$577</f>
        <v>399.33750469750692</v>
      </c>
      <c r="G593" s="676">
        <f>G592</f>
        <v>772.63679844369324</v>
      </c>
      <c r="H593" s="683"/>
      <c r="I593" s="683"/>
      <c r="J593" s="881"/>
      <c r="K593" s="761"/>
      <c r="L593" s="761"/>
    </row>
    <row r="594" spans="2:12">
      <c r="B594" s="881"/>
      <c r="C594" s="676">
        <f t="shared" si="52"/>
        <v>7</v>
      </c>
      <c r="D594" s="676">
        <f t="shared" si="53"/>
        <v>29620.900319669719</v>
      </c>
      <c r="E594" s="676">
        <f t="shared" si="54"/>
        <v>378.26933496719846</v>
      </c>
      <c r="F594" s="676">
        <f t="shared" si="55"/>
        <v>394.36746347649478</v>
      </c>
      <c r="G594" s="676">
        <f t="shared" ref="G594:G647" si="56">G593</f>
        <v>772.63679844369324</v>
      </c>
      <c r="H594" s="683"/>
      <c r="I594" s="683"/>
      <c r="J594" s="881"/>
      <c r="K594" s="761"/>
      <c r="L594" s="761"/>
    </row>
    <row r="595" spans="2:12">
      <c r="B595" s="881"/>
      <c r="C595" s="676">
        <f t="shared" si="52"/>
        <v>8</v>
      </c>
      <c r="D595" s="676">
        <f t="shared" si="53"/>
        <v>29242.630984702522</v>
      </c>
      <c r="E595" s="676">
        <f t="shared" si="54"/>
        <v>383.30554644396079</v>
      </c>
      <c r="F595" s="676">
        <f t="shared" si="55"/>
        <v>389.33125199973244</v>
      </c>
      <c r="G595" s="676">
        <f t="shared" si="56"/>
        <v>772.63679844369324</v>
      </c>
      <c r="H595" s="683"/>
      <c r="I595" s="683"/>
      <c r="J595" s="881"/>
      <c r="K595" s="761"/>
      <c r="L595" s="761"/>
    </row>
    <row r="596" spans="2:12">
      <c r="B596" s="881"/>
      <c r="C596" s="676">
        <f t="shared" si="52"/>
        <v>9</v>
      </c>
      <c r="D596" s="676">
        <f t="shared" si="53"/>
        <v>28859.325438258562</v>
      </c>
      <c r="E596" s="676">
        <f t="shared" si="54"/>
        <v>388.40880915563457</v>
      </c>
      <c r="F596" s="676">
        <f t="shared" si="55"/>
        <v>384.22798928805867</v>
      </c>
      <c r="G596" s="676">
        <f t="shared" si="56"/>
        <v>772.63679844369324</v>
      </c>
      <c r="H596" s="683"/>
      <c r="I596" s="683"/>
      <c r="J596" s="881"/>
      <c r="K596" s="761"/>
      <c r="L596" s="761"/>
    </row>
    <row r="597" spans="2:12">
      <c r="B597" s="881"/>
      <c r="C597" s="676">
        <f t="shared" si="52"/>
        <v>10</v>
      </c>
      <c r="D597" s="676">
        <f t="shared" si="53"/>
        <v>28470.916629102929</v>
      </c>
      <c r="E597" s="676">
        <f t="shared" si="54"/>
        <v>393.58001581058278</v>
      </c>
      <c r="F597" s="676">
        <f t="shared" si="55"/>
        <v>379.05678263311046</v>
      </c>
      <c r="G597" s="676">
        <f t="shared" si="56"/>
        <v>772.63679844369324</v>
      </c>
      <c r="H597" s="683"/>
      <c r="I597" s="683"/>
      <c r="J597" s="881"/>
      <c r="K597" s="761"/>
      <c r="L597" s="761"/>
    </row>
    <row r="598" spans="2:12">
      <c r="B598" s="881"/>
      <c r="C598" s="676">
        <f t="shared" si="52"/>
        <v>11</v>
      </c>
      <c r="D598" s="676">
        <f t="shared" si="53"/>
        <v>28077.336613292347</v>
      </c>
      <c r="E598" s="676">
        <f t="shared" si="54"/>
        <v>398.82007100253071</v>
      </c>
      <c r="F598" s="676">
        <f t="shared" si="55"/>
        <v>373.81672744116253</v>
      </c>
      <c r="G598" s="676">
        <f t="shared" si="56"/>
        <v>772.63679844369324</v>
      </c>
      <c r="H598" s="683"/>
      <c r="I598" s="683"/>
      <c r="J598" s="881"/>
      <c r="K598" s="761"/>
      <c r="L598" s="761"/>
    </row>
    <row r="599" spans="2:12">
      <c r="B599" s="881"/>
      <c r="C599" s="676">
        <f t="shared" si="52"/>
        <v>12</v>
      </c>
      <c r="D599" s="676">
        <f t="shared" si="53"/>
        <v>27678.516542289817</v>
      </c>
      <c r="E599" s="676">
        <f t="shared" si="54"/>
        <v>404.12989136880566</v>
      </c>
      <c r="F599" s="676">
        <f t="shared" si="55"/>
        <v>368.50690707488758</v>
      </c>
      <c r="G599" s="676">
        <f t="shared" si="56"/>
        <v>772.63679844369324</v>
      </c>
      <c r="H599" s="683"/>
      <c r="I599" s="683"/>
      <c r="J599" s="881"/>
      <c r="K599" s="761"/>
      <c r="L599" s="761"/>
    </row>
    <row r="600" spans="2:12">
      <c r="B600" s="881"/>
      <c r="C600" s="676">
        <f t="shared" si="52"/>
        <v>13</v>
      </c>
      <c r="D600" s="676">
        <f t="shared" si="53"/>
        <v>27274.386650921013</v>
      </c>
      <c r="E600" s="676">
        <f t="shared" si="54"/>
        <v>409.51040575068333</v>
      </c>
      <c r="F600" s="676">
        <f t="shared" si="55"/>
        <v>363.1263926930099</v>
      </c>
      <c r="G600" s="676">
        <f t="shared" si="56"/>
        <v>772.63679844369324</v>
      </c>
      <c r="H600" s="683"/>
      <c r="I600" s="683"/>
      <c r="J600" s="881"/>
      <c r="K600" s="761"/>
      <c r="L600" s="761"/>
    </row>
    <row r="601" spans="2:12">
      <c r="B601" s="881"/>
      <c r="C601" s="676">
        <f t="shared" si="52"/>
        <v>14</v>
      </c>
      <c r="D601" s="676">
        <f t="shared" si="53"/>
        <v>26864.87624517033</v>
      </c>
      <c r="E601" s="676">
        <f t="shared" si="54"/>
        <v>414.96255535586886</v>
      </c>
      <c r="F601" s="676">
        <f t="shared" si="55"/>
        <v>357.67424308782438</v>
      </c>
      <c r="G601" s="676">
        <f t="shared" si="56"/>
        <v>772.63679844369324</v>
      </c>
      <c r="H601" s="683"/>
      <c r="I601" s="683"/>
      <c r="J601" s="881"/>
      <c r="K601" s="761"/>
      <c r="L601" s="761"/>
    </row>
    <row r="602" spans="2:12">
      <c r="B602" s="881"/>
      <c r="C602" s="676">
        <f t="shared" si="52"/>
        <v>15</v>
      </c>
      <c r="D602" s="676">
        <f t="shared" si="53"/>
        <v>26449.913689814461</v>
      </c>
      <c r="E602" s="676">
        <f t="shared" si="54"/>
        <v>420.48729392314152</v>
      </c>
      <c r="F602" s="676">
        <f t="shared" si="55"/>
        <v>352.14950452055172</v>
      </c>
      <c r="G602" s="676">
        <f t="shared" si="56"/>
        <v>772.63679844369324</v>
      </c>
      <c r="H602" s="683"/>
      <c r="I602" s="683"/>
      <c r="J602" s="881"/>
      <c r="K602" s="761"/>
      <c r="L602" s="761"/>
    </row>
    <row r="603" spans="2:12">
      <c r="B603" s="881"/>
      <c r="C603" s="676">
        <f t="shared" si="52"/>
        <v>16</v>
      </c>
      <c r="D603" s="676">
        <f t="shared" si="53"/>
        <v>26029.426395891318</v>
      </c>
      <c r="E603" s="676">
        <f t="shared" si="54"/>
        <v>426.08558788919117</v>
      </c>
      <c r="F603" s="676">
        <f t="shared" si="55"/>
        <v>346.55121055450206</v>
      </c>
      <c r="G603" s="676">
        <f t="shared" si="56"/>
        <v>772.63679844369324</v>
      </c>
      <c r="H603" s="683"/>
      <c r="I603" s="683"/>
      <c r="J603" s="881"/>
      <c r="K603" s="761"/>
      <c r="L603" s="761"/>
    </row>
    <row r="604" spans="2:12">
      <c r="B604" s="881"/>
      <c r="C604" s="676">
        <f t="shared" si="52"/>
        <v>17</v>
      </c>
      <c r="D604" s="676">
        <f t="shared" si="53"/>
        <v>25603.340808002125</v>
      </c>
      <c r="E604" s="676">
        <f t="shared" si="54"/>
        <v>431.7584165576759</v>
      </c>
      <c r="F604" s="676">
        <f t="shared" si="55"/>
        <v>340.87838188601734</v>
      </c>
      <c r="G604" s="676">
        <f t="shared" si="56"/>
        <v>772.63679844369324</v>
      </c>
      <c r="H604" s="683"/>
      <c r="I604" s="683"/>
      <c r="J604" s="881"/>
      <c r="K604" s="761"/>
      <c r="L604" s="761"/>
    </row>
    <row r="605" spans="2:12">
      <c r="B605" s="881"/>
      <c r="C605" s="676">
        <f t="shared" si="52"/>
        <v>18</v>
      </c>
      <c r="D605" s="676">
        <f t="shared" si="53"/>
        <v>25171.582391444448</v>
      </c>
      <c r="E605" s="676">
        <f t="shared" si="54"/>
        <v>437.5067722705308</v>
      </c>
      <c r="F605" s="676">
        <f t="shared" si="55"/>
        <v>335.13002617316243</v>
      </c>
      <c r="G605" s="676">
        <f t="shared" si="56"/>
        <v>772.63679844369324</v>
      </c>
      <c r="H605" s="683"/>
      <c r="I605" s="683"/>
      <c r="J605" s="881"/>
      <c r="K605" s="761"/>
      <c r="L605" s="761"/>
    </row>
    <row r="606" spans="2:12">
      <c r="B606" s="881"/>
      <c r="C606" s="676">
        <f t="shared" si="52"/>
        <v>19</v>
      </c>
      <c r="D606" s="676">
        <f t="shared" si="53"/>
        <v>24734.075619173916</v>
      </c>
      <c r="E606" s="676">
        <f t="shared" si="54"/>
        <v>443.33166058155706</v>
      </c>
      <c r="F606" s="676">
        <f t="shared" si="55"/>
        <v>329.30513786213618</v>
      </c>
      <c r="G606" s="676">
        <f t="shared" si="56"/>
        <v>772.63679844369324</v>
      </c>
      <c r="H606" s="683"/>
      <c r="I606" s="683"/>
      <c r="J606" s="881"/>
      <c r="K606" s="761"/>
      <c r="L606" s="761"/>
    </row>
    <row r="607" spans="2:12">
      <c r="B607" s="881"/>
      <c r="C607" s="676">
        <f t="shared" si="52"/>
        <v>20</v>
      </c>
      <c r="D607" s="676">
        <f t="shared" si="53"/>
        <v>24290.74395859236</v>
      </c>
      <c r="E607" s="676">
        <f t="shared" si="54"/>
        <v>449.23410043232258</v>
      </c>
      <c r="F607" s="676">
        <f t="shared" si="55"/>
        <v>323.40269801137066</v>
      </c>
      <c r="G607" s="676">
        <f t="shared" si="56"/>
        <v>772.63679844369324</v>
      </c>
      <c r="H607" s="683"/>
      <c r="I607" s="683"/>
      <c r="J607" s="881"/>
      <c r="K607" s="761"/>
      <c r="L607" s="761"/>
    </row>
    <row r="608" spans="2:12">
      <c r="B608" s="881"/>
      <c r="C608" s="676">
        <f t="shared" si="52"/>
        <v>21</v>
      </c>
      <c r="D608" s="676">
        <f t="shared" si="53"/>
        <v>23841.509858160036</v>
      </c>
      <c r="E608" s="676">
        <f t="shared" si="54"/>
        <v>455.21512433040425</v>
      </c>
      <c r="F608" s="676">
        <f t="shared" si="55"/>
        <v>317.42167411328899</v>
      </c>
      <c r="G608" s="676">
        <f t="shared" si="56"/>
        <v>772.63679844369324</v>
      </c>
      <c r="H608" s="683"/>
      <c r="I608" s="683"/>
      <c r="J608" s="881"/>
      <c r="K608" s="761"/>
      <c r="L608" s="761"/>
    </row>
    <row r="609" spans="2:12">
      <c r="B609" s="881"/>
      <c r="C609" s="676">
        <f t="shared" si="52"/>
        <v>22</v>
      </c>
      <c r="D609" s="676">
        <f t="shared" si="53"/>
        <v>23386.294733829633</v>
      </c>
      <c r="E609" s="676">
        <f t="shared" si="54"/>
        <v>461.27577853000355</v>
      </c>
      <c r="F609" s="676">
        <f t="shared" si="55"/>
        <v>311.36101991368969</v>
      </c>
      <c r="G609" s="676">
        <f t="shared" si="56"/>
        <v>772.63679844369324</v>
      </c>
      <c r="H609" s="683"/>
      <c r="I609" s="683"/>
      <c r="J609" s="881"/>
      <c r="K609" s="761"/>
      <c r="L609" s="761"/>
    </row>
    <row r="610" spans="2:12">
      <c r="B610" s="881"/>
      <c r="C610" s="676">
        <f t="shared" si="52"/>
        <v>23</v>
      </c>
      <c r="D610" s="676">
        <f t="shared" si="53"/>
        <v>22925.018955299631</v>
      </c>
      <c r="E610" s="676">
        <f t="shared" si="54"/>
        <v>467.41712321496658</v>
      </c>
      <c r="F610" s="676">
        <f t="shared" si="55"/>
        <v>305.21967522872666</v>
      </c>
      <c r="G610" s="676">
        <f t="shared" si="56"/>
        <v>772.63679844369324</v>
      </c>
      <c r="H610" s="683"/>
      <c r="I610" s="683"/>
      <c r="J610" s="881"/>
      <c r="K610" s="761"/>
      <c r="L610" s="761"/>
    </row>
    <row r="611" spans="2:12">
      <c r="B611" s="881"/>
      <c r="C611" s="676">
        <f t="shared" si="52"/>
        <v>24</v>
      </c>
      <c r="D611" s="676">
        <f t="shared" si="53"/>
        <v>22457.601832084663</v>
      </c>
      <c r="E611" s="676">
        <f t="shared" si="54"/>
        <v>473.64023268424086</v>
      </c>
      <c r="F611" s="676">
        <f t="shared" si="55"/>
        <v>298.99656575945238</v>
      </c>
      <c r="G611" s="676">
        <f t="shared" si="56"/>
        <v>772.63679844369324</v>
      </c>
      <c r="H611" s="683"/>
      <c r="I611" s="683"/>
      <c r="J611" s="881"/>
      <c r="K611" s="761"/>
      <c r="L611" s="761"/>
    </row>
    <row r="612" spans="2:12">
      <c r="B612" s="881"/>
      <c r="C612" s="676">
        <f t="shared" si="52"/>
        <v>25</v>
      </c>
      <c r="D612" s="676">
        <f t="shared" si="53"/>
        <v>21983.961599400423</v>
      </c>
      <c r="E612" s="676">
        <f t="shared" si="54"/>
        <v>479.94619553980147</v>
      </c>
      <c r="F612" s="676">
        <f t="shared" si="55"/>
        <v>292.69060290389177</v>
      </c>
      <c r="G612" s="676">
        <f t="shared" si="56"/>
        <v>772.63679844369324</v>
      </c>
      <c r="H612" s="683"/>
      <c r="I612" s="683"/>
      <c r="J612" s="881"/>
      <c r="K612" s="761"/>
      <c r="L612" s="761"/>
    </row>
    <row r="613" spans="2:12">
      <c r="B613" s="881"/>
      <c r="C613" s="676">
        <f t="shared" si="52"/>
        <v>26</v>
      </c>
      <c r="D613" s="676">
        <f t="shared" si="53"/>
        <v>21504.015403860623</v>
      </c>
      <c r="E613" s="676">
        <f t="shared" si="54"/>
        <v>486.3361148770789</v>
      </c>
      <c r="F613" s="676">
        <f t="shared" si="55"/>
        <v>286.30068356661434</v>
      </c>
      <c r="G613" s="676">
        <f t="shared" si="56"/>
        <v>772.63679844369324</v>
      </c>
      <c r="H613" s="683"/>
      <c r="I613" s="683"/>
      <c r="J613" s="881"/>
      <c r="K613" s="761"/>
      <c r="L613" s="761"/>
    </row>
    <row r="614" spans="2:12">
      <c r="B614" s="881"/>
      <c r="C614" s="676">
        <f t="shared" si="52"/>
        <v>27</v>
      </c>
      <c r="D614" s="676">
        <f t="shared" si="53"/>
        <v>21017.679288983545</v>
      </c>
      <c r="E614" s="676">
        <f t="shared" si="54"/>
        <v>492.81110847792246</v>
      </c>
      <c r="F614" s="676">
        <f t="shared" si="55"/>
        <v>279.82568996577078</v>
      </c>
      <c r="G614" s="676">
        <f t="shared" si="56"/>
        <v>772.63679844369324</v>
      </c>
      <c r="H614" s="683"/>
      <c r="I614" s="683"/>
      <c r="J614" s="881"/>
      <c r="K614" s="761"/>
      <c r="L614" s="761"/>
    </row>
    <row r="615" spans="2:12">
      <c r="B615" s="881"/>
      <c r="C615" s="676">
        <f t="shared" si="52"/>
        <v>28</v>
      </c>
      <c r="D615" s="676">
        <f t="shared" si="53"/>
        <v>20524.868180505622</v>
      </c>
      <c r="E615" s="676">
        <f t="shared" si="54"/>
        <v>499.37230900613264</v>
      </c>
      <c r="F615" s="676">
        <f t="shared" si="55"/>
        <v>273.2644894375606</v>
      </c>
      <c r="G615" s="676">
        <f t="shared" si="56"/>
        <v>772.63679844369324</v>
      </c>
      <c r="H615" s="683"/>
      <c r="I615" s="683"/>
      <c r="J615" s="881"/>
      <c r="K615" s="761"/>
      <c r="L615" s="761"/>
    </row>
    <row r="616" spans="2:12">
      <c r="B616" s="881"/>
      <c r="C616" s="676">
        <f t="shared" si="52"/>
        <v>29</v>
      </c>
      <c r="D616" s="676">
        <f t="shared" si="53"/>
        <v>20025.49587149949</v>
      </c>
      <c r="E616" s="676">
        <f t="shared" si="54"/>
        <v>506.02086420559675</v>
      </c>
      <c r="F616" s="676">
        <f t="shared" si="55"/>
        <v>266.61593423809649</v>
      </c>
      <c r="G616" s="676">
        <f t="shared" si="56"/>
        <v>772.63679844369324</v>
      </c>
      <c r="H616" s="683"/>
      <c r="I616" s="683"/>
      <c r="J616" s="881"/>
      <c r="K616" s="761"/>
      <c r="L616" s="761"/>
    </row>
    <row r="617" spans="2:12">
      <c r="B617" s="881"/>
      <c r="C617" s="676">
        <f t="shared" si="52"/>
        <v>30</v>
      </c>
      <c r="D617" s="676">
        <f t="shared" si="53"/>
        <v>19519.475007293895</v>
      </c>
      <c r="E617" s="676">
        <f t="shared" si="54"/>
        <v>512.75793710106268</v>
      </c>
      <c r="F617" s="676">
        <f t="shared" si="55"/>
        <v>259.87886134263056</v>
      </c>
      <c r="G617" s="676">
        <f t="shared" si="56"/>
        <v>772.63679844369324</v>
      </c>
      <c r="H617" s="683"/>
      <c r="I617" s="683"/>
      <c r="J617" s="881"/>
      <c r="K617" s="761"/>
      <c r="L617" s="761"/>
    </row>
    <row r="618" spans="2:12">
      <c r="B618" s="881"/>
      <c r="C618" s="676">
        <f t="shared" si="52"/>
        <v>31</v>
      </c>
      <c r="D618" s="676">
        <f t="shared" si="53"/>
        <v>19006.717070192833</v>
      </c>
      <c r="E618" s="676">
        <f t="shared" si="54"/>
        <v>519.58470620158539</v>
      </c>
      <c r="F618" s="676">
        <f t="shared" si="55"/>
        <v>253.05209224210782</v>
      </c>
      <c r="G618" s="676">
        <f t="shared" si="56"/>
        <v>772.63679844369324</v>
      </c>
      <c r="H618" s="683"/>
      <c r="I618" s="683"/>
      <c r="J618" s="881"/>
      <c r="K618" s="761"/>
      <c r="L618" s="761"/>
    </row>
    <row r="619" spans="2:12">
      <c r="B619" s="881"/>
      <c r="C619" s="676">
        <f t="shared" si="52"/>
        <v>32</v>
      </c>
      <c r="D619" s="676">
        <f t="shared" si="53"/>
        <v>18487.132363991248</v>
      </c>
      <c r="E619" s="676">
        <f t="shared" si="54"/>
        <v>526.50236570668267</v>
      </c>
      <c r="F619" s="676">
        <f t="shared" si="55"/>
        <v>246.13443273701063</v>
      </c>
      <c r="G619" s="676">
        <f t="shared" si="56"/>
        <v>772.63679844369324</v>
      </c>
      <c r="H619" s="683"/>
      <c r="I619" s="683"/>
      <c r="J619" s="881"/>
      <c r="K619" s="761"/>
      <c r="L619" s="761"/>
    </row>
    <row r="620" spans="2:12">
      <c r="B620" s="881"/>
      <c r="C620" s="676">
        <f t="shared" si="52"/>
        <v>33</v>
      </c>
      <c r="D620" s="676">
        <f t="shared" si="53"/>
        <v>17960.629998284567</v>
      </c>
      <c r="E620" s="676">
        <f t="shared" si="54"/>
        <v>533.51212571523433</v>
      </c>
      <c r="F620" s="676">
        <f t="shared" si="55"/>
        <v>239.1246727284589</v>
      </c>
      <c r="G620" s="676">
        <f t="shared" si="56"/>
        <v>772.63679844369324</v>
      </c>
      <c r="H620" s="683"/>
      <c r="I620" s="683"/>
      <c r="J620" s="881"/>
      <c r="K620" s="761"/>
      <c r="L620" s="761"/>
    </row>
    <row r="621" spans="2:12">
      <c r="B621" s="881"/>
      <c r="C621" s="676">
        <f t="shared" si="52"/>
        <v>34</v>
      </c>
      <c r="D621" s="676">
        <f t="shared" si="53"/>
        <v>17427.117872569332</v>
      </c>
      <c r="E621" s="676">
        <f t="shared" si="54"/>
        <v>540.6152124371647</v>
      </c>
      <c r="F621" s="676">
        <f t="shared" si="55"/>
        <v>232.02158600652851</v>
      </c>
      <c r="G621" s="676">
        <f t="shared" si="56"/>
        <v>772.63679844369324</v>
      </c>
      <c r="H621" s="683"/>
      <c r="I621" s="683"/>
      <c r="J621" s="881"/>
      <c r="K621" s="761"/>
      <c r="L621" s="761"/>
    </row>
    <row r="622" spans="2:12">
      <c r="B622" s="881"/>
      <c r="C622" s="676">
        <f t="shared" si="52"/>
        <v>35</v>
      </c>
      <c r="D622" s="676">
        <f t="shared" si="53"/>
        <v>16886.502660132166</v>
      </c>
      <c r="E622" s="676">
        <f t="shared" si="54"/>
        <v>547.81286840794144</v>
      </c>
      <c r="F622" s="676">
        <f t="shared" si="55"/>
        <v>224.82393003575183</v>
      </c>
      <c r="G622" s="676">
        <f t="shared" si="56"/>
        <v>772.63679844369324</v>
      </c>
      <c r="H622" s="683"/>
      <c r="I622" s="683"/>
      <c r="J622" s="881"/>
      <c r="K622" s="761"/>
      <c r="L622" s="761"/>
    </row>
    <row r="623" spans="2:12">
      <c r="B623" s="881"/>
      <c r="C623" s="676">
        <f t="shared" si="52"/>
        <v>36</v>
      </c>
      <c r="D623" s="676">
        <f t="shared" si="53"/>
        <v>16338.689791724224</v>
      </c>
      <c r="E623" s="676">
        <f t="shared" si="54"/>
        <v>555.10635270593093</v>
      </c>
      <c r="F623" s="676">
        <f t="shared" si="55"/>
        <v>217.53044573776234</v>
      </c>
      <c r="G623" s="676">
        <f t="shared" si="56"/>
        <v>772.63679844369324</v>
      </c>
      <c r="H623" s="683"/>
      <c r="I623" s="683"/>
      <c r="J623" s="881"/>
      <c r="K623" s="761"/>
      <c r="L623" s="761"/>
    </row>
    <row r="624" spans="2:12">
      <c r="B624" s="881"/>
      <c r="C624" s="676">
        <f t="shared" si="52"/>
        <v>37</v>
      </c>
      <c r="D624" s="676">
        <f t="shared" si="53"/>
        <v>15783.583439018294</v>
      </c>
      <c r="E624" s="676">
        <f t="shared" si="54"/>
        <v>562.49694117264789</v>
      </c>
      <c r="F624" s="676">
        <f t="shared" si="55"/>
        <v>210.13985727104532</v>
      </c>
      <c r="G624" s="676">
        <f t="shared" si="56"/>
        <v>772.63679844369324</v>
      </c>
      <c r="H624" s="683"/>
      <c r="I624" s="683"/>
      <c r="J624" s="881"/>
      <c r="K624" s="761"/>
      <c r="L624" s="761"/>
    </row>
    <row r="625" spans="2:12">
      <c r="B625" s="881"/>
      <c r="C625" s="676">
        <f t="shared" si="52"/>
        <v>38</v>
      </c>
      <c r="D625" s="676">
        <f t="shared" si="53"/>
        <v>15221.086497845645</v>
      </c>
      <c r="E625" s="676">
        <f t="shared" si="54"/>
        <v>569.98592663593718</v>
      </c>
      <c r="F625" s="676">
        <f t="shared" si="55"/>
        <v>202.65087180775612</v>
      </c>
      <c r="G625" s="676">
        <f t="shared" si="56"/>
        <v>772.63679844369324</v>
      </c>
      <c r="H625" s="683"/>
      <c r="I625" s="683"/>
      <c r="J625" s="881"/>
      <c r="K625" s="761"/>
      <c r="L625" s="761"/>
    </row>
    <row r="626" spans="2:12">
      <c r="B626" s="881"/>
      <c r="C626" s="676">
        <f t="shared" si="52"/>
        <v>39</v>
      </c>
      <c r="D626" s="676">
        <f t="shared" si="53"/>
        <v>14651.100571209707</v>
      </c>
      <c r="E626" s="676">
        <f t="shared" si="54"/>
        <v>577.57461913612588</v>
      </c>
      <c r="F626" s="676">
        <f t="shared" si="55"/>
        <v>195.06217930756742</v>
      </c>
      <c r="G626" s="676">
        <f t="shared" si="56"/>
        <v>772.63679844369324</v>
      </c>
      <c r="H626" s="683"/>
      <c r="I626" s="683"/>
      <c r="J626" s="881"/>
      <c r="K626" s="761"/>
      <c r="L626" s="761"/>
    </row>
    <row r="627" spans="2:12">
      <c r="B627" s="881"/>
      <c r="C627" s="676">
        <f t="shared" si="52"/>
        <v>40</v>
      </c>
      <c r="D627" s="676">
        <f t="shared" si="53"/>
        <v>14073.525952073582</v>
      </c>
      <c r="E627" s="676">
        <f t="shared" si="54"/>
        <v>585.26434615518815</v>
      </c>
      <c r="F627" s="676">
        <f t="shared" si="55"/>
        <v>187.37245228850509</v>
      </c>
      <c r="G627" s="676">
        <f t="shared" si="56"/>
        <v>772.63679844369324</v>
      </c>
      <c r="H627" s="683"/>
      <c r="I627" s="683"/>
      <c r="J627" s="881"/>
      <c r="K627" s="761"/>
      <c r="L627" s="761"/>
    </row>
    <row r="628" spans="2:12">
      <c r="B628" s="881"/>
      <c r="C628" s="676">
        <f t="shared" si="52"/>
        <v>41</v>
      </c>
      <c r="D628" s="676">
        <f t="shared" si="53"/>
        <v>13488.261605918393</v>
      </c>
      <c r="E628" s="676">
        <f t="shared" si="54"/>
        <v>593.05645284896013</v>
      </c>
      <c r="F628" s="676">
        <f t="shared" si="55"/>
        <v>179.5803455947331</v>
      </c>
      <c r="G628" s="676">
        <f t="shared" si="56"/>
        <v>772.63679844369324</v>
      </c>
      <c r="H628" s="683"/>
      <c r="I628" s="683"/>
      <c r="J628" s="881"/>
      <c r="K628" s="761"/>
      <c r="L628" s="761"/>
    </row>
    <row r="629" spans="2:12">
      <c r="B629" s="881"/>
      <c r="C629" s="676">
        <f t="shared" si="52"/>
        <v>42</v>
      </c>
      <c r="D629" s="676">
        <f t="shared" si="53"/>
        <v>12895.205153069433</v>
      </c>
      <c r="E629" s="676">
        <f t="shared" si="54"/>
        <v>600.95230228244623</v>
      </c>
      <c r="F629" s="676">
        <f t="shared" si="55"/>
        <v>171.68449616124704</v>
      </c>
      <c r="G629" s="676">
        <f t="shared" si="56"/>
        <v>772.63679844369324</v>
      </c>
      <c r="H629" s="683"/>
      <c r="I629" s="683"/>
      <c r="J629" s="881"/>
      <c r="K629" s="761"/>
      <c r="L629" s="761"/>
    </row>
    <row r="630" spans="2:12">
      <c r="B630" s="881"/>
      <c r="C630" s="676">
        <f t="shared" si="52"/>
        <v>43</v>
      </c>
      <c r="D630" s="676">
        <f t="shared" si="53"/>
        <v>12294.252850786987</v>
      </c>
      <c r="E630" s="676">
        <f t="shared" si="54"/>
        <v>608.95327566825893</v>
      </c>
      <c r="F630" s="676">
        <f t="shared" si="55"/>
        <v>163.68352277543434</v>
      </c>
      <c r="G630" s="676">
        <f t="shared" si="56"/>
        <v>772.63679844369324</v>
      </c>
      <c r="H630" s="683"/>
      <c r="I630" s="683"/>
      <c r="J630" s="881"/>
      <c r="K630" s="761"/>
      <c r="L630" s="761"/>
    </row>
    <row r="631" spans="2:12">
      <c r="B631" s="881"/>
      <c r="C631" s="676">
        <f t="shared" si="52"/>
        <v>44</v>
      </c>
      <c r="D631" s="676">
        <f t="shared" si="53"/>
        <v>11685.299575118728</v>
      </c>
      <c r="E631" s="676">
        <f t="shared" si="54"/>
        <v>617.06077260823281</v>
      </c>
      <c r="F631" s="676">
        <f t="shared" si="55"/>
        <v>155.57602583546046</v>
      </c>
      <c r="G631" s="676">
        <f t="shared" si="56"/>
        <v>772.63679844369324</v>
      </c>
      <c r="H631" s="683"/>
      <c r="I631" s="683"/>
      <c r="J631" s="881"/>
      <c r="K631" s="761"/>
      <c r="L631" s="761"/>
    </row>
    <row r="632" spans="2:12">
      <c r="B632" s="881"/>
      <c r="C632" s="676">
        <f t="shared" si="52"/>
        <v>45</v>
      </c>
      <c r="D632" s="676">
        <f t="shared" si="53"/>
        <v>11068.238802510496</v>
      </c>
      <c r="E632" s="676">
        <f t="shared" si="54"/>
        <v>625.27621133825539</v>
      </c>
      <c r="F632" s="676">
        <f t="shared" si="55"/>
        <v>147.36058710543782</v>
      </c>
      <c r="G632" s="676">
        <f t="shared" si="56"/>
        <v>772.63679844369324</v>
      </c>
      <c r="H632" s="683"/>
      <c r="I632" s="683"/>
      <c r="J632" s="881"/>
      <c r="K632" s="761"/>
      <c r="L632" s="761"/>
    </row>
    <row r="633" spans="2:12">
      <c r="B633" s="881"/>
      <c r="C633" s="676">
        <f t="shared" si="52"/>
        <v>46</v>
      </c>
      <c r="D633" s="676">
        <f t="shared" si="53"/>
        <v>10442.96259117224</v>
      </c>
      <c r="E633" s="676">
        <f t="shared" si="54"/>
        <v>633.60102897635784</v>
      </c>
      <c r="F633" s="676">
        <f t="shared" si="55"/>
        <v>139.03576946733537</v>
      </c>
      <c r="G633" s="676">
        <f t="shared" si="56"/>
        <v>772.63679844369324</v>
      </c>
      <c r="H633" s="683"/>
      <c r="I633" s="683"/>
      <c r="J633" s="881"/>
      <c r="K633" s="761"/>
      <c r="L633" s="761"/>
    </row>
    <row r="634" spans="2:12">
      <c r="B634" s="881"/>
      <c r="C634" s="676">
        <f t="shared" si="52"/>
        <v>47</v>
      </c>
      <c r="D634" s="676">
        <f t="shared" si="53"/>
        <v>9809.3615621958816</v>
      </c>
      <c r="E634" s="676">
        <f t="shared" si="54"/>
        <v>642.03668177410816</v>
      </c>
      <c r="F634" s="676">
        <f t="shared" si="55"/>
        <v>130.60011666958511</v>
      </c>
      <c r="G634" s="676">
        <f t="shared" si="56"/>
        <v>772.63679844369324</v>
      </c>
      <c r="H634" s="683"/>
      <c r="I634" s="683"/>
      <c r="J634" s="881"/>
      <c r="K634" s="761"/>
      <c r="L634" s="761"/>
    </row>
    <row r="635" spans="2:12">
      <c r="B635" s="881"/>
      <c r="C635" s="676">
        <f t="shared" si="52"/>
        <v>48</v>
      </c>
      <c r="D635" s="676">
        <f t="shared" si="53"/>
        <v>9167.3248804217728</v>
      </c>
      <c r="E635" s="676">
        <f t="shared" si="54"/>
        <v>650.58464537135183</v>
      </c>
      <c r="F635" s="676">
        <f t="shared" si="55"/>
        <v>122.05215307234143</v>
      </c>
      <c r="G635" s="676">
        <f t="shared" si="56"/>
        <v>772.63679844369324</v>
      </c>
      <c r="H635" s="683"/>
      <c r="I635" s="683"/>
      <c r="J635" s="881"/>
      <c r="K635" s="761"/>
      <c r="L635" s="761"/>
    </row>
    <row r="636" spans="2:12">
      <c r="B636" s="881"/>
      <c r="C636" s="676">
        <f t="shared" si="52"/>
        <v>49</v>
      </c>
      <c r="D636" s="676">
        <f t="shared" si="53"/>
        <v>8516.7402350504217</v>
      </c>
      <c r="E636" s="676">
        <f t="shared" si="54"/>
        <v>659.2464150543442</v>
      </c>
      <c r="F636" s="676">
        <f t="shared" si="55"/>
        <v>113.39038338934904</v>
      </c>
      <c r="G636" s="676">
        <f t="shared" si="56"/>
        <v>772.63679844369324</v>
      </c>
      <c r="H636" s="683"/>
      <c r="I636" s="683"/>
      <c r="J636" s="881"/>
      <c r="K636" s="761"/>
      <c r="L636" s="761"/>
    </row>
    <row r="637" spans="2:12">
      <c r="B637" s="881"/>
      <c r="C637" s="676">
        <f t="shared" si="52"/>
        <v>50</v>
      </c>
      <c r="D637" s="676">
        <f t="shared" si="53"/>
        <v>7857.4938199960779</v>
      </c>
      <c r="E637" s="676">
        <f t="shared" si="54"/>
        <v>668.02350601731916</v>
      </c>
      <c r="F637" s="676">
        <f t="shared" si="55"/>
        <v>104.61329242637412</v>
      </c>
      <c r="G637" s="676">
        <f t="shared" si="56"/>
        <v>772.63679844369324</v>
      </c>
      <c r="H637" s="683"/>
      <c r="I637" s="683"/>
      <c r="J637" s="881"/>
      <c r="K637" s="761"/>
      <c r="L637" s="761"/>
    </row>
    <row r="638" spans="2:12">
      <c r="B638" s="881"/>
      <c r="C638" s="676">
        <f t="shared" si="52"/>
        <v>51</v>
      </c>
      <c r="D638" s="676">
        <f t="shared" si="53"/>
        <v>7189.4703139787589</v>
      </c>
      <c r="E638" s="676">
        <f t="shared" si="54"/>
        <v>676.91745362754023</v>
      </c>
      <c r="F638" s="676">
        <f t="shared" si="55"/>
        <v>95.719344816152969</v>
      </c>
      <c r="G638" s="676">
        <f t="shared" si="56"/>
        <v>772.63679844369324</v>
      </c>
      <c r="H638" s="683"/>
      <c r="I638" s="683"/>
      <c r="J638" s="881"/>
      <c r="K638" s="761"/>
      <c r="L638" s="761"/>
    </row>
    <row r="639" spans="2:12">
      <c r="B639" s="881"/>
      <c r="C639" s="676">
        <f t="shared" si="52"/>
        <v>52</v>
      </c>
      <c r="D639" s="676">
        <f t="shared" si="53"/>
        <v>6512.5528603512184</v>
      </c>
      <c r="E639" s="676">
        <f t="shared" si="54"/>
        <v>685.92981369388133</v>
      </c>
      <c r="F639" s="676">
        <f t="shared" si="55"/>
        <v>86.706984749811909</v>
      </c>
      <c r="G639" s="676">
        <f t="shared" si="56"/>
        <v>772.63679844369324</v>
      </c>
      <c r="H639" s="683"/>
      <c r="I639" s="683"/>
      <c r="J639" s="881"/>
      <c r="K639" s="761"/>
      <c r="L639" s="761"/>
    </row>
    <row r="640" spans="2:12">
      <c r="B640" s="881"/>
      <c r="C640" s="676">
        <f t="shared" si="52"/>
        <v>53</v>
      </c>
      <c r="D640" s="676">
        <f t="shared" si="53"/>
        <v>5826.623046657337</v>
      </c>
      <c r="E640" s="676">
        <f t="shared" si="54"/>
        <v>695.06216273898212</v>
      </c>
      <c r="F640" s="676">
        <f t="shared" si="55"/>
        <v>77.574635704711142</v>
      </c>
      <c r="G640" s="676">
        <f t="shared" si="56"/>
        <v>772.63679844369324</v>
      </c>
      <c r="H640" s="683"/>
      <c r="I640" s="683"/>
      <c r="J640" s="881"/>
      <c r="K640" s="761"/>
      <c r="L640" s="761"/>
    </row>
    <row r="641" spans="2:12">
      <c r="B641" s="881"/>
      <c r="C641" s="676">
        <f t="shared" si="52"/>
        <v>54</v>
      </c>
      <c r="D641" s="676">
        <f t="shared" si="53"/>
        <v>5131.5608839183551</v>
      </c>
      <c r="E641" s="676">
        <f t="shared" si="54"/>
        <v>704.3160982750278</v>
      </c>
      <c r="F641" s="676">
        <f t="shared" si="55"/>
        <v>68.320700168665439</v>
      </c>
      <c r="G641" s="676">
        <f t="shared" si="56"/>
        <v>772.63679844369324</v>
      </c>
      <c r="H641" s="683"/>
      <c r="I641" s="683"/>
      <c r="J641" s="881"/>
      <c r="K641" s="761"/>
      <c r="L641" s="761"/>
    </row>
    <row r="642" spans="2:12">
      <c r="B642" s="881"/>
      <c r="C642" s="676">
        <f t="shared" si="52"/>
        <v>55</v>
      </c>
      <c r="D642" s="676">
        <f t="shared" si="53"/>
        <v>4427.2447856433273</v>
      </c>
      <c r="E642" s="676">
        <f t="shared" si="54"/>
        <v>713.6932390832003</v>
      </c>
      <c r="F642" s="676">
        <f t="shared" si="55"/>
        <v>58.943559360492955</v>
      </c>
      <c r="G642" s="676">
        <f t="shared" si="56"/>
        <v>772.63679844369324</v>
      </c>
      <c r="H642" s="683"/>
      <c r="I642" s="683"/>
      <c r="J642" s="881"/>
      <c r="K642" s="761"/>
      <c r="L642" s="761"/>
    </row>
    <row r="643" spans="2:12">
      <c r="B643" s="881"/>
      <c r="C643" s="676">
        <f t="shared" si="52"/>
        <v>56</v>
      </c>
      <c r="D643" s="676">
        <f t="shared" si="53"/>
        <v>3713.551546560127</v>
      </c>
      <c r="E643" s="676">
        <f t="shared" si="54"/>
        <v>723.19522549684973</v>
      </c>
      <c r="F643" s="676">
        <f t="shared" si="55"/>
        <v>49.441572946843543</v>
      </c>
      <c r="G643" s="676">
        <f t="shared" si="56"/>
        <v>772.63679844369324</v>
      </c>
      <c r="H643" s="683"/>
      <c r="I643" s="683"/>
      <c r="J643" s="881"/>
      <c r="K643" s="761"/>
      <c r="L643" s="761"/>
    </row>
    <row r="644" spans="2:12">
      <c r="B644" s="881"/>
      <c r="C644" s="676">
        <f t="shared" si="52"/>
        <v>57</v>
      </c>
      <c r="D644" s="676">
        <f t="shared" si="53"/>
        <v>2990.3563210632774</v>
      </c>
      <c r="E644" s="676">
        <f t="shared" si="54"/>
        <v>732.8237196884362</v>
      </c>
      <c r="F644" s="676">
        <f t="shared" si="55"/>
        <v>39.813078755256988</v>
      </c>
      <c r="G644" s="676">
        <f t="shared" si="56"/>
        <v>772.63679844369324</v>
      </c>
      <c r="H644" s="683"/>
      <c r="I644" s="683"/>
      <c r="J644" s="881"/>
      <c r="K644" s="761"/>
      <c r="L644" s="761"/>
    </row>
    <row r="645" spans="2:12">
      <c r="B645" s="881"/>
      <c r="C645" s="676">
        <f t="shared" si="52"/>
        <v>58</v>
      </c>
      <c r="D645" s="676">
        <f t="shared" si="53"/>
        <v>2257.5326013748413</v>
      </c>
      <c r="E645" s="676">
        <f t="shared" si="54"/>
        <v>742.5804059602923</v>
      </c>
      <c r="F645" s="676">
        <f t="shared" si="55"/>
        <v>30.056392483400924</v>
      </c>
      <c r="G645" s="676">
        <f t="shared" si="56"/>
        <v>772.63679844369324</v>
      </c>
      <c r="H645" s="683"/>
      <c r="I645" s="683"/>
      <c r="J645" s="881"/>
      <c r="K645" s="761"/>
      <c r="L645" s="761"/>
    </row>
    <row r="646" spans="2:12">
      <c r="B646" s="881"/>
      <c r="C646" s="676">
        <f t="shared" si="52"/>
        <v>59</v>
      </c>
      <c r="D646" s="676">
        <f t="shared" si="53"/>
        <v>1514.9521954145489</v>
      </c>
      <c r="E646" s="676">
        <f t="shared" si="54"/>
        <v>752.46699103925562</v>
      </c>
      <c r="F646" s="676">
        <f t="shared" si="55"/>
        <v>20.169807404437613</v>
      </c>
      <c r="G646" s="676">
        <f t="shared" si="56"/>
        <v>772.63679844369324</v>
      </c>
      <c r="H646" s="683"/>
      <c r="I646" s="683"/>
      <c r="J646" s="881"/>
      <c r="K646" s="761"/>
      <c r="L646" s="761"/>
    </row>
    <row r="647" spans="2:12" ht="26.25">
      <c r="B647" s="881"/>
      <c r="C647" s="676">
        <f t="shared" si="52"/>
        <v>60</v>
      </c>
      <c r="D647" s="684">
        <f t="shared" si="53"/>
        <v>762.48520437529328</v>
      </c>
      <c r="E647" s="684">
        <f t="shared" si="54"/>
        <v>762.48520437522518</v>
      </c>
      <c r="F647" s="676">
        <f t="shared" si="55"/>
        <v>10.151594068468004</v>
      </c>
      <c r="G647" s="676">
        <f t="shared" si="56"/>
        <v>772.63679844369324</v>
      </c>
      <c r="H647" s="683"/>
      <c r="I647" s="683"/>
      <c r="J647" s="881"/>
      <c r="K647" s="761"/>
      <c r="L647" s="761"/>
    </row>
    <row r="649" spans="2:12" ht="33.75">
      <c r="B649" s="882">
        <v>10.7</v>
      </c>
    </row>
    <row r="650" spans="2:12" ht="47.25" customHeight="1">
      <c r="B650" s="1288" t="s">
        <v>682</v>
      </c>
      <c r="C650" s="1288"/>
      <c r="D650" s="1288"/>
      <c r="E650" s="1288"/>
      <c r="F650" s="714"/>
      <c r="G650" s="966" t="s">
        <v>683</v>
      </c>
      <c r="H650" s="714"/>
      <c r="I650" s="714"/>
      <c r="J650" s="714"/>
    </row>
    <row r="651" spans="2:12" ht="23.25">
      <c r="B651" s="714"/>
      <c r="C651" s="714"/>
      <c r="D651" s="714"/>
      <c r="E651" s="714"/>
      <c r="F651" s="714"/>
      <c r="G651" s="883">
        <v>0</v>
      </c>
      <c r="H651" s="714"/>
      <c r="I651" s="714"/>
      <c r="J651" s="714"/>
    </row>
    <row r="652" spans="2:12" ht="69.75">
      <c r="B652" s="841" t="s">
        <v>684</v>
      </c>
      <c r="C652" s="969" t="s">
        <v>784</v>
      </c>
      <c r="D652" s="969" t="s">
        <v>685</v>
      </c>
      <c r="E652" s="969" t="s">
        <v>686</v>
      </c>
      <c r="F652" s="969" t="s">
        <v>687</v>
      </c>
      <c r="G652" s="969" t="s">
        <v>688</v>
      </c>
      <c r="H652" s="969" t="s">
        <v>689</v>
      </c>
      <c r="I652" s="969" t="s">
        <v>690</v>
      </c>
      <c r="J652" s="714"/>
    </row>
    <row r="653" spans="2:12" ht="23.25">
      <c r="B653" s="784" t="s">
        <v>691</v>
      </c>
      <c r="C653" s="884">
        <f>C350</f>
        <v>0.6</v>
      </c>
      <c r="D653" s="677">
        <f>D350</f>
        <v>47682.601799999997</v>
      </c>
      <c r="E653" s="883">
        <f>E350</f>
        <v>0.26392900000000002</v>
      </c>
      <c r="F653" s="884">
        <f>C653*E653</f>
        <v>0.15835740000000001</v>
      </c>
      <c r="G653" s="969" t="s">
        <v>692</v>
      </c>
      <c r="H653" s="969" t="s">
        <v>693</v>
      </c>
      <c r="I653" s="688">
        <f>F653</f>
        <v>0.15835740000000001</v>
      </c>
      <c r="J653" s="714"/>
    </row>
    <row r="654" spans="2:12" ht="23.25">
      <c r="B654" s="784" t="s">
        <v>694</v>
      </c>
      <c r="C654" s="884">
        <f>C351</f>
        <v>0.4</v>
      </c>
      <c r="D654" s="677">
        <f>D351</f>
        <v>31788.4012</v>
      </c>
      <c r="E654" s="883">
        <f>F351</f>
        <v>0.17199999999999999</v>
      </c>
      <c r="F654" s="884">
        <f>C654*E654</f>
        <v>6.88E-2</v>
      </c>
      <c r="G654" s="692" t="s">
        <v>692</v>
      </c>
      <c r="H654" s="883" t="s">
        <v>693</v>
      </c>
      <c r="I654" s="688">
        <f>F654</f>
        <v>6.88E-2</v>
      </c>
      <c r="J654" s="714"/>
    </row>
    <row r="655" spans="2:12" ht="23.25">
      <c r="B655" s="784"/>
      <c r="C655" s="885"/>
      <c r="D655" s="677"/>
      <c r="E655" s="886"/>
      <c r="F655" s="885">
        <f>C655*E655</f>
        <v>0</v>
      </c>
      <c r="G655" s="887"/>
      <c r="H655" s="746"/>
      <c r="I655" s="688">
        <f>F655*G655</f>
        <v>0</v>
      </c>
      <c r="J655" s="714"/>
    </row>
    <row r="656" spans="2:12" ht="69.75">
      <c r="B656" s="969" t="s">
        <v>183</v>
      </c>
      <c r="C656" s="888">
        <f>SUM(C653:C655)</f>
        <v>1</v>
      </c>
      <c r="D656" s="794">
        <f>SUM(D653:D655)</f>
        <v>79471.002999999997</v>
      </c>
      <c r="E656" s="969"/>
      <c r="F656" s="888">
        <f>SUM(F653:F655)</f>
        <v>0.22715740000000001</v>
      </c>
      <c r="G656" s="784"/>
      <c r="H656" s="746"/>
      <c r="I656" s="889">
        <f>SUM(I653:I655)</f>
        <v>0.22715740000000001</v>
      </c>
      <c r="J656" s="965" t="s">
        <v>695</v>
      </c>
    </row>
    <row r="657" spans="2:10" ht="23.25">
      <c r="B657" s="714"/>
      <c r="C657" s="714"/>
      <c r="D657" s="714"/>
      <c r="E657" s="714"/>
      <c r="F657" s="714"/>
      <c r="G657" s="714"/>
      <c r="H657" s="714"/>
      <c r="I657" s="871" t="s">
        <v>696</v>
      </c>
      <c r="J657" s="714"/>
    </row>
    <row r="658" spans="2:10">
      <c r="B658" s="761"/>
      <c r="C658" s="761"/>
      <c r="D658" s="761"/>
    </row>
    <row r="659" spans="2:10" ht="34.5" thickBot="1">
      <c r="B659" s="874">
        <v>10.8</v>
      </c>
      <c r="C659" s="761"/>
      <c r="D659" s="761"/>
    </row>
    <row r="660" spans="2:10" ht="27" thickBot="1">
      <c r="B660" s="1328" t="s">
        <v>785</v>
      </c>
      <c r="C660" s="1329"/>
      <c r="D660" s="1329"/>
      <c r="E660" s="1330"/>
    </row>
    <row r="662" spans="2:10" ht="26.25">
      <c r="B662" s="1331" t="s">
        <v>698</v>
      </c>
      <c r="C662" s="1332"/>
      <c r="D662" s="1267" t="s">
        <v>699</v>
      </c>
      <c r="E662" s="1269"/>
    </row>
    <row r="663" spans="2:10" ht="69.75">
      <c r="B663" s="969" t="s">
        <v>786</v>
      </c>
      <c r="C663" s="840">
        <f>D346</f>
        <v>10365.782999999999</v>
      </c>
      <c r="D663" s="969" t="s">
        <v>701</v>
      </c>
      <c r="E663" s="639">
        <f>(D654+D655)/5</f>
        <v>6357.6802399999997</v>
      </c>
      <c r="F663" s="776" t="s">
        <v>702</v>
      </c>
    </row>
    <row r="664" spans="2:10" ht="42">
      <c r="B664" s="969" t="s">
        <v>703</v>
      </c>
      <c r="C664" s="969"/>
      <c r="D664" s="969" t="s">
        <v>704</v>
      </c>
      <c r="E664" s="639">
        <f>((D654+D655)/5)*4</f>
        <v>25430.720959999999</v>
      </c>
      <c r="F664" s="777" t="s">
        <v>705</v>
      </c>
    </row>
    <row r="665" spans="2:10" ht="46.5">
      <c r="B665" s="969" t="s">
        <v>706</v>
      </c>
      <c r="C665" s="840">
        <f>D344+D345</f>
        <v>69105.22</v>
      </c>
      <c r="D665" s="890" t="s">
        <v>707</v>
      </c>
      <c r="E665" s="891">
        <f>SUM(E663:E664)</f>
        <v>31788.4012</v>
      </c>
      <c r="F665" s="776"/>
    </row>
    <row r="666" spans="2:10" ht="23.25">
      <c r="B666" s="841"/>
      <c r="C666" s="841"/>
      <c r="D666" s="965" t="s">
        <v>708</v>
      </c>
      <c r="E666" s="841"/>
      <c r="F666" s="776"/>
    </row>
    <row r="667" spans="2:10" ht="23.25">
      <c r="B667" s="841"/>
      <c r="C667" s="840"/>
      <c r="D667" s="965" t="s">
        <v>709</v>
      </c>
      <c r="E667" s="844">
        <f>D653</f>
        <v>47682.601799999997</v>
      </c>
      <c r="F667" s="777" t="s">
        <v>710</v>
      </c>
    </row>
    <row r="668" spans="2:10" ht="23.25">
      <c r="B668" s="890" t="s">
        <v>711</v>
      </c>
      <c r="C668" s="892">
        <f>SUM(C663:C667)</f>
        <v>79471.002999999997</v>
      </c>
      <c r="D668" s="890" t="s">
        <v>712</v>
      </c>
      <c r="E668" s="892">
        <f>E665+E667</f>
        <v>79471.002999999997</v>
      </c>
      <c r="F668" s="777" t="s">
        <v>713</v>
      </c>
    </row>
    <row r="669" spans="2:10" ht="23.25">
      <c r="B669" s="893"/>
      <c r="C669" s="893"/>
      <c r="D669" s="893"/>
      <c r="E669" s="893"/>
    </row>
    <row r="672" spans="2:10" ht="26.25">
      <c r="B672" s="1336" t="s">
        <v>714</v>
      </c>
      <c r="C672" s="1336"/>
      <c r="D672" s="1336"/>
      <c r="E672" s="1336"/>
      <c r="F672" s="1336"/>
      <c r="G672" s="1336"/>
      <c r="H672" s="1336"/>
      <c r="I672" s="634"/>
      <c r="J672" s="634"/>
    </row>
    <row r="673" spans="1:13" ht="26.25">
      <c r="A673" s="634"/>
      <c r="B673" s="894"/>
      <c r="C673" s="894"/>
      <c r="D673" s="894"/>
      <c r="E673" s="894"/>
      <c r="F673" s="895"/>
      <c r="G673" s="895"/>
      <c r="H673" s="895"/>
      <c r="I673" s="634"/>
      <c r="J673" s="634"/>
      <c r="K673" s="634"/>
    </row>
    <row r="674" spans="1:13" ht="57.75" customHeight="1">
      <c r="B674" s="1278" t="s">
        <v>715</v>
      </c>
      <c r="C674" s="1279"/>
      <c r="D674" s="1279"/>
      <c r="E674" s="1279"/>
      <c r="F674" s="1279"/>
      <c r="G674" s="1279"/>
      <c r="H674" s="1279"/>
      <c r="I674" s="728"/>
      <c r="J674" s="772"/>
    </row>
    <row r="675" spans="1:13">
      <c r="A675" s="772"/>
      <c r="B675" s="728"/>
      <c r="C675" s="728"/>
      <c r="D675" s="666"/>
      <c r="E675" s="728"/>
      <c r="F675" s="728"/>
      <c r="G675" s="728"/>
      <c r="H675" s="728"/>
      <c r="I675" s="728"/>
      <c r="J675" s="772"/>
      <c r="K675" s="634"/>
    </row>
    <row r="676" spans="1:13">
      <c r="A676" s="772"/>
      <c r="B676" s="728"/>
      <c r="C676" s="728"/>
      <c r="D676" s="666"/>
      <c r="E676" s="728"/>
      <c r="F676" s="728"/>
      <c r="G676" s="728"/>
      <c r="H676" s="728"/>
      <c r="I676" s="728"/>
      <c r="J676" s="772"/>
      <c r="K676" s="634"/>
      <c r="L676" s="634"/>
      <c r="M676" s="634"/>
    </row>
    <row r="677" spans="1:13" ht="23.25" customHeight="1">
      <c r="A677" s="772"/>
      <c r="B677" s="1357" t="s">
        <v>716</v>
      </c>
      <c r="C677" s="1358"/>
      <c r="D677" s="1358"/>
      <c r="E677" s="1358"/>
      <c r="F677" s="1358"/>
      <c r="G677" s="1358"/>
      <c r="H677" s="1358"/>
      <c r="I677" s="1359"/>
      <c r="J677" s="718"/>
      <c r="K677" s="715"/>
      <c r="L677" s="634"/>
      <c r="M677" s="634"/>
    </row>
    <row r="678" spans="1:13" ht="51.75" customHeight="1">
      <c r="A678" s="772"/>
      <c r="B678" s="1288" t="s">
        <v>844</v>
      </c>
      <c r="C678" s="1288"/>
      <c r="D678" s="969">
        <f t="shared" ref="D678:I678" si="57">D526</f>
        <v>2022</v>
      </c>
      <c r="E678" s="969">
        <f t="shared" si="57"/>
        <v>2023</v>
      </c>
      <c r="F678" s="969">
        <f t="shared" si="57"/>
        <v>2024</v>
      </c>
      <c r="G678" s="969">
        <f t="shared" si="57"/>
        <v>2025</v>
      </c>
      <c r="H678" s="969">
        <f t="shared" si="57"/>
        <v>2026</v>
      </c>
      <c r="I678" s="969">
        <f t="shared" si="57"/>
        <v>2027</v>
      </c>
      <c r="J678" s="718"/>
      <c r="K678" s="715"/>
      <c r="L678" s="634"/>
      <c r="M678" s="634"/>
    </row>
    <row r="679" spans="1:13" ht="23.25">
      <c r="A679" s="772"/>
      <c r="B679" s="896" t="s">
        <v>613</v>
      </c>
      <c r="C679" s="896"/>
      <c r="D679" s="862">
        <v>0</v>
      </c>
      <c r="E679" s="862">
        <v>1</v>
      </c>
      <c r="F679" s="862">
        <v>2</v>
      </c>
      <c r="G679" s="862">
        <v>3</v>
      </c>
      <c r="H679" s="862">
        <v>4</v>
      </c>
      <c r="I679" s="862">
        <v>5</v>
      </c>
      <c r="J679" s="718"/>
      <c r="K679" s="715"/>
      <c r="L679" s="634"/>
      <c r="M679" s="634"/>
    </row>
    <row r="680" spans="1:13" ht="23.25">
      <c r="A680" s="772"/>
      <c r="B680" s="971" t="s">
        <v>718</v>
      </c>
      <c r="C680" s="971"/>
      <c r="D680" s="682"/>
      <c r="E680" s="682">
        <f t="shared" ref="E680:I684" si="58">E528</f>
        <v>1234359.7364000003</v>
      </c>
      <c r="F680" s="682">
        <f t="shared" si="58"/>
        <v>1286188.2983993064</v>
      </c>
      <c r="G680" s="682">
        <f t="shared" si="58"/>
        <v>1341523.9261138076</v>
      </c>
      <c r="H680" s="682">
        <f t="shared" si="58"/>
        <v>1400628.3915009713</v>
      </c>
      <c r="I680" s="682">
        <f t="shared" si="58"/>
        <v>1463786.1572133095</v>
      </c>
      <c r="J680" s="718"/>
      <c r="K680" s="715"/>
      <c r="L680" s="634"/>
      <c r="M680" s="634"/>
    </row>
    <row r="681" spans="1:13" ht="23.25">
      <c r="A681" s="772"/>
      <c r="B681" s="1337" t="s">
        <v>617</v>
      </c>
      <c r="C681" s="1337"/>
      <c r="D681" s="682"/>
      <c r="E681" s="682">
        <f t="shared" si="58"/>
        <v>684119.41512000002</v>
      </c>
      <c r="F681" s="682">
        <f t="shared" si="58"/>
        <v>741075.82833477156</v>
      </c>
      <c r="G681" s="682">
        <f t="shared" si="58"/>
        <v>811224.40623508557</v>
      </c>
      <c r="H681" s="682">
        <f t="shared" si="58"/>
        <v>897279.84974332328</v>
      </c>
      <c r="I681" s="682">
        <f t="shared" si="58"/>
        <v>1002732.3051724674</v>
      </c>
      <c r="J681" s="718"/>
      <c r="K681" s="715"/>
      <c r="L681" s="634"/>
      <c r="M681" s="634"/>
    </row>
    <row r="682" spans="1:13" ht="23.25">
      <c r="A682" s="772"/>
      <c r="B682" s="1338" t="s">
        <v>618</v>
      </c>
      <c r="C682" s="1338"/>
      <c r="D682" s="682"/>
      <c r="E682" s="682">
        <f t="shared" si="58"/>
        <v>351863.78720000002</v>
      </c>
      <c r="F682" s="682">
        <f t="shared" si="58"/>
        <v>357074.50975840003</v>
      </c>
      <c r="G682" s="682">
        <f t="shared" si="58"/>
        <v>370834.3304200648</v>
      </c>
      <c r="H682" s="682">
        <f t="shared" si="58"/>
        <v>377752.39643575397</v>
      </c>
      <c r="I682" s="682">
        <f t="shared" si="58"/>
        <v>392355.34767582227</v>
      </c>
      <c r="J682" s="718"/>
      <c r="K682" s="715"/>
      <c r="L682" s="634"/>
      <c r="M682" s="634"/>
    </row>
    <row r="683" spans="1:13" ht="23.25">
      <c r="A683" s="772"/>
      <c r="B683" s="970" t="s">
        <v>526</v>
      </c>
      <c r="C683" s="897"/>
      <c r="D683" s="897"/>
      <c r="E683" s="682">
        <f t="shared" si="58"/>
        <v>8849.1219999999994</v>
      </c>
      <c r="F683" s="682">
        <f t="shared" si="58"/>
        <v>8849.1219999999994</v>
      </c>
      <c r="G683" s="682">
        <f t="shared" si="58"/>
        <v>8849.1219999999994</v>
      </c>
      <c r="H683" s="682">
        <f t="shared" si="58"/>
        <v>8849.1219999999994</v>
      </c>
      <c r="I683" s="682">
        <f t="shared" si="58"/>
        <v>8849.1219999999994</v>
      </c>
      <c r="J683" s="718"/>
      <c r="K683" s="715"/>
      <c r="L683" s="634"/>
      <c r="M683" s="634"/>
    </row>
    <row r="684" spans="1:13" ht="23.25">
      <c r="A684" s="772"/>
      <c r="B684" s="971" t="s">
        <v>527</v>
      </c>
      <c r="C684" s="971"/>
      <c r="D684" s="682"/>
      <c r="E684" s="682">
        <f t="shared" si="58"/>
        <v>542.15</v>
      </c>
      <c r="F684" s="682">
        <f t="shared" si="58"/>
        <v>542.15</v>
      </c>
      <c r="G684" s="682">
        <f t="shared" si="58"/>
        <v>542.15</v>
      </c>
      <c r="H684" s="682">
        <f t="shared" si="58"/>
        <v>542.15</v>
      </c>
      <c r="I684" s="682">
        <f t="shared" si="58"/>
        <v>542.15</v>
      </c>
      <c r="J684" s="718"/>
      <c r="K684" s="715"/>
      <c r="L684" s="634"/>
      <c r="M684" s="634"/>
    </row>
    <row r="685" spans="1:13" ht="23.25">
      <c r="A685" s="772"/>
      <c r="B685" s="1268" t="s">
        <v>719</v>
      </c>
      <c r="C685" s="1269"/>
      <c r="D685" s="638"/>
      <c r="E685" s="689">
        <f>E680-E681-E682-E683-E684</f>
        <v>188985.26208000025</v>
      </c>
      <c r="F685" s="689">
        <f>F680-F681-F682-F683-F684</f>
        <v>178646.68830613478</v>
      </c>
      <c r="G685" s="689">
        <f>G680-G681-G682-G683-G684</f>
        <v>150073.91745865723</v>
      </c>
      <c r="H685" s="689">
        <f>H680-H681-H682-H683-H684</f>
        <v>116204.87332189403</v>
      </c>
      <c r="I685" s="689">
        <f>I680-I681-I682-I683-I684</f>
        <v>59307.232365019903</v>
      </c>
      <c r="J685" s="718"/>
      <c r="K685" s="715"/>
      <c r="L685" s="634"/>
      <c r="M685" s="634"/>
    </row>
    <row r="686" spans="1:13" ht="37.5" customHeight="1">
      <c r="A686" s="772"/>
      <c r="B686" s="1333" t="s">
        <v>623</v>
      </c>
      <c r="C686" s="1334"/>
      <c r="D686" s="682"/>
      <c r="E686" s="685">
        <f>SUM(F588:F599)</f>
        <v>4757.6270322453256</v>
      </c>
      <c r="F686" s="685">
        <f>SUM(F600:F611)</f>
        <v>3981.2165298037335</v>
      </c>
      <c r="G686" s="685">
        <f>SUM(F612:F623)</f>
        <v>3071.2634209421849</v>
      </c>
      <c r="H686" s="685">
        <f>SUM(F624:F635)</f>
        <v>2004.7983773564488</v>
      </c>
      <c r="I686" s="898">
        <f>SUM(F636:F647)</f>
        <v>754.90134627396469</v>
      </c>
      <c r="J686" s="718"/>
      <c r="K686" s="715"/>
      <c r="L686" s="634"/>
      <c r="M686" s="634"/>
    </row>
    <row r="687" spans="1:13" ht="23.25">
      <c r="A687" s="772"/>
      <c r="B687" s="1335" t="s">
        <v>624</v>
      </c>
      <c r="C687" s="1335"/>
      <c r="D687" s="682"/>
      <c r="E687" s="682">
        <v>0</v>
      </c>
      <c r="F687" s="682">
        <v>0</v>
      </c>
      <c r="G687" s="682">
        <v>0</v>
      </c>
      <c r="H687" s="682">
        <v>0</v>
      </c>
      <c r="I687" s="682">
        <v>0</v>
      </c>
      <c r="J687" s="718"/>
      <c r="K687" s="715"/>
      <c r="L687" s="634"/>
      <c r="M687" s="634"/>
    </row>
    <row r="688" spans="1:13" ht="23.25">
      <c r="A688" s="772"/>
      <c r="B688" s="1267" t="s">
        <v>625</v>
      </c>
      <c r="C688" s="1269"/>
      <c r="D688" s="638"/>
      <c r="E688" s="638">
        <f>E685-E686-E687</f>
        <v>184227.63504775491</v>
      </c>
      <c r="F688" s="638">
        <f>F685-F686-F687</f>
        <v>174665.47177633105</v>
      </c>
      <c r="G688" s="638">
        <f>G685-G686-G687</f>
        <v>147002.65403771505</v>
      </c>
      <c r="H688" s="638">
        <f>H685-H686-H687</f>
        <v>114200.07494453758</v>
      </c>
      <c r="I688" s="638">
        <f>I685-I686-I687</f>
        <v>58552.331018745936</v>
      </c>
      <c r="J688" s="718"/>
      <c r="K688" s="715"/>
      <c r="L688" s="634"/>
      <c r="M688" s="634"/>
    </row>
    <row r="689" spans="1:13" ht="23.25">
      <c r="A689" s="772"/>
      <c r="B689" s="1335" t="s">
        <v>626</v>
      </c>
      <c r="C689" s="1335"/>
      <c r="D689" s="708">
        <v>0.01</v>
      </c>
      <c r="E689" s="682">
        <f>E680*$D$689</f>
        <v>12343.597364000003</v>
      </c>
      <c r="F689" s="682">
        <f t="shared" ref="F689:I689" si="59">F680*$D$689</f>
        <v>12861.882983993064</v>
      </c>
      <c r="G689" s="682">
        <f t="shared" si="59"/>
        <v>13415.239261138076</v>
      </c>
      <c r="H689" s="682">
        <f t="shared" si="59"/>
        <v>14006.283915009713</v>
      </c>
      <c r="I689" s="682">
        <f t="shared" si="59"/>
        <v>14637.861572133095</v>
      </c>
      <c r="J689" s="718"/>
      <c r="K689" s="715"/>
      <c r="L689" s="634"/>
      <c r="M689" s="634"/>
    </row>
    <row r="690" spans="1:13" ht="93">
      <c r="A690" s="772"/>
      <c r="B690" s="1267" t="s">
        <v>627</v>
      </c>
      <c r="C690" s="1269"/>
      <c r="D690" s="690" t="s">
        <v>720</v>
      </c>
      <c r="E690" s="689">
        <f>E688-E689</f>
        <v>171884.0376837549</v>
      </c>
      <c r="F690" s="689">
        <f>F688-F689</f>
        <v>161803.58879233798</v>
      </c>
      <c r="G690" s="689">
        <f>G688-G689</f>
        <v>133587.41477657697</v>
      </c>
      <c r="H690" s="689">
        <f>H688-H689</f>
        <v>100193.79102952787</v>
      </c>
      <c r="I690" s="689">
        <f>I688-I689</f>
        <v>43914.469446612842</v>
      </c>
      <c r="J690" s="718"/>
      <c r="K690" s="715"/>
      <c r="L690" s="634"/>
      <c r="M690" s="634"/>
    </row>
    <row r="691" spans="1:13" ht="23.25">
      <c r="A691" s="825" t="s">
        <v>721</v>
      </c>
      <c r="B691" s="867" t="s">
        <v>526</v>
      </c>
      <c r="C691" s="971"/>
      <c r="D691" s="682"/>
      <c r="E691" s="682">
        <f t="shared" ref="E691:I692" si="60">E683</f>
        <v>8849.1219999999994</v>
      </c>
      <c r="F691" s="682">
        <f t="shared" si="60"/>
        <v>8849.1219999999994</v>
      </c>
      <c r="G691" s="682">
        <f t="shared" si="60"/>
        <v>8849.1219999999994</v>
      </c>
      <c r="H691" s="682">
        <f t="shared" si="60"/>
        <v>8849.1219999999994</v>
      </c>
      <c r="I691" s="682">
        <f t="shared" si="60"/>
        <v>8849.1219999999994</v>
      </c>
      <c r="J691" s="718"/>
      <c r="K691" s="715"/>
      <c r="L691" s="634"/>
      <c r="M691" s="634"/>
    </row>
    <row r="692" spans="1:13" ht="23.25">
      <c r="A692" s="825" t="s">
        <v>721</v>
      </c>
      <c r="B692" s="867" t="s">
        <v>527</v>
      </c>
      <c r="C692" s="971"/>
      <c r="D692" s="971"/>
      <c r="E692" s="682">
        <f t="shared" si="60"/>
        <v>542.15</v>
      </c>
      <c r="F692" s="682">
        <f t="shared" si="60"/>
        <v>542.15</v>
      </c>
      <c r="G692" s="682">
        <f t="shared" si="60"/>
        <v>542.15</v>
      </c>
      <c r="H692" s="682">
        <f t="shared" si="60"/>
        <v>542.15</v>
      </c>
      <c r="I692" s="682">
        <f t="shared" si="60"/>
        <v>542.15</v>
      </c>
      <c r="J692" s="718"/>
      <c r="K692" s="715"/>
      <c r="L692" s="634"/>
      <c r="M692" s="634"/>
    </row>
    <row r="693" spans="1:13" ht="46.5">
      <c r="A693" s="899" t="s">
        <v>721</v>
      </c>
      <c r="B693" s="863" t="s">
        <v>623</v>
      </c>
      <c r="C693" s="970"/>
      <c r="D693" s="970"/>
      <c r="E693" s="865">
        <f>E686</f>
        <v>4757.6270322453256</v>
      </c>
      <c r="F693" s="865">
        <f t="shared" ref="F693:I693" si="61">F686</f>
        <v>3981.2165298037335</v>
      </c>
      <c r="G693" s="865">
        <f t="shared" si="61"/>
        <v>3071.2634209421849</v>
      </c>
      <c r="H693" s="865">
        <f t="shared" si="61"/>
        <v>2004.7983773564488</v>
      </c>
      <c r="I693" s="865">
        <f t="shared" si="61"/>
        <v>754.90134627396469</v>
      </c>
      <c r="J693" s="718"/>
      <c r="K693" s="715"/>
      <c r="L693" s="634"/>
      <c r="M693" s="634"/>
    </row>
    <row r="694" spans="1:13" ht="46.5">
      <c r="A694" s="899" t="s">
        <v>721</v>
      </c>
      <c r="B694" s="863" t="s">
        <v>624</v>
      </c>
      <c r="C694" s="970"/>
      <c r="D694" s="970"/>
      <c r="E694" s="865">
        <f t="shared" ref="E694:I694" si="62">E687</f>
        <v>0</v>
      </c>
      <c r="F694" s="865">
        <f t="shared" si="62"/>
        <v>0</v>
      </c>
      <c r="G694" s="865">
        <f t="shared" si="62"/>
        <v>0</v>
      </c>
      <c r="H694" s="865">
        <f t="shared" si="62"/>
        <v>0</v>
      </c>
      <c r="I694" s="865">
        <f t="shared" si="62"/>
        <v>0</v>
      </c>
      <c r="J694" s="718"/>
      <c r="K694" s="715"/>
      <c r="L694" s="634"/>
      <c r="M694" s="634"/>
    </row>
    <row r="695" spans="1:13" ht="45.75" customHeight="1">
      <c r="A695" s="772"/>
      <c r="B695" s="1267" t="s">
        <v>630</v>
      </c>
      <c r="C695" s="1269"/>
      <c r="D695" s="969" t="s">
        <v>722</v>
      </c>
      <c r="E695" s="868">
        <f>E690+E691+E692+E693+E694</f>
        <v>186032.93671600023</v>
      </c>
      <c r="F695" s="868">
        <f>F690+F691+F692+F693+F694</f>
        <v>175176.0773221417</v>
      </c>
      <c r="G695" s="868">
        <f>G690+G691+G692+G693+G694</f>
        <v>146049.95019751915</v>
      </c>
      <c r="H695" s="868">
        <f>H690+H691+H692+H693+H694</f>
        <v>111589.86140688432</v>
      </c>
      <c r="I695" s="868">
        <f>I690+I691+I692+I693+I694</f>
        <v>54060.642792886814</v>
      </c>
      <c r="J695" s="718"/>
      <c r="K695" s="715"/>
      <c r="L695" s="634"/>
      <c r="M695" s="634"/>
    </row>
    <row r="696" spans="1:13" ht="23.25">
      <c r="A696" s="772"/>
      <c r="B696" s="1346" t="s">
        <v>631</v>
      </c>
      <c r="C696" s="1347"/>
      <c r="D696" s="695">
        <f>D544</f>
        <v>-79471.002999999997</v>
      </c>
      <c r="E696" s="872"/>
      <c r="F696" s="872"/>
      <c r="G696" s="872"/>
      <c r="H696" s="872"/>
      <c r="I696" s="872"/>
      <c r="J696" s="718"/>
      <c r="K696" s="715"/>
      <c r="L696" s="634"/>
      <c r="M696" s="634"/>
    </row>
    <row r="697" spans="1:13" ht="69.75" customHeight="1">
      <c r="A697" s="772"/>
      <c r="B697" s="1333" t="s">
        <v>723</v>
      </c>
      <c r="C697" s="1334"/>
      <c r="D697" s="707">
        <f>D654</f>
        <v>31788.4012</v>
      </c>
      <c r="E697" s="872"/>
      <c r="F697" s="872"/>
      <c r="G697" s="872"/>
      <c r="H697" s="872"/>
      <c r="I697" s="872"/>
      <c r="J697" s="718"/>
      <c r="K697" s="715"/>
      <c r="L697" s="634"/>
      <c r="M697" s="634"/>
    </row>
    <row r="698" spans="1:13" ht="46.5" customHeight="1">
      <c r="A698" s="772"/>
      <c r="B698" s="1333" t="s">
        <v>724</v>
      </c>
      <c r="C698" s="1334"/>
      <c r="D698" s="695"/>
      <c r="E698" s="900">
        <f>SUM(E588:E599)</f>
        <v>4514.0145490789937</v>
      </c>
      <c r="F698" s="900">
        <f>SUM(E600:E611)</f>
        <v>5290.4250515205867</v>
      </c>
      <c r="G698" s="900">
        <f>SUM(E612:E623)</f>
        <v>6200.3781603821335</v>
      </c>
      <c r="H698" s="900">
        <f>SUM(E624:E635)</f>
        <v>7266.8432039678701</v>
      </c>
      <c r="I698" s="900">
        <f>SUM(E636:E647)</f>
        <v>8516.7402350503544</v>
      </c>
      <c r="J698" s="901" t="s">
        <v>725</v>
      </c>
      <c r="K698" s="715"/>
      <c r="L698" s="634"/>
      <c r="M698" s="634"/>
    </row>
    <row r="699" spans="1:13" ht="46.5" customHeight="1">
      <c r="A699" s="772"/>
      <c r="B699" s="1333" t="s">
        <v>726</v>
      </c>
      <c r="C699" s="1334"/>
      <c r="D699" s="695"/>
      <c r="E699" s="900">
        <f>E693</f>
        <v>4757.6270322453256</v>
      </c>
      <c r="F699" s="900">
        <f t="shared" ref="F699:I699" si="63">F693</f>
        <v>3981.2165298037335</v>
      </c>
      <c r="G699" s="900">
        <f t="shared" si="63"/>
        <v>3071.2634209421849</v>
      </c>
      <c r="H699" s="900">
        <f t="shared" si="63"/>
        <v>2004.7983773564488</v>
      </c>
      <c r="I699" s="900">
        <f t="shared" si="63"/>
        <v>754.90134627396469</v>
      </c>
      <c r="J699" s="901" t="s">
        <v>725</v>
      </c>
      <c r="K699" s="715"/>
      <c r="L699" s="634"/>
      <c r="M699" s="634"/>
    </row>
    <row r="700" spans="1:13" ht="52.5" customHeight="1">
      <c r="A700" s="772"/>
      <c r="B700" s="1348" t="s">
        <v>727</v>
      </c>
      <c r="C700" s="1349"/>
      <c r="D700" s="689">
        <f>D696+D697</f>
        <v>-47682.601799999997</v>
      </c>
      <c r="E700" s="689">
        <f>E695-E698-E699</f>
        <v>176761.29513467589</v>
      </c>
      <c r="F700" s="689">
        <f>F695-F698-F699</f>
        <v>165904.4357408174</v>
      </c>
      <c r="G700" s="689">
        <f>G695-G698-G699</f>
        <v>136778.30861619484</v>
      </c>
      <c r="H700" s="689">
        <f>H695-H698-H699</f>
        <v>102318.21982555999</v>
      </c>
      <c r="I700" s="689">
        <f>I695-I698-I699</f>
        <v>44789.001211562492</v>
      </c>
      <c r="J700" s="902">
        <f>SUM(E700:I700)</f>
        <v>626551.26052881067</v>
      </c>
      <c r="K700" s="715"/>
      <c r="L700" s="634"/>
      <c r="M700" s="634"/>
    </row>
    <row r="701" spans="1:13" ht="23.25">
      <c r="A701" s="772"/>
      <c r="B701" s="784" t="s">
        <v>728</v>
      </c>
      <c r="C701" s="903">
        <f>I656</f>
        <v>0.22715740000000001</v>
      </c>
      <c r="D701" s="704"/>
      <c r="E701" s="705"/>
      <c r="F701" s="705"/>
      <c r="G701" s="705"/>
      <c r="H701" s="705"/>
      <c r="I701" s="705"/>
      <c r="J701" s="718"/>
      <c r="K701" s="715"/>
      <c r="L701" s="634"/>
      <c r="M701" s="634"/>
    </row>
    <row r="702" spans="1:13" ht="23.25">
      <c r="A702" s="772"/>
      <c r="B702" s="904"/>
      <c r="C702" s="905"/>
      <c r="D702" s="704"/>
      <c r="E702" s="705"/>
      <c r="F702" s="705"/>
      <c r="G702" s="705"/>
      <c r="H702" s="705"/>
      <c r="I702" s="705"/>
      <c r="J702" s="718"/>
      <c r="K702" s="715"/>
      <c r="L702" s="634"/>
      <c r="M702" s="634"/>
    </row>
    <row r="703" spans="1:13" ht="23.25">
      <c r="A703" s="772"/>
      <c r="B703" s="1339"/>
      <c r="C703" s="906" t="s">
        <v>729</v>
      </c>
      <c r="D703" s="710">
        <f>NPV(C701,E700:I700)+D700</f>
        <v>341754.03070347838</v>
      </c>
      <c r="E703" s="706"/>
      <c r="F703" s="706"/>
      <c r="G703" s="706"/>
      <c r="H703" s="706"/>
      <c r="I703" s="706"/>
      <c r="J703" s="718"/>
      <c r="K703" s="715"/>
      <c r="L703" s="634"/>
      <c r="M703" s="634"/>
    </row>
    <row r="704" spans="1:13" ht="23.25">
      <c r="A704" s="772"/>
      <c r="B704" s="1339"/>
      <c r="C704" s="906" t="s">
        <v>730</v>
      </c>
      <c r="D704" s="907">
        <f>IRR(D700:I700)</f>
        <v>3.6186742172516597</v>
      </c>
      <c r="E704" s="870"/>
      <c r="F704" s="870"/>
      <c r="G704" s="870"/>
      <c r="H704" s="870"/>
      <c r="I704" s="870"/>
      <c r="J704" s="718"/>
      <c r="K704" s="715"/>
      <c r="L704" s="634"/>
      <c r="M704" s="634"/>
    </row>
    <row r="705" spans="1:13" ht="36.75" customHeight="1">
      <c r="A705" s="772"/>
      <c r="B705" s="1339"/>
      <c r="C705" s="890" t="s">
        <v>731</v>
      </c>
      <c r="D705" s="681">
        <f>NPV(C701,E700:I700)/-D700</f>
        <v>8.167268936727325</v>
      </c>
      <c r="E705" s="1340" t="s">
        <v>732</v>
      </c>
      <c r="F705" s="1341"/>
      <c r="G705" s="1341"/>
      <c r="H705" s="1341"/>
      <c r="I705" s="908">
        <f>D705-1</f>
        <v>7.167268936727325</v>
      </c>
      <c r="J705" s="716" t="s">
        <v>284</v>
      </c>
      <c r="K705" s="715"/>
      <c r="L705" s="634"/>
      <c r="M705" s="634"/>
    </row>
    <row r="706" spans="1:13" ht="23.25">
      <c r="A706" s="772"/>
      <c r="B706" s="1339"/>
      <c r="C706" s="906" t="s">
        <v>733</v>
      </c>
      <c r="D706" s="680"/>
      <c r="E706" s="870"/>
      <c r="F706" s="870"/>
      <c r="G706" s="870"/>
      <c r="H706" s="870"/>
      <c r="I706" s="870"/>
      <c r="J706" s="718"/>
      <c r="K706" s="715"/>
      <c r="L706" s="634"/>
      <c r="M706" s="634"/>
    </row>
    <row r="707" spans="1:13" ht="52.5" customHeight="1">
      <c r="A707" s="772"/>
      <c r="B707" s="969" t="s">
        <v>264</v>
      </c>
      <c r="C707" s="969" t="s">
        <v>644</v>
      </c>
      <c r="D707" s="637" t="s">
        <v>645</v>
      </c>
      <c r="E707" s="909">
        <v>10.1</v>
      </c>
      <c r="F707" s="1342" t="s">
        <v>647</v>
      </c>
      <c r="G707" s="1343"/>
      <c r="H707" s="1343"/>
      <c r="I707" s="1343"/>
      <c r="J707" s="841"/>
      <c r="K707" s="715"/>
      <c r="L707" s="634"/>
      <c r="M707" s="634"/>
    </row>
    <row r="708" spans="1:13" ht="23.25">
      <c r="A708" s="772"/>
      <c r="B708" s="726">
        <v>0</v>
      </c>
      <c r="C708" s="971"/>
      <c r="D708" s="682">
        <f>-D700</f>
        <v>47682.601799999997</v>
      </c>
      <c r="E708" s="686">
        <f>E700/(1+$C$701)^(1)</f>
        <v>144041.25757191039</v>
      </c>
      <c r="F708" s="686">
        <f>F700/(1+$C$701)^(2)</f>
        <v>110168.50513586437</v>
      </c>
      <c r="G708" s="686">
        <f>G700/(1+$C$701)^(3)</f>
        <v>74014.433115588719</v>
      </c>
      <c r="H708" s="686">
        <f>H700/(1+$C$701)^(4)</f>
        <v>45118.213300546653</v>
      </c>
      <c r="I708" s="687">
        <f>I700/(1+$C$701)^(5)</f>
        <v>16094.223379568281</v>
      </c>
      <c r="J708" s="740">
        <f>SUM(E708:I709)</f>
        <v>389436.63250347838</v>
      </c>
      <c r="K708" s="715"/>
      <c r="L708" s="634"/>
      <c r="M708" s="634"/>
    </row>
    <row r="709" spans="1:13" ht="23.25">
      <c r="A709" s="772"/>
      <c r="B709" s="726">
        <v>1</v>
      </c>
      <c r="C709" s="791">
        <f>E708</f>
        <v>144041.25757191039</v>
      </c>
      <c r="D709" s="682">
        <f>D708-C709</f>
        <v>-96358.655771910388</v>
      </c>
      <c r="E709" s="870"/>
      <c r="F709" s="870"/>
      <c r="G709" s="870"/>
      <c r="H709" s="870"/>
      <c r="I709" s="870"/>
      <c r="J709" s="740">
        <f>D700</f>
        <v>-47682.601799999997</v>
      </c>
      <c r="K709" s="715"/>
      <c r="L709" s="634"/>
      <c r="M709" s="634"/>
    </row>
    <row r="710" spans="1:13" ht="23.25">
      <c r="A710" s="772"/>
      <c r="B710" s="726">
        <v>2</v>
      </c>
      <c r="C710" s="791">
        <f>F708</f>
        <v>110168.50513586437</v>
      </c>
      <c r="D710" s="682">
        <f>D709-C710</f>
        <v>-206527.16090777476</v>
      </c>
      <c r="E710" s="870"/>
      <c r="F710" s="870"/>
      <c r="G710" s="870"/>
      <c r="H710" s="870"/>
      <c r="I710" s="870"/>
      <c r="J710" s="910">
        <f>SUM(J708:J709)</f>
        <v>341754.03070347838</v>
      </c>
      <c r="K710" s="715"/>
      <c r="L710" s="634"/>
      <c r="M710" s="634"/>
    </row>
    <row r="711" spans="1:13" ht="23.25">
      <c r="A711" s="772"/>
      <c r="B711" s="726">
        <v>3</v>
      </c>
      <c r="C711" s="791">
        <f>G708</f>
        <v>74014.433115588719</v>
      </c>
      <c r="D711" s="682">
        <f>D710-C711</f>
        <v>-280541.59402336349</v>
      </c>
      <c r="E711" s="911" t="s">
        <v>567</v>
      </c>
      <c r="F711" s="911" t="s">
        <v>649</v>
      </c>
      <c r="G711" s="911" t="s">
        <v>650</v>
      </c>
      <c r="H711" s="870"/>
      <c r="I711" s="870"/>
      <c r="J711" s="871" t="s">
        <v>734</v>
      </c>
      <c r="K711" s="715"/>
      <c r="L711" s="634"/>
      <c r="M711" s="634"/>
    </row>
    <row r="712" spans="1:13" ht="23.25">
      <c r="A712" s="772"/>
      <c r="B712" s="726">
        <v>4</v>
      </c>
      <c r="C712" s="791">
        <f>H708</f>
        <v>45118.213300546653</v>
      </c>
      <c r="D712" s="682">
        <f>D711-C712</f>
        <v>-325659.80732391012</v>
      </c>
      <c r="E712" s="911">
        <v>0</v>
      </c>
      <c r="F712" s="911">
        <v>3</v>
      </c>
      <c r="G712" s="911">
        <v>29</v>
      </c>
      <c r="H712" s="870"/>
      <c r="I712" s="870"/>
      <c r="J712" s="718"/>
      <c r="K712" s="715"/>
      <c r="L712" s="634"/>
      <c r="M712" s="634"/>
    </row>
    <row r="713" spans="1:13" ht="23.25">
      <c r="A713" s="772"/>
      <c r="B713" s="726">
        <v>5</v>
      </c>
      <c r="C713" s="791">
        <f>I708</f>
        <v>16094.223379568281</v>
      </c>
      <c r="D713" s="710">
        <f>D712-C713</f>
        <v>-341754.03070347838</v>
      </c>
      <c r="E713" s="971"/>
      <c r="F713" s="869">
        <f>(D708/C709)*12</f>
        <v>3.9724120105959377</v>
      </c>
      <c r="G713" s="869">
        <f>(F713-F712)*30</f>
        <v>29.17236031787813</v>
      </c>
      <c r="H713" s="870"/>
      <c r="I713" s="870"/>
      <c r="J713" s="718"/>
      <c r="K713" s="715"/>
      <c r="L713" s="634"/>
      <c r="M713" s="634"/>
    </row>
    <row r="714" spans="1:13" ht="23.25">
      <c r="A714" s="772"/>
      <c r="B714" s="722"/>
      <c r="C714" s="722"/>
      <c r="D714" s="709"/>
      <c r="E714" s="722"/>
      <c r="F714" s="722"/>
      <c r="G714" s="722"/>
      <c r="H714" s="722"/>
      <c r="I714" s="722"/>
      <c r="J714" s="718"/>
      <c r="K714" s="715"/>
      <c r="L714" s="634"/>
      <c r="M714" s="634"/>
    </row>
    <row r="715" spans="1:13" ht="23.25">
      <c r="A715" s="772"/>
      <c r="B715" s="722"/>
      <c r="C715" s="1344" t="s">
        <v>735</v>
      </c>
      <c r="D715" s="1345"/>
      <c r="E715" s="1345"/>
      <c r="F715" s="722"/>
      <c r="G715" s="722"/>
      <c r="H715" s="722"/>
      <c r="I715" s="722"/>
      <c r="J715" s="718"/>
      <c r="K715" s="715"/>
      <c r="L715" s="634"/>
      <c r="M715" s="634"/>
    </row>
    <row r="716" spans="1:13" ht="23.25">
      <c r="A716" s="772"/>
      <c r="B716" s="722"/>
      <c r="C716" s="722"/>
      <c r="D716" s="709"/>
      <c r="E716" s="722"/>
      <c r="F716" s="722"/>
      <c r="G716" s="912"/>
      <c r="H716" s="722"/>
      <c r="I716" s="722"/>
      <c r="J716" s="718"/>
      <c r="K716" s="715"/>
      <c r="L716" s="634"/>
      <c r="M716" s="634"/>
    </row>
    <row r="717" spans="1:13" ht="23.25">
      <c r="A717" s="772"/>
      <c r="B717" s="966">
        <v>10.119999999999999</v>
      </c>
      <c r="C717" s="722"/>
      <c r="D717" s="709"/>
      <c r="E717" s="722"/>
      <c r="F717" s="722"/>
      <c r="G717" s="722"/>
      <c r="H717" s="722"/>
      <c r="I717" s="722"/>
      <c r="J717" s="718"/>
      <c r="K717" s="715"/>
      <c r="L717" s="634"/>
      <c r="M717" s="634"/>
    </row>
    <row r="718" spans="1:13" ht="23.25">
      <c r="A718" s="772"/>
      <c r="B718" s="912" t="s">
        <v>736</v>
      </c>
      <c r="C718" s="714"/>
      <c r="D718" s="709"/>
      <c r="E718" s="722"/>
      <c r="F718" s="722"/>
      <c r="G718" s="722"/>
      <c r="H718" s="722"/>
      <c r="I718" s="722"/>
      <c r="J718" s="718"/>
      <c r="K718" s="715"/>
      <c r="L718" s="634"/>
      <c r="M718" s="634"/>
    </row>
    <row r="719" spans="1:13" ht="23.25">
      <c r="A719" s="772"/>
      <c r="B719" s="722"/>
      <c r="C719" s="722"/>
      <c r="D719" s="709"/>
      <c r="E719" s="722"/>
      <c r="F719" s="722"/>
      <c r="G719" s="722"/>
      <c r="H719" s="722"/>
      <c r="I719" s="722"/>
      <c r="J719" s="718"/>
      <c r="K719" s="715"/>
      <c r="L719" s="634"/>
      <c r="M719" s="634"/>
    </row>
    <row r="720" spans="1:13">
      <c r="A720" s="772"/>
      <c r="B720" s="728"/>
      <c r="C720" s="728"/>
      <c r="D720" s="666"/>
      <c r="E720" s="728"/>
      <c r="F720" s="728"/>
      <c r="G720" s="728"/>
      <c r="H720" s="728"/>
      <c r="I720" s="728"/>
      <c r="J720" s="772"/>
      <c r="K720" s="634"/>
      <c r="L720" s="634"/>
      <c r="M720" s="634"/>
    </row>
    <row r="721" spans="1:13">
      <c r="A721" s="772"/>
      <c r="B721" s="728"/>
      <c r="C721" s="728"/>
      <c r="D721" s="666"/>
      <c r="E721" s="728"/>
      <c r="F721" s="728"/>
      <c r="G721" s="728"/>
      <c r="H721" s="728"/>
      <c r="I721" s="728"/>
      <c r="J721" s="772"/>
      <c r="K721" s="634"/>
      <c r="L721" s="634"/>
      <c r="M721" s="634"/>
    </row>
    <row r="722" spans="1:13">
      <c r="A722" s="772"/>
      <c r="B722" s="728"/>
      <c r="C722" s="728"/>
      <c r="D722" s="666"/>
      <c r="E722" s="728"/>
      <c r="F722" s="728"/>
      <c r="G722" s="728"/>
      <c r="H722" s="728"/>
      <c r="I722" s="728"/>
      <c r="J722" s="772"/>
      <c r="K722" s="634"/>
      <c r="L722" s="634"/>
      <c r="M722" s="634"/>
    </row>
    <row r="724" spans="1:13">
      <c r="B724" s="989"/>
      <c r="C724" s="1295" t="s">
        <v>551</v>
      </c>
      <c r="D724" s="1295"/>
      <c r="E724" s="1295" t="s">
        <v>833</v>
      </c>
      <c r="F724" s="1295"/>
      <c r="G724" s="1295" t="s">
        <v>840</v>
      </c>
      <c r="H724" s="1295"/>
    </row>
    <row r="725" spans="1:13">
      <c r="B725" s="989"/>
      <c r="C725" s="989"/>
      <c r="D725" s="989"/>
      <c r="E725" s="989"/>
      <c r="F725" s="989"/>
      <c r="G725" s="989"/>
      <c r="H725" s="989"/>
    </row>
    <row r="726" spans="1:13" ht="42">
      <c r="B726" s="989"/>
      <c r="C726" s="972" t="s">
        <v>845</v>
      </c>
      <c r="D726" s="972" t="s">
        <v>846</v>
      </c>
      <c r="E726" s="972" t="s">
        <v>845</v>
      </c>
      <c r="F726" s="972" t="s">
        <v>846</v>
      </c>
      <c r="G726" s="972" t="s">
        <v>845</v>
      </c>
      <c r="H726" s="972" t="s">
        <v>846</v>
      </c>
    </row>
    <row r="727" spans="1:13">
      <c r="B727" s="989"/>
      <c r="C727" s="989"/>
      <c r="D727" s="989"/>
      <c r="E727" s="989"/>
      <c r="F727" s="989"/>
      <c r="G727" s="989"/>
      <c r="H727" s="989"/>
    </row>
    <row r="728" spans="1:13">
      <c r="B728" s="739" t="s">
        <v>648</v>
      </c>
      <c r="C728" s="991">
        <v>525583.88862577605</v>
      </c>
      <c r="D728" s="991">
        <v>583766.4754259293</v>
      </c>
      <c r="E728" s="991">
        <v>775498.82827427995</v>
      </c>
      <c r="F728" s="991">
        <v>865761.46560581157</v>
      </c>
      <c r="G728" s="991">
        <v>310188.14127774234</v>
      </c>
      <c r="H728" s="991">
        <v>341754.03070347838</v>
      </c>
    </row>
    <row r="729" spans="1:13">
      <c r="B729" s="739"/>
      <c r="C729" s="989"/>
      <c r="D729" s="989"/>
      <c r="E729" s="989"/>
      <c r="F729" s="989"/>
      <c r="G729" s="989"/>
      <c r="H729" s="989"/>
    </row>
    <row r="730" spans="1:13">
      <c r="B730" s="739" t="s">
        <v>847</v>
      </c>
      <c r="C730" s="992">
        <v>2.4739350428490412</v>
      </c>
      <c r="D730" s="992">
        <v>3.8541768189013714</v>
      </c>
      <c r="E730" s="992">
        <v>2.6661720476226112</v>
      </c>
      <c r="F730" s="992">
        <v>4.0544907524498219</v>
      </c>
      <c r="G730" s="992">
        <v>2.2427475687346869</v>
      </c>
      <c r="H730" s="992">
        <v>3.6186742172516597</v>
      </c>
    </row>
    <row r="731" spans="1:13">
      <c r="B731" s="739"/>
      <c r="C731" s="989"/>
      <c r="D731" s="989"/>
      <c r="E731" s="989"/>
      <c r="F731" s="989"/>
      <c r="G731" s="989"/>
      <c r="H731" s="989"/>
    </row>
    <row r="732" spans="1:13">
      <c r="B732" s="739" t="s">
        <v>848</v>
      </c>
      <c r="C732" s="990">
        <v>7.6135303291160943</v>
      </c>
      <c r="D732" s="990">
        <v>13.242756338558884</v>
      </c>
      <c r="E732" s="990">
        <v>10.758261491606945</v>
      </c>
      <c r="F732" s="990">
        <v>19.156758082060271</v>
      </c>
      <c r="G732" s="990">
        <v>4.9031612735244119</v>
      </c>
      <c r="H732" s="990">
        <v>8.167268936727325</v>
      </c>
    </row>
    <row r="733" spans="1:13">
      <c r="B733" s="739"/>
      <c r="C733" s="989"/>
      <c r="D733" s="989"/>
      <c r="E733" s="989"/>
      <c r="F733" s="989"/>
      <c r="G733" s="989"/>
      <c r="H733" s="989"/>
    </row>
    <row r="734" spans="1:13">
      <c r="B734" s="739" t="s">
        <v>849</v>
      </c>
      <c r="C734" s="972" t="s">
        <v>850</v>
      </c>
      <c r="D734" s="972" t="s">
        <v>851</v>
      </c>
      <c r="E734" s="972" t="s">
        <v>850</v>
      </c>
      <c r="F734" s="972" t="s">
        <v>851</v>
      </c>
      <c r="G734" s="972" t="s">
        <v>850</v>
      </c>
      <c r="H734" s="972" t="s">
        <v>851</v>
      </c>
    </row>
  </sheetData>
  <mergeCells count="220">
    <mergeCell ref="C715:E715"/>
    <mergeCell ref="B525:I525"/>
    <mergeCell ref="B677:I677"/>
    <mergeCell ref="C724:D724"/>
    <mergeCell ref="E724:F724"/>
    <mergeCell ref="G724:H724"/>
    <mergeCell ref="B698:C698"/>
    <mergeCell ref="B699:C699"/>
    <mergeCell ref="B700:C700"/>
    <mergeCell ref="B703:B706"/>
    <mergeCell ref="E705:H705"/>
    <mergeCell ref="F707:I707"/>
    <mergeCell ref="B688:C688"/>
    <mergeCell ref="B689:C689"/>
    <mergeCell ref="B690:C690"/>
    <mergeCell ref="B695:C695"/>
    <mergeCell ref="B696:C696"/>
    <mergeCell ref="B697:C697"/>
    <mergeCell ref="B678:C678"/>
    <mergeCell ref="B681:C681"/>
    <mergeCell ref="B682:C682"/>
    <mergeCell ref="B685:C685"/>
    <mergeCell ref="B686:C686"/>
    <mergeCell ref="B687:C687"/>
    <mergeCell ref="B660:E660"/>
    <mergeCell ref="B662:C662"/>
    <mergeCell ref="D662:E662"/>
    <mergeCell ref="B672:H672"/>
    <mergeCell ref="B674:H674"/>
    <mergeCell ref="C560:G560"/>
    <mergeCell ref="B562:G562"/>
    <mergeCell ref="B563:G563"/>
    <mergeCell ref="B564:G564"/>
    <mergeCell ref="B574:C574"/>
    <mergeCell ref="B650:E650"/>
    <mergeCell ref="B543:C543"/>
    <mergeCell ref="B544:C544"/>
    <mergeCell ref="B546:C546"/>
    <mergeCell ref="A548:A551"/>
    <mergeCell ref="E550:H550"/>
    <mergeCell ref="F552:I552"/>
    <mergeCell ref="C531:D531"/>
    <mergeCell ref="C532:D532"/>
    <mergeCell ref="B533:C533"/>
    <mergeCell ref="B535:C535"/>
    <mergeCell ref="B536:C536"/>
    <mergeCell ref="B538:C538"/>
    <mergeCell ref="B523:C523"/>
    <mergeCell ref="E523:I523"/>
    <mergeCell ref="B526:C526"/>
    <mergeCell ref="B529:C529"/>
    <mergeCell ref="B530:C530"/>
    <mergeCell ref="B502:D502"/>
    <mergeCell ref="B505:I505"/>
    <mergeCell ref="B507:D507"/>
    <mergeCell ref="B513:D513"/>
    <mergeCell ref="D514:D518"/>
    <mergeCell ref="B519:D519"/>
    <mergeCell ref="B469:E469"/>
    <mergeCell ref="B470:E470"/>
    <mergeCell ref="B471:E471"/>
    <mergeCell ref="B477:I477"/>
    <mergeCell ref="B483:D483"/>
    <mergeCell ref="B497:D497"/>
    <mergeCell ref="B461:E461"/>
    <mergeCell ref="B463:E463"/>
    <mergeCell ref="B464:E464"/>
    <mergeCell ref="B465:E465"/>
    <mergeCell ref="B467:E467"/>
    <mergeCell ref="B468:E468"/>
    <mergeCell ref="B453:E453"/>
    <mergeCell ref="B454:E454"/>
    <mergeCell ref="B455:E455"/>
    <mergeCell ref="B457:E457"/>
    <mergeCell ref="B459:E459"/>
    <mergeCell ref="B460:E460"/>
    <mergeCell ref="B439:E439"/>
    <mergeCell ref="B440:E440"/>
    <mergeCell ref="B441:E441"/>
    <mergeCell ref="B442:E442"/>
    <mergeCell ref="B443:E443"/>
    <mergeCell ref="B448:J448"/>
    <mergeCell ref="B430:E430"/>
    <mergeCell ref="B431:E431"/>
    <mergeCell ref="B433:D433"/>
    <mergeCell ref="B434:D434"/>
    <mergeCell ref="B435:D435"/>
    <mergeCell ref="B437:J437"/>
    <mergeCell ref="B422:C422"/>
    <mergeCell ref="B423:D423"/>
    <mergeCell ref="B424:D424"/>
    <mergeCell ref="B425:D425"/>
    <mergeCell ref="B427:D427"/>
    <mergeCell ref="B429:E429"/>
    <mergeCell ref="B415:E415"/>
    <mergeCell ref="B416:E416"/>
    <mergeCell ref="B417:E417"/>
    <mergeCell ref="B418:E418"/>
    <mergeCell ref="B419:E419"/>
    <mergeCell ref="B420:E420"/>
    <mergeCell ref="A400:C400"/>
    <mergeCell ref="A401:C401"/>
    <mergeCell ref="A403:C403"/>
    <mergeCell ref="A404:C404"/>
    <mergeCell ref="B409:H409"/>
    <mergeCell ref="B413:D413"/>
    <mergeCell ref="A392:C392"/>
    <mergeCell ref="A393:C393"/>
    <mergeCell ref="A394:C394"/>
    <mergeCell ref="A395:C395"/>
    <mergeCell ref="A397:C397"/>
    <mergeCell ref="A398:C398"/>
    <mergeCell ref="A380:B380"/>
    <mergeCell ref="I380:J380"/>
    <mergeCell ref="A382:B382"/>
    <mergeCell ref="I383:J383"/>
    <mergeCell ref="I386:J386"/>
    <mergeCell ref="D391:H391"/>
    <mergeCell ref="A370:B370"/>
    <mergeCell ref="A372:B372"/>
    <mergeCell ref="A374:H374"/>
    <mergeCell ref="A378:B378"/>
    <mergeCell ref="I378:J378"/>
    <mergeCell ref="I379:J379"/>
    <mergeCell ref="A355:C355"/>
    <mergeCell ref="A359:C359"/>
    <mergeCell ref="A360:C360"/>
    <mergeCell ref="A361:C361"/>
    <mergeCell ref="A365:F365"/>
    <mergeCell ref="A368:B368"/>
    <mergeCell ref="A347:C347"/>
    <mergeCell ref="A349:B349"/>
    <mergeCell ref="A350:B350"/>
    <mergeCell ref="A351:B351"/>
    <mergeCell ref="A353:C353"/>
    <mergeCell ref="A354:C354"/>
    <mergeCell ref="A340:C340"/>
    <mergeCell ref="A341:C341"/>
    <mergeCell ref="A343:C343"/>
    <mergeCell ref="A344:C344"/>
    <mergeCell ref="A345:C345"/>
    <mergeCell ref="A346:C346"/>
    <mergeCell ref="A332:H332"/>
    <mergeCell ref="I332:J332"/>
    <mergeCell ref="A334:C334"/>
    <mergeCell ref="A335:C335"/>
    <mergeCell ref="A337:C337"/>
    <mergeCell ref="A338:C338"/>
    <mergeCell ref="A325:A326"/>
    <mergeCell ref="B325:B326"/>
    <mergeCell ref="C325:H325"/>
    <mergeCell ref="C326:H326"/>
    <mergeCell ref="B329:F329"/>
    <mergeCell ref="B331:C331"/>
    <mergeCell ref="B295:D295"/>
    <mergeCell ref="B300:D300"/>
    <mergeCell ref="B304:G304"/>
    <mergeCell ref="A316:A320"/>
    <mergeCell ref="D316:D320"/>
    <mergeCell ref="B322:D322"/>
    <mergeCell ref="B257:C257"/>
    <mergeCell ref="B259:C259"/>
    <mergeCell ref="C264:D264"/>
    <mergeCell ref="G264:G273"/>
    <mergeCell ref="C269:D269"/>
    <mergeCell ref="B278:F278"/>
    <mergeCell ref="A230:F230"/>
    <mergeCell ref="D232:E232"/>
    <mergeCell ref="A246:E247"/>
    <mergeCell ref="B250:C250"/>
    <mergeCell ref="B255:C255"/>
    <mergeCell ref="B256:C256"/>
    <mergeCell ref="B210:C210"/>
    <mergeCell ref="C212:D212"/>
    <mergeCell ref="G212:G221"/>
    <mergeCell ref="C217:D217"/>
    <mergeCell ref="B226:F226"/>
    <mergeCell ref="A229:F229"/>
    <mergeCell ref="B203:C203"/>
    <mergeCell ref="B204:C204"/>
    <mergeCell ref="B205:C205"/>
    <mergeCell ref="B207:C207"/>
    <mergeCell ref="B208:C208"/>
    <mergeCell ref="B209:C209"/>
    <mergeCell ref="B183:E183"/>
    <mergeCell ref="B184:E184"/>
    <mergeCell ref="F189:G189"/>
    <mergeCell ref="H190:I190"/>
    <mergeCell ref="B195:F195"/>
    <mergeCell ref="B198:C198"/>
    <mergeCell ref="B174:F174"/>
    <mergeCell ref="B175:F175"/>
    <mergeCell ref="B176:F176"/>
    <mergeCell ref="B177:F177"/>
    <mergeCell ref="B180:G180"/>
    <mergeCell ref="B182:E182"/>
    <mergeCell ref="C81:D81"/>
    <mergeCell ref="C86:F86"/>
    <mergeCell ref="E95:F97"/>
    <mergeCell ref="B168:F168"/>
    <mergeCell ref="B172:G172"/>
    <mergeCell ref="B173:G173"/>
    <mergeCell ref="C73:D73"/>
    <mergeCell ref="C74:D74"/>
    <mergeCell ref="C75:D75"/>
    <mergeCell ref="C76:D76"/>
    <mergeCell ref="C79:F79"/>
    <mergeCell ref="G79:H79"/>
    <mergeCell ref="A30:E30"/>
    <mergeCell ref="F30:H30"/>
    <mergeCell ref="F67:H67"/>
    <mergeCell ref="A69:H69"/>
    <mergeCell ref="A70:H70"/>
    <mergeCell ref="A71:H71"/>
    <mergeCell ref="A4:G4"/>
    <mergeCell ref="A9:E9"/>
    <mergeCell ref="A11:E11"/>
    <mergeCell ref="D26:E26"/>
    <mergeCell ref="F27:G27"/>
    <mergeCell ref="B28:E28"/>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election activeCell="E35" sqref="E35"/>
    </sheetView>
  </sheetViews>
  <sheetFormatPr baseColWidth="10" defaultColWidth="14.42578125" defaultRowHeight="15" customHeight="1"/>
  <cols>
    <col min="1" max="1" width="29.42578125" customWidth="1"/>
    <col min="2" max="4" width="10.85546875" customWidth="1"/>
    <col min="5" max="5" width="190.42578125" customWidth="1"/>
    <col min="6" max="6" width="10.85546875" customWidth="1"/>
    <col min="7" max="26" width="10.7109375" customWidth="1"/>
  </cols>
  <sheetData>
    <row r="1" spans="1:26">
      <c r="A1" s="122" t="s">
        <v>299</v>
      </c>
      <c r="B1" s="122" t="s">
        <v>300</v>
      </c>
      <c r="C1" s="122" t="s">
        <v>301</v>
      </c>
      <c r="D1" s="122" t="s">
        <v>302</v>
      </c>
      <c r="E1" s="123" t="s">
        <v>303</v>
      </c>
      <c r="F1" s="1"/>
      <c r="G1" s="1"/>
      <c r="H1" s="1"/>
      <c r="I1" s="1"/>
      <c r="J1" s="1"/>
      <c r="K1" s="1"/>
      <c r="L1" s="1"/>
      <c r="M1" s="1"/>
      <c r="N1" s="1"/>
      <c r="O1" s="1"/>
      <c r="P1" s="1"/>
      <c r="Q1" s="1"/>
      <c r="R1" s="1"/>
      <c r="S1" s="1"/>
      <c r="T1" s="1"/>
      <c r="U1" s="1"/>
      <c r="V1" s="1"/>
      <c r="W1" s="1"/>
      <c r="X1" s="1"/>
      <c r="Y1" s="1"/>
      <c r="Z1" s="1"/>
    </row>
    <row r="2" spans="1:26">
      <c r="A2" s="124" t="s">
        <v>304</v>
      </c>
      <c r="B2" s="124">
        <v>299</v>
      </c>
      <c r="C2" s="124">
        <v>2</v>
      </c>
      <c r="D2" s="124">
        <f t="shared" ref="D2:D29" si="0">+C2*B2</f>
        <v>598</v>
      </c>
      <c r="E2" s="21" t="s">
        <v>305</v>
      </c>
      <c r="F2" s="1"/>
      <c r="G2" s="1"/>
      <c r="H2" s="1"/>
      <c r="I2" s="1"/>
      <c r="J2" s="1"/>
      <c r="K2" s="1"/>
      <c r="L2" s="1"/>
      <c r="M2" s="1"/>
      <c r="N2" s="1"/>
      <c r="O2" s="1"/>
      <c r="P2" s="1"/>
      <c r="Q2" s="1"/>
      <c r="R2" s="1"/>
      <c r="S2" s="1"/>
      <c r="T2" s="1"/>
      <c r="U2" s="1"/>
      <c r="V2" s="1"/>
      <c r="W2" s="1"/>
      <c r="X2" s="1"/>
      <c r="Y2" s="1"/>
      <c r="Z2" s="1"/>
    </row>
    <row r="3" spans="1:26">
      <c r="A3" s="124" t="s">
        <v>306</v>
      </c>
      <c r="B3" s="124">
        <v>499</v>
      </c>
      <c r="C3" s="124">
        <v>3</v>
      </c>
      <c r="D3" s="124">
        <f t="shared" si="0"/>
        <v>1497</v>
      </c>
      <c r="E3" s="21" t="s">
        <v>307</v>
      </c>
      <c r="F3" s="1"/>
      <c r="G3" s="1"/>
      <c r="H3" s="1"/>
      <c r="I3" s="1"/>
      <c r="J3" s="1"/>
      <c r="K3" s="1"/>
      <c r="L3" s="1"/>
      <c r="M3" s="1"/>
      <c r="N3" s="1"/>
      <c r="O3" s="1"/>
      <c r="P3" s="1"/>
      <c r="Q3" s="1"/>
      <c r="R3" s="1"/>
      <c r="S3" s="1"/>
      <c r="T3" s="1"/>
      <c r="U3" s="1"/>
      <c r="V3" s="1"/>
      <c r="W3" s="1"/>
      <c r="X3" s="1"/>
      <c r="Y3" s="1"/>
      <c r="Z3" s="1"/>
    </row>
    <row r="4" spans="1:26">
      <c r="A4" s="124" t="s">
        <v>308</v>
      </c>
      <c r="B4" s="124">
        <v>2499</v>
      </c>
      <c r="C4" s="124">
        <v>1</v>
      </c>
      <c r="D4" s="124">
        <f t="shared" si="0"/>
        <v>2499</v>
      </c>
      <c r="E4" s="21" t="s">
        <v>309</v>
      </c>
      <c r="F4" s="1"/>
      <c r="G4" s="1"/>
      <c r="H4" s="1"/>
      <c r="I4" s="1"/>
      <c r="J4" s="1"/>
      <c r="K4" s="1"/>
      <c r="L4" s="1"/>
      <c r="M4" s="1"/>
      <c r="N4" s="1"/>
      <c r="O4" s="1"/>
      <c r="P4" s="1"/>
      <c r="Q4" s="1"/>
      <c r="R4" s="1"/>
      <c r="S4" s="1"/>
      <c r="T4" s="1"/>
      <c r="U4" s="1"/>
      <c r="V4" s="1"/>
      <c r="W4" s="1"/>
      <c r="X4" s="1"/>
      <c r="Y4" s="1"/>
      <c r="Z4" s="1"/>
    </row>
    <row r="5" spans="1:26">
      <c r="A5" s="124" t="s">
        <v>310</v>
      </c>
      <c r="B5" s="124">
        <v>249</v>
      </c>
      <c r="C5" s="124">
        <v>1</v>
      </c>
      <c r="D5" s="124">
        <f t="shared" si="0"/>
        <v>249</v>
      </c>
      <c r="E5" s="21" t="s">
        <v>311</v>
      </c>
      <c r="F5" s="1"/>
      <c r="G5" s="1"/>
      <c r="H5" s="1"/>
      <c r="I5" s="1"/>
      <c r="J5" s="1"/>
      <c r="K5" s="1"/>
      <c r="L5" s="1"/>
      <c r="M5" s="1"/>
      <c r="N5" s="1"/>
      <c r="O5" s="1"/>
      <c r="P5" s="1"/>
      <c r="Q5" s="1"/>
      <c r="R5" s="1"/>
      <c r="S5" s="1"/>
      <c r="T5" s="1"/>
      <c r="U5" s="1"/>
      <c r="V5" s="1"/>
      <c r="W5" s="1"/>
      <c r="X5" s="1"/>
      <c r="Y5" s="1"/>
      <c r="Z5" s="1"/>
    </row>
    <row r="6" spans="1:26">
      <c r="A6" s="124" t="s">
        <v>312</v>
      </c>
      <c r="B6" s="124">
        <v>529</v>
      </c>
      <c r="C6" s="124">
        <v>4</v>
      </c>
      <c r="D6" s="124">
        <f t="shared" si="0"/>
        <v>2116</v>
      </c>
      <c r="E6" s="21" t="s">
        <v>313</v>
      </c>
      <c r="F6" s="1"/>
      <c r="G6" s="1"/>
      <c r="H6" s="1"/>
      <c r="I6" s="1"/>
      <c r="J6" s="1"/>
      <c r="K6" s="1"/>
      <c r="L6" s="1"/>
      <c r="M6" s="1"/>
      <c r="N6" s="1"/>
      <c r="O6" s="1"/>
      <c r="P6" s="1"/>
      <c r="Q6" s="1"/>
      <c r="R6" s="1"/>
      <c r="S6" s="1"/>
      <c r="T6" s="1"/>
      <c r="U6" s="1"/>
      <c r="V6" s="1"/>
      <c r="W6" s="1"/>
      <c r="X6" s="1"/>
      <c r="Y6" s="1"/>
      <c r="Z6" s="1"/>
    </row>
    <row r="7" spans="1:26">
      <c r="A7" s="124" t="s">
        <v>314</v>
      </c>
      <c r="B7" s="124">
        <v>509</v>
      </c>
      <c r="C7" s="124">
        <v>1</v>
      </c>
      <c r="D7" s="124">
        <f t="shared" si="0"/>
        <v>509</v>
      </c>
      <c r="E7" s="21" t="s">
        <v>315</v>
      </c>
      <c r="F7" s="1"/>
      <c r="G7" s="1"/>
      <c r="H7" s="1"/>
      <c r="I7" s="1"/>
      <c r="J7" s="1"/>
      <c r="K7" s="1"/>
      <c r="L7" s="1"/>
      <c r="M7" s="1"/>
      <c r="N7" s="1"/>
      <c r="O7" s="1"/>
      <c r="P7" s="1"/>
      <c r="Q7" s="1"/>
      <c r="R7" s="1"/>
      <c r="S7" s="1"/>
      <c r="T7" s="1"/>
      <c r="U7" s="1"/>
      <c r="V7" s="1"/>
      <c r="W7" s="1"/>
      <c r="X7" s="1"/>
      <c r="Y7" s="1"/>
      <c r="Z7" s="1"/>
    </row>
    <row r="8" spans="1:26">
      <c r="A8" s="124" t="s">
        <v>316</v>
      </c>
      <c r="B8" s="124">
        <v>2250</v>
      </c>
      <c r="C8" s="124">
        <v>3</v>
      </c>
      <c r="D8" s="124">
        <f t="shared" si="0"/>
        <v>6750</v>
      </c>
      <c r="E8" s="21" t="s">
        <v>317</v>
      </c>
      <c r="F8" s="1"/>
      <c r="G8" s="1"/>
      <c r="H8" s="1"/>
      <c r="I8" s="1"/>
      <c r="J8" s="1"/>
      <c r="K8" s="1"/>
      <c r="L8" s="1"/>
      <c r="M8" s="1"/>
      <c r="N8" s="1"/>
      <c r="O8" s="1"/>
      <c r="P8" s="1"/>
      <c r="Q8" s="1"/>
      <c r="R8" s="1"/>
      <c r="S8" s="1"/>
      <c r="T8" s="1"/>
      <c r="U8" s="1"/>
      <c r="V8" s="1"/>
      <c r="W8" s="1"/>
      <c r="X8" s="1"/>
      <c r="Y8" s="1"/>
      <c r="Z8" s="1"/>
    </row>
    <row r="9" spans="1:26">
      <c r="A9" s="124" t="s">
        <v>318</v>
      </c>
      <c r="B9" s="124">
        <v>3800</v>
      </c>
      <c r="C9" s="124">
        <v>2</v>
      </c>
      <c r="D9" s="124">
        <f t="shared" si="0"/>
        <v>7600</v>
      </c>
      <c r="E9" s="21" t="s">
        <v>319</v>
      </c>
      <c r="F9" s="1"/>
      <c r="G9" s="1"/>
      <c r="H9" s="1"/>
      <c r="I9" s="1"/>
      <c r="J9" s="1"/>
      <c r="K9" s="1"/>
      <c r="L9" s="1"/>
      <c r="M9" s="1"/>
      <c r="N9" s="1"/>
      <c r="O9" s="1"/>
      <c r="P9" s="1"/>
      <c r="Q9" s="1"/>
      <c r="R9" s="1"/>
      <c r="S9" s="1"/>
      <c r="T9" s="1"/>
      <c r="U9" s="1"/>
      <c r="V9" s="1"/>
      <c r="W9" s="1"/>
      <c r="X9" s="1"/>
      <c r="Y9" s="1"/>
      <c r="Z9" s="1"/>
    </row>
    <row r="10" spans="1:26">
      <c r="A10" s="124" t="s">
        <v>320</v>
      </c>
      <c r="B10" s="124">
        <v>299</v>
      </c>
      <c r="C10" s="124">
        <v>3</v>
      </c>
      <c r="D10" s="124">
        <f t="shared" si="0"/>
        <v>897</v>
      </c>
      <c r="E10" s="21" t="s">
        <v>321</v>
      </c>
      <c r="F10" s="1"/>
      <c r="G10" s="1"/>
      <c r="H10" s="1"/>
      <c r="I10" s="1"/>
      <c r="J10" s="1"/>
      <c r="K10" s="1"/>
      <c r="L10" s="1"/>
      <c r="M10" s="1"/>
      <c r="N10" s="1"/>
      <c r="O10" s="1"/>
      <c r="P10" s="1"/>
      <c r="Q10" s="1"/>
      <c r="R10" s="1"/>
      <c r="S10" s="1"/>
      <c r="T10" s="1"/>
      <c r="U10" s="1"/>
      <c r="V10" s="1"/>
      <c r="W10" s="1"/>
      <c r="X10" s="1"/>
      <c r="Y10" s="1"/>
      <c r="Z10" s="1"/>
    </row>
    <row r="11" spans="1:26">
      <c r="A11" s="124" t="s">
        <v>322</v>
      </c>
      <c r="B11" s="124">
        <v>199</v>
      </c>
      <c r="C11" s="124">
        <v>5</v>
      </c>
      <c r="D11" s="124">
        <f t="shared" si="0"/>
        <v>995</v>
      </c>
      <c r="E11" s="21" t="s">
        <v>323</v>
      </c>
      <c r="F11" s="1"/>
      <c r="G11" s="1"/>
      <c r="H11" s="1"/>
      <c r="I11" s="1"/>
      <c r="J11" s="1"/>
      <c r="K11" s="1"/>
      <c r="L11" s="1"/>
      <c r="M11" s="1"/>
      <c r="N11" s="1"/>
      <c r="O11" s="1"/>
      <c r="P11" s="1"/>
      <c r="Q11" s="1"/>
      <c r="R11" s="1"/>
      <c r="S11" s="1"/>
      <c r="T11" s="1"/>
      <c r="U11" s="1"/>
      <c r="V11" s="1"/>
      <c r="W11" s="1"/>
      <c r="X11" s="1"/>
      <c r="Y11" s="1"/>
      <c r="Z11" s="1"/>
    </row>
    <row r="12" spans="1:26">
      <c r="A12" s="124" t="s">
        <v>324</v>
      </c>
      <c r="B12" s="124">
        <v>1591</v>
      </c>
      <c r="C12" s="124">
        <v>2</v>
      </c>
      <c r="D12" s="124">
        <f t="shared" si="0"/>
        <v>3182</v>
      </c>
      <c r="E12" s="21" t="s">
        <v>325</v>
      </c>
      <c r="F12" s="1"/>
      <c r="G12" s="1"/>
      <c r="H12" s="1"/>
      <c r="I12" s="1"/>
      <c r="J12" s="1"/>
      <c r="K12" s="1"/>
      <c r="L12" s="1"/>
      <c r="M12" s="1"/>
      <c r="N12" s="1"/>
      <c r="O12" s="1"/>
      <c r="P12" s="1"/>
      <c r="Q12" s="1"/>
      <c r="R12" s="1"/>
      <c r="S12" s="1"/>
      <c r="T12" s="1"/>
      <c r="U12" s="1"/>
      <c r="V12" s="1"/>
      <c r="W12" s="1"/>
      <c r="X12" s="1"/>
      <c r="Y12" s="1"/>
      <c r="Z12" s="1"/>
    </row>
    <row r="13" spans="1:26">
      <c r="A13" s="124" t="s">
        <v>326</v>
      </c>
      <c r="B13" s="124">
        <v>5.8</v>
      </c>
      <c r="C13" s="124">
        <v>10</v>
      </c>
      <c r="D13" s="124">
        <f t="shared" si="0"/>
        <v>58</v>
      </c>
      <c r="E13" s="21" t="s">
        <v>327</v>
      </c>
      <c r="F13" s="1"/>
      <c r="G13" s="1"/>
      <c r="H13" s="1"/>
      <c r="I13" s="1"/>
      <c r="J13" s="1"/>
      <c r="K13" s="1"/>
      <c r="L13" s="1"/>
      <c r="M13" s="1"/>
      <c r="N13" s="1"/>
      <c r="O13" s="1"/>
      <c r="P13" s="1"/>
      <c r="Q13" s="1"/>
      <c r="R13" s="1"/>
      <c r="S13" s="1"/>
      <c r="T13" s="1"/>
      <c r="U13" s="1"/>
      <c r="V13" s="1"/>
      <c r="W13" s="1"/>
      <c r="X13" s="1"/>
      <c r="Y13" s="1"/>
      <c r="Z13" s="1"/>
    </row>
    <row r="14" spans="1:26">
      <c r="A14" s="124" t="s">
        <v>328</v>
      </c>
      <c r="B14" s="124">
        <v>158</v>
      </c>
      <c r="C14" s="124">
        <v>10</v>
      </c>
      <c r="D14" s="124">
        <f t="shared" si="0"/>
        <v>1580</v>
      </c>
      <c r="E14" s="21" t="s">
        <v>329</v>
      </c>
      <c r="F14" s="1"/>
      <c r="G14" s="1"/>
      <c r="H14" s="1"/>
      <c r="I14" s="1"/>
      <c r="J14" s="1"/>
      <c r="K14" s="1"/>
      <c r="L14" s="1"/>
      <c r="M14" s="1"/>
      <c r="N14" s="1"/>
      <c r="O14" s="1"/>
      <c r="P14" s="1"/>
      <c r="Q14" s="1"/>
      <c r="R14" s="1"/>
      <c r="S14" s="1"/>
      <c r="T14" s="1"/>
      <c r="U14" s="1"/>
      <c r="V14" s="1"/>
      <c r="W14" s="1"/>
      <c r="X14" s="1"/>
      <c r="Y14" s="1"/>
      <c r="Z14" s="1"/>
    </row>
    <row r="15" spans="1:26">
      <c r="A15" s="124" t="s">
        <v>330</v>
      </c>
      <c r="B15" s="124">
        <v>37.9</v>
      </c>
      <c r="C15" s="124">
        <v>6</v>
      </c>
      <c r="D15" s="124">
        <f t="shared" si="0"/>
        <v>227.39999999999998</v>
      </c>
      <c r="E15" s="21" t="s">
        <v>331</v>
      </c>
      <c r="F15" s="1"/>
      <c r="G15" s="1"/>
      <c r="H15" s="1"/>
      <c r="I15" s="1"/>
      <c r="J15" s="1"/>
      <c r="K15" s="1"/>
      <c r="L15" s="1"/>
      <c r="M15" s="1"/>
      <c r="N15" s="1"/>
      <c r="O15" s="1"/>
      <c r="P15" s="1"/>
      <c r="Q15" s="1"/>
      <c r="R15" s="1"/>
      <c r="S15" s="1"/>
      <c r="T15" s="1"/>
      <c r="U15" s="1"/>
      <c r="V15" s="1"/>
      <c r="W15" s="1"/>
      <c r="X15" s="1"/>
      <c r="Y15" s="1"/>
      <c r="Z15" s="1"/>
    </row>
    <row r="16" spans="1:26">
      <c r="A16" s="124" t="s">
        <v>332</v>
      </c>
      <c r="B16" s="124">
        <v>37.9</v>
      </c>
      <c r="C16" s="124">
        <v>6</v>
      </c>
      <c r="D16" s="124">
        <f t="shared" si="0"/>
        <v>227.39999999999998</v>
      </c>
      <c r="E16" s="21" t="s">
        <v>333</v>
      </c>
      <c r="F16" s="1"/>
      <c r="G16" s="1"/>
      <c r="H16" s="1"/>
      <c r="I16" s="1"/>
      <c r="J16" s="1"/>
      <c r="K16" s="1"/>
      <c r="L16" s="1"/>
      <c r="M16" s="1"/>
      <c r="N16" s="1"/>
      <c r="O16" s="1"/>
      <c r="P16" s="1"/>
      <c r="Q16" s="1"/>
      <c r="R16" s="1"/>
      <c r="S16" s="1"/>
      <c r="T16" s="1"/>
      <c r="U16" s="1"/>
      <c r="V16" s="1"/>
      <c r="W16" s="1"/>
      <c r="X16" s="1"/>
      <c r="Y16" s="1"/>
      <c r="Z16" s="1"/>
    </row>
    <row r="17" spans="1:26">
      <c r="A17" s="124" t="s">
        <v>334</v>
      </c>
      <c r="B17" s="124">
        <v>37.9</v>
      </c>
      <c r="C17" s="124">
        <v>6</v>
      </c>
      <c r="D17" s="124">
        <f t="shared" si="0"/>
        <v>227.39999999999998</v>
      </c>
      <c r="E17" s="21" t="s">
        <v>335</v>
      </c>
      <c r="F17" s="1"/>
      <c r="G17" s="1"/>
      <c r="H17" s="1"/>
      <c r="I17" s="1"/>
      <c r="J17" s="1"/>
      <c r="K17" s="1"/>
      <c r="L17" s="1"/>
      <c r="M17" s="1"/>
      <c r="N17" s="1"/>
      <c r="O17" s="1"/>
      <c r="P17" s="1"/>
      <c r="Q17" s="1"/>
      <c r="R17" s="1"/>
      <c r="S17" s="1"/>
      <c r="T17" s="1"/>
      <c r="U17" s="1"/>
      <c r="V17" s="1"/>
      <c r="W17" s="1"/>
      <c r="X17" s="1"/>
      <c r="Y17" s="1"/>
      <c r="Z17" s="1"/>
    </row>
    <row r="18" spans="1:26">
      <c r="A18" s="124" t="s">
        <v>336</v>
      </c>
      <c r="B18" s="124">
        <v>37.9</v>
      </c>
      <c r="C18" s="124">
        <v>6</v>
      </c>
      <c r="D18" s="124">
        <f t="shared" si="0"/>
        <v>227.39999999999998</v>
      </c>
      <c r="E18" s="21" t="s">
        <v>337</v>
      </c>
      <c r="F18" s="1"/>
      <c r="G18" s="1"/>
      <c r="H18" s="1"/>
      <c r="I18" s="1"/>
      <c r="J18" s="1"/>
      <c r="K18" s="1"/>
      <c r="L18" s="1"/>
      <c r="M18" s="1"/>
      <c r="N18" s="1"/>
      <c r="O18" s="1"/>
      <c r="P18" s="1"/>
      <c r="Q18" s="1"/>
      <c r="R18" s="1"/>
      <c r="S18" s="1"/>
      <c r="T18" s="1"/>
      <c r="U18" s="1"/>
      <c r="V18" s="1"/>
      <c r="W18" s="1"/>
      <c r="X18" s="1"/>
      <c r="Y18" s="1"/>
      <c r="Z18" s="1"/>
    </row>
    <row r="19" spans="1:26">
      <c r="A19" s="124" t="s">
        <v>338</v>
      </c>
      <c r="B19" s="124">
        <v>45</v>
      </c>
      <c r="C19" s="124">
        <v>4</v>
      </c>
      <c r="D19" s="124">
        <f t="shared" si="0"/>
        <v>180</v>
      </c>
      <c r="E19" s="21" t="s">
        <v>339</v>
      </c>
      <c r="F19" s="1"/>
      <c r="G19" s="1"/>
      <c r="H19" s="1"/>
      <c r="I19" s="1"/>
      <c r="J19" s="1"/>
      <c r="K19" s="1"/>
      <c r="L19" s="1"/>
      <c r="M19" s="1"/>
      <c r="N19" s="1"/>
      <c r="O19" s="1"/>
      <c r="P19" s="1"/>
      <c r="Q19" s="1"/>
      <c r="R19" s="1"/>
      <c r="S19" s="1"/>
      <c r="T19" s="1"/>
      <c r="U19" s="1"/>
      <c r="V19" s="1"/>
      <c r="W19" s="1"/>
      <c r="X19" s="1"/>
      <c r="Y19" s="1"/>
      <c r="Z19" s="1"/>
    </row>
    <row r="20" spans="1:26">
      <c r="A20" s="124" t="s">
        <v>340</v>
      </c>
      <c r="B20" s="124">
        <v>195</v>
      </c>
      <c r="C20" s="124">
        <v>2</v>
      </c>
      <c r="D20" s="124">
        <f t="shared" si="0"/>
        <v>390</v>
      </c>
      <c r="E20" s="21" t="s">
        <v>341</v>
      </c>
      <c r="F20" s="1"/>
      <c r="G20" s="1"/>
      <c r="H20" s="1"/>
      <c r="I20" s="1"/>
      <c r="J20" s="1"/>
      <c r="K20" s="1"/>
      <c r="L20" s="1"/>
      <c r="M20" s="1"/>
      <c r="N20" s="1"/>
      <c r="O20" s="1"/>
      <c r="P20" s="1"/>
      <c r="Q20" s="1"/>
      <c r="R20" s="1"/>
      <c r="S20" s="1"/>
      <c r="T20" s="1"/>
      <c r="U20" s="1"/>
      <c r="V20" s="1"/>
      <c r="W20" s="1"/>
      <c r="X20" s="1"/>
      <c r="Y20" s="1"/>
      <c r="Z20" s="1"/>
    </row>
    <row r="21" spans="1:26" ht="15.75" customHeight="1">
      <c r="A21" s="124" t="s">
        <v>342</v>
      </c>
      <c r="B21" s="124">
        <v>174</v>
      </c>
      <c r="C21" s="124">
        <v>5</v>
      </c>
      <c r="D21" s="124">
        <f t="shared" si="0"/>
        <v>870</v>
      </c>
      <c r="E21" s="21" t="s">
        <v>343</v>
      </c>
      <c r="F21" s="1"/>
      <c r="G21" s="1"/>
      <c r="H21" s="1"/>
      <c r="I21" s="1"/>
      <c r="J21" s="1"/>
      <c r="K21" s="1"/>
      <c r="L21" s="1"/>
      <c r="M21" s="1"/>
      <c r="N21" s="1"/>
      <c r="O21" s="1"/>
      <c r="P21" s="1"/>
      <c r="Q21" s="1"/>
      <c r="R21" s="1"/>
      <c r="S21" s="1"/>
      <c r="T21" s="1"/>
      <c r="U21" s="1"/>
      <c r="V21" s="1"/>
      <c r="W21" s="1"/>
      <c r="X21" s="1"/>
      <c r="Y21" s="1"/>
      <c r="Z21" s="1"/>
    </row>
    <row r="22" spans="1:26" ht="15.75" customHeight="1">
      <c r="A22" s="124" t="s">
        <v>344</v>
      </c>
      <c r="B22" s="124">
        <v>299</v>
      </c>
      <c r="C22" s="124">
        <v>2</v>
      </c>
      <c r="D22" s="124">
        <f t="shared" si="0"/>
        <v>598</v>
      </c>
      <c r="E22" s="21" t="s">
        <v>345</v>
      </c>
      <c r="F22" s="1"/>
      <c r="G22" s="1"/>
      <c r="H22" s="1"/>
      <c r="I22" s="1"/>
      <c r="J22" s="1"/>
      <c r="K22" s="1"/>
      <c r="L22" s="1"/>
      <c r="M22" s="1"/>
      <c r="N22" s="1"/>
      <c r="O22" s="1"/>
      <c r="P22" s="1"/>
      <c r="Q22" s="1"/>
      <c r="R22" s="1"/>
      <c r="S22" s="1"/>
      <c r="T22" s="1"/>
      <c r="U22" s="1"/>
      <c r="V22" s="1"/>
      <c r="W22" s="1"/>
      <c r="X22" s="1"/>
      <c r="Y22" s="1"/>
      <c r="Z22" s="1"/>
    </row>
    <row r="23" spans="1:26" ht="15.75" customHeight="1">
      <c r="A23" s="124" t="s">
        <v>346</v>
      </c>
      <c r="B23" s="124">
        <v>80</v>
      </c>
      <c r="C23" s="124">
        <v>5</v>
      </c>
      <c r="D23" s="124">
        <f t="shared" si="0"/>
        <v>400</v>
      </c>
      <c r="E23" s="21" t="s">
        <v>347</v>
      </c>
      <c r="F23" s="1"/>
      <c r="G23" s="1"/>
      <c r="H23" s="1"/>
      <c r="I23" s="1"/>
      <c r="J23" s="1"/>
      <c r="K23" s="1"/>
      <c r="L23" s="1"/>
      <c r="M23" s="1"/>
      <c r="N23" s="1"/>
      <c r="O23" s="1"/>
      <c r="P23" s="1"/>
      <c r="Q23" s="1"/>
      <c r="R23" s="1"/>
      <c r="S23" s="1"/>
      <c r="T23" s="1"/>
      <c r="U23" s="1"/>
      <c r="V23" s="1"/>
      <c r="W23" s="1"/>
      <c r="X23" s="1"/>
      <c r="Y23" s="1"/>
      <c r="Z23" s="1"/>
    </row>
    <row r="24" spans="1:26" ht="15.75" customHeight="1">
      <c r="A24" s="124" t="s">
        <v>348</v>
      </c>
      <c r="B24" s="124">
        <v>1987.5</v>
      </c>
      <c r="C24" s="124">
        <v>8</v>
      </c>
      <c r="D24" s="124">
        <f t="shared" si="0"/>
        <v>15900</v>
      </c>
      <c r="E24" s="21" t="s">
        <v>349</v>
      </c>
      <c r="F24" s="1"/>
      <c r="G24" s="1"/>
      <c r="H24" s="1"/>
      <c r="I24" s="1"/>
      <c r="J24" s="1"/>
      <c r="K24" s="1"/>
      <c r="L24" s="1"/>
      <c r="M24" s="1"/>
      <c r="N24" s="1"/>
      <c r="O24" s="1"/>
      <c r="P24" s="1"/>
      <c r="Q24" s="1"/>
      <c r="R24" s="1"/>
      <c r="S24" s="1"/>
      <c r="T24" s="1"/>
      <c r="U24" s="1"/>
      <c r="V24" s="1"/>
      <c r="W24" s="1"/>
      <c r="X24" s="1"/>
      <c r="Y24" s="1"/>
      <c r="Z24" s="1"/>
    </row>
    <row r="25" spans="1:26" ht="15.75" customHeight="1">
      <c r="A25" s="124" t="s">
        <v>350</v>
      </c>
      <c r="B25" s="124">
        <v>19.899999999999999</v>
      </c>
      <c r="C25" s="124">
        <v>10</v>
      </c>
      <c r="D25" s="124">
        <f t="shared" si="0"/>
        <v>199</v>
      </c>
      <c r="E25" s="21" t="s">
        <v>351</v>
      </c>
      <c r="F25" s="1"/>
      <c r="G25" s="1"/>
      <c r="H25" s="1"/>
      <c r="I25" s="1"/>
      <c r="J25" s="1"/>
      <c r="K25" s="1"/>
      <c r="L25" s="1"/>
      <c r="M25" s="1"/>
      <c r="N25" s="1"/>
      <c r="O25" s="1"/>
      <c r="P25" s="1"/>
      <c r="Q25" s="1"/>
      <c r="R25" s="1"/>
      <c r="S25" s="1"/>
      <c r="T25" s="1"/>
      <c r="U25" s="1"/>
      <c r="V25" s="1"/>
      <c r="W25" s="1"/>
      <c r="X25" s="1"/>
      <c r="Y25" s="1"/>
      <c r="Z25" s="1"/>
    </row>
    <row r="26" spans="1:26" ht="15.75" customHeight="1">
      <c r="A26" s="124" t="s">
        <v>352</v>
      </c>
      <c r="B26" s="124">
        <v>570</v>
      </c>
      <c r="C26" s="124">
        <v>1</v>
      </c>
      <c r="D26" s="124">
        <f t="shared" si="0"/>
        <v>570</v>
      </c>
      <c r="E26" s="21" t="s">
        <v>353</v>
      </c>
      <c r="F26" s="1"/>
      <c r="G26" s="1"/>
      <c r="H26" s="1"/>
      <c r="I26" s="1"/>
      <c r="J26" s="1"/>
      <c r="K26" s="1"/>
      <c r="L26" s="1"/>
      <c r="M26" s="1"/>
      <c r="N26" s="1"/>
      <c r="O26" s="1"/>
      <c r="P26" s="1"/>
      <c r="Q26" s="1"/>
      <c r="R26" s="1"/>
      <c r="S26" s="1"/>
      <c r="T26" s="1"/>
      <c r="U26" s="1"/>
      <c r="V26" s="1"/>
      <c r="W26" s="1"/>
      <c r="X26" s="1"/>
      <c r="Y26" s="1"/>
      <c r="Z26" s="1"/>
    </row>
    <row r="27" spans="1:26" ht="15.75" customHeight="1">
      <c r="A27" s="124" t="s">
        <v>354</v>
      </c>
      <c r="B27" s="124">
        <v>2332</v>
      </c>
      <c r="C27" s="124">
        <v>1</v>
      </c>
      <c r="D27" s="124">
        <f t="shared" si="0"/>
        <v>2332</v>
      </c>
      <c r="E27" s="21" t="s">
        <v>355</v>
      </c>
      <c r="F27" s="1"/>
      <c r="G27" s="1"/>
      <c r="H27" s="1"/>
      <c r="I27" s="1"/>
      <c r="J27" s="1"/>
      <c r="K27" s="1"/>
      <c r="L27" s="1"/>
      <c r="M27" s="1"/>
      <c r="N27" s="1"/>
      <c r="O27" s="1"/>
      <c r="P27" s="1"/>
      <c r="Q27" s="1"/>
      <c r="R27" s="1"/>
      <c r="S27" s="1"/>
      <c r="T27" s="1"/>
      <c r="U27" s="1"/>
      <c r="V27" s="1"/>
      <c r="W27" s="1"/>
      <c r="X27" s="1"/>
      <c r="Y27" s="1"/>
      <c r="Z27" s="1"/>
    </row>
    <row r="28" spans="1:26" ht="15.75" customHeight="1">
      <c r="A28" s="124" t="s">
        <v>221</v>
      </c>
      <c r="B28" s="124">
        <v>119</v>
      </c>
      <c r="C28" s="124">
        <v>2</v>
      </c>
      <c r="D28" s="124">
        <f t="shared" si="0"/>
        <v>238</v>
      </c>
      <c r="E28" s="21" t="s">
        <v>356</v>
      </c>
      <c r="F28" s="1"/>
      <c r="G28" s="1"/>
      <c r="H28" s="1"/>
      <c r="I28" s="1"/>
      <c r="J28" s="1"/>
      <c r="K28" s="1"/>
      <c r="L28" s="1"/>
      <c r="M28" s="1"/>
      <c r="N28" s="1"/>
      <c r="O28" s="1"/>
      <c r="P28" s="1"/>
      <c r="Q28" s="1"/>
      <c r="R28" s="1"/>
      <c r="S28" s="1"/>
      <c r="T28" s="1"/>
      <c r="U28" s="1"/>
      <c r="V28" s="1"/>
      <c r="W28" s="1"/>
      <c r="X28" s="1"/>
      <c r="Y28" s="1"/>
      <c r="Z28" s="1"/>
    </row>
    <row r="29" spans="1:26" ht="15.75" customHeight="1">
      <c r="A29" s="124" t="s">
        <v>357</v>
      </c>
      <c r="B29" s="124">
        <v>13335</v>
      </c>
      <c r="C29" s="124">
        <v>1</v>
      </c>
      <c r="D29" s="124">
        <f t="shared" si="0"/>
        <v>13335</v>
      </c>
      <c r="E29" s="21" t="s">
        <v>358</v>
      </c>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Resultados encuestas </vt:lpstr>
      <vt:lpstr>2.1.1</vt:lpstr>
      <vt:lpstr>3.4</vt:lpstr>
      <vt:lpstr>8</vt:lpstr>
      <vt:lpstr>9 y 10</vt:lpstr>
      <vt:lpstr>11- REAL</vt:lpstr>
      <vt:lpstr>11- OPTIMISTA</vt:lpstr>
      <vt:lpstr>11- PESIMISTA</vt:lpstr>
      <vt:lpstr>Valoración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GAMER</dc:creator>
  <cp:lastModifiedBy>Martha Mendiola</cp:lastModifiedBy>
  <cp:lastPrinted>2022-03-05T23:34:54Z</cp:lastPrinted>
  <dcterms:created xsi:type="dcterms:W3CDTF">2022-02-01T21:23:26Z</dcterms:created>
  <dcterms:modified xsi:type="dcterms:W3CDTF">2022-03-09T03:05:01Z</dcterms:modified>
</cp:coreProperties>
</file>