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32" i="1" l="1" a="1"/>
  <c r="C27" i="1"/>
  <c r="C17" i="1"/>
  <c r="C21" i="1"/>
  <c r="C25" i="1"/>
  <c r="C19" i="1"/>
  <c r="C23" i="1"/>
  <c r="C20" i="1"/>
  <c r="C24" i="1"/>
  <c r="C18" i="1"/>
  <c r="C22" i="1"/>
  <c r="C26" i="1"/>
  <c r="B17" i="1"/>
  <c r="B21" i="1"/>
  <c r="B25" i="1"/>
  <c r="B22" i="1"/>
  <c r="B19" i="1"/>
  <c r="B27" i="1"/>
  <c r="B20" i="1"/>
  <c r="B24" i="1"/>
  <c r="B18" i="1"/>
  <c r="B26" i="1"/>
  <c r="B23" i="1"/>
  <c r="A32" i="1" l="1"/>
  <c r="E32" i="1"/>
  <c r="I32" i="1"/>
  <c r="D33" i="1"/>
  <c r="H33" i="1"/>
  <c r="C34" i="1"/>
  <c r="G34" i="1"/>
  <c r="B35" i="1"/>
  <c r="F35" i="1"/>
  <c r="A36" i="1"/>
  <c r="E36" i="1"/>
  <c r="I36" i="1"/>
  <c r="D37" i="1"/>
  <c r="H37" i="1"/>
  <c r="C38" i="1"/>
  <c r="G38" i="1"/>
  <c r="B39" i="1"/>
  <c r="F39" i="1"/>
  <c r="A40" i="1"/>
  <c r="E40" i="1"/>
  <c r="I40" i="1"/>
  <c r="D41" i="1"/>
  <c r="H41" i="1"/>
  <c r="C42" i="1"/>
  <c r="G42" i="1"/>
  <c r="B43" i="1"/>
  <c r="F43" i="1"/>
  <c r="A44" i="1"/>
  <c r="E44" i="1"/>
  <c r="I44" i="1"/>
  <c r="D45" i="1"/>
  <c r="H45" i="1"/>
  <c r="C46" i="1"/>
  <c r="G46" i="1"/>
  <c r="B47" i="1"/>
  <c r="F47" i="1"/>
  <c r="A48" i="1"/>
  <c r="E48" i="1"/>
  <c r="I48" i="1"/>
  <c r="D49" i="1"/>
  <c r="H49" i="1"/>
  <c r="C50" i="1"/>
  <c r="G50" i="1"/>
  <c r="B51" i="1"/>
  <c r="F51" i="1"/>
  <c r="A52" i="1"/>
  <c r="E52" i="1"/>
  <c r="I52" i="1"/>
  <c r="D53" i="1"/>
  <c r="H53" i="1"/>
  <c r="C54" i="1"/>
  <c r="G54" i="1"/>
  <c r="B32" i="1"/>
  <c r="F32" i="1"/>
  <c r="A33" i="1"/>
  <c r="E33" i="1"/>
  <c r="I33" i="1"/>
  <c r="D34" i="1"/>
  <c r="H34" i="1"/>
  <c r="C35" i="1"/>
  <c r="G35" i="1"/>
  <c r="B36" i="1"/>
  <c r="F36" i="1"/>
  <c r="A37" i="1"/>
  <c r="E37" i="1"/>
  <c r="I37" i="1"/>
  <c r="D38" i="1"/>
  <c r="H38" i="1"/>
  <c r="C39" i="1"/>
  <c r="G39" i="1"/>
  <c r="B40" i="1"/>
  <c r="F40" i="1"/>
  <c r="A41" i="1"/>
  <c r="E41" i="1"/>
  <c r="I41" i="1"/>
  <c r="D42" i="1"/>
  <c r="H42" i="1"/>
  <c r="C43" i="1"/>
  <c r="G43" i="1"/>
  <c r="B44" i="1"/>
  <c r="F44" i="1"/>
  <c r="A45" i="1"/>
  <c r="E45" i="1"/>
  <c r="I45" i="1"/>
  <c r="D46" i="1"/>
  <c r="C32" i="1"/>
  <c r="B33" i="1"/>
  <c r="A34" i="1"/>
  <c r="I34" i="1"/>
  <c r="H35" i="1"/>
  <c r="G36" i="1"/>
  <c r="F37" i="1"/>
  <c r="E38" i="1"/>
  <c r="D39" i="1"/>
  <c r="C40" i="1"/>
  <c r="B41" i="1"/>
  <c r="A42" i="1"/>
  <c r="I42" i="1"/>
  <c r="H43" i="1"/>
  <c r="G44" i="1"/>
  <c r="F45" i="1"/>
  <c r="E46" i="1"/>
  <c r="A47" i="1"/>
  <c r="G47" i="1"/>
  <c r="C48" i="1"/>
  <c r="H48" i="1"/>
  <c r="E49" i="1"/>
  <c r="A50" i="1"/>
  <c r="F50" i="1"/>
  <c r="C51" i="1"/>
  <c r="H51" i="1"/>
  <c r="D52" i="1"/>
  <c r="A53" i="1"/>
  <c r="F53" i="1"/>
  <c r="B54" i="1"/>
  <c r="H54" i="1"/>
  <c r="G32" i="1"/>
  <c r="F33" i="1"/>
  <c r="E34" i="1"/>
  <c r="D35" i="1"/>
  <c r="C36" i="1"/>
  <c r="B37" i="1"/>
  <c r="A38" i="1"/>
  <c r="I38" i="1"/>
  <c r="H39" i="1"/>
  <c r="G40" i="1"/>
  <c r="F41" i="1"/>
  <c r="E42" i="1"/>
  <c r="D43" i="1"/>
  <c r="C44" i="1"/>
  <c r="B45" i="1"/>
  <c r="A46" i="1"/>
  <c r="H46" i="1"/>
  <c r="D47" i="1"/>
  <c r="I47" i="1"/>
  <c r="F48" i="1"/>
  <c r="B49" i="1"/>
  <c r="G49" i="1"/>
  <c r="D50" i="1"/>
  <c r="I50" i="1"/>
  <c r="E51" i="1"/>
  <c r="B52" i="1"/>
  <c r="G52" i="1"/>
  <c r="C53" i="1"/>
  <c r="I53" i="1"/>
  <c r="E54" i="1"/>
  <c r="H32" i="1"/>
  <c r="G33" i="1"/>
  <c r="F34" i="1"/>
  <c r="E35" i="1"/>
  <c r="D36" i="1"/>
  <c r="C37" i="1"/>
  <c r="B38" i="1"/>
  <c r="A39" i="1"/>
  <c r="I39" i="1"/>
  <c r="H40" i="1"/>
  <c r="G41" i="1"/>
  <c r="F42" i="1"/>
  <c r="E43" i="1"/>
  <c r="D44" i="1"/>
  <c r="C45" i="1"/>
  <c r="B46" i="1"/>
  <c r="I46" i="1"/>
  <c r="E47" i="1"/>
  <c r="B48" i="1"/>
  <c r="G48" i="1"/>
  <c r="C49" i="1"/>
  <c r="I49" i="1"/>
  <c r="E50" i="1"/>
  <c r="A51" i="1"/>
  <c r="D32" i="1"/>
  <c r="C33" i="1"/>
  <c r="B34" i="1"/>
  <c r="A35" i="1"/>
  <c r="I35" i="1"/>
  <c r="H36" i="1"/>
  <c r="G37" i="1"/>
  <c r="F38" i="1"/>
  <c r="E39" i="1"/>
  <c r="D40" i="1"/>
  <c r="C41" i="1"/>
  <c r="B42" i="1"/>
  <c r="A43" i="1"/>
  <c r="I43" i="1"/>
  <c r="H44" i="1"/>
  <c r="G45" i="1"/>
  <c r="F46" i="1"/>
  <c r="C47" i="1"/>
  <c r="H47" i="1"/>
  <c r="D48" i="1"/>
  <c r="A49" i="1"/>
  <c r="F49" i="1"/>
  <c r="B50" i="1"/>
  <c r="H50" i="1"/>
  <c r="D51" i="1"/>
  <c r="I51" i="1"/>
  <c r="F52" i="1"/>
  <c r="B53" i="1"/>
  <c r="G53" i="1"/>
  <c r="D54" i="1"/>
  <c r="I54" i="1"/>
  <c r="G51" i="1"/>
  <c r="A54" i="1"/>
  <c r="C52" i="1"/>
  <c r="F54" i="1"/>
  <c r="H52" i="1"/>
  <c r="E53" i="1"/>
  <c r="G3" i="1"/>
  <c r="C10" i="1"/>
  <c r="I8" i="1"/>
  <c r="G8" i="1"/>
  <c r="E8" i="1"/>
  <c r="B8" i="1"/>
  <c r="F8" i="1"/>
  <c r="J8" i="1"/>
  <c r="C11" i="1"/>
  <c r="I7" i="1"/>
  <c r="G7" i="1"/>
  <c r="E7" i="1"/>
  <c r="K7" i="1"/>
  <c r="H8" i="1"/>
  <c r="B16" i="1"/>
  <c r="J7" i="1"/>
  <c r="C8" i="1"/>
  <c r="H7" i="1"/>
  <c r="F7" i="1"/>
  <c r="D7" i="1"/>
  <c r="B7" i="1"/>
  <c r="C7" i="1"/>
  <c r="D8" i="1"/>
  <c r="K8" i="1"/>
  <c r="C16" i="1"/>
</calcChain>
</file>

<file path=xl/sharedStrings.xml><?xml version="1.0" encoding="utf-8"?>
<sst xmlns="http://schemas.openxmlformats.org/spreadsheetml/2006/main" count="53" uniqueCount="48">
  <si>
    <t>Дано</t>
  </si>
  <si>
    <t>величина</t>
  </si>
  <si>
    <t>значение</t>
  </si>
  <si>
    <t>Задание 1</t>
  </si>
  <si>
    <t>McCain</t>
  </si>
  <si>
    <t>Standing</t>
  </si>
  <si>
    <t>доля газа</t>
  </si>
  <si>
    <t>Уд.пл.газа</t>
  </si>
  <si>
    <t>Уд.пл.нефти</t>
  </si>
  <si>
    <t>Уд.пл.воды</t>
  </si>
  <si>
    <t>м3/м3</t>
  </si>
  <si>
    <t>Рнас.</t>
  </si>
  <si>
    <t>атм</t>
  </si>
  <si>
    <t>Тпласта</t>
  </si>
  <si>
    <t>С</t>
  </si>
  <si>
    <t>вяз.неф.пл.усл.</t>
  </si>
  <si>
    <t>сПз</t>
  </si>
  <si>
    <t>дебит ГЖС</t>
  </si>
  <si>
    <t>дебит ж.</t>
  </si>
  <si>
    <t>м3/сут</t>
  </si>
  <si>
    <t>Об.обв.</t>
  </si>
  <si>
    <t>%</t>
  </si>
  <si>
    <t>вязк.неф.</t>
  </si>
  <si>
    <t>вязк.газа</t>
  </si>
  <si>
    <t>вязк.воды</t>
  </si>
  <si>
    <t>плотность неф.</t>
  </si>
  <si>
    <t>плот. газа</t>
  </si>
  <si>
    <t>плотн.воды</t>
  </si>
  <si>
    <t>вязк.см.</t>
  </si>
  <si>
    <t>плотность см.</t>
  </si>
  <si>
    <t>Задание 2</t>
  </si>
  <si>
    <t>Так как используются эмпирические кореляции - различные коэффициенты пропорциональностей в формулах.</t>
  </si>
  <si>
    <t>Дебит</t>
  </si>
  <si>
    <t>Буф. Давл.</t>
  </si>
  <si>
    <t>Диам.штуцера</t>
  </si>
  <si>
    <t>мм</t>
  </si>
  <si>
    <t>Диам.трубы</t>
  </si>
  <si>
    <t>Рлин</t>
  </si>
  <si>
    <t>Заб. Давл.</t>
  </si>
  <si>
    <t>Глубина сп. насоса</t>
  </si>
  <si>
    <t>3 задание</t>
  </si>
  <si>
    <t>Рбуф.</t>
  </si>
  <si>
    <t>Тбуф</t>
  </si>
  <si>
    <t>об. к-т</t>
  </si>
  <si>
    <t>коэф.сепар.</t>
  </si>
  <si>
    <t>Газ.ф. при Рнас.</t>
  </si>
  <si>
    <t>Кодировка PVT Standing</t>
  </si>
  <si>
    <t>Кодировка PVT McCain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</si>
</sst>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7"/>
      <color rgb="FF24292E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VLP-</a:t>
            </a:r>
            <a:r>
              <a:rPr lang="ru-RU"/>
              <a:t>кривая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Лист1!$C$15</c:f>
              <c:strCache>
                <c:ptCount val="1"/>
                <c:pt idx="0">
                  <c:v>Заб. Давл.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Лист1!$A$16:$A$27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113.63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</c:numCache>
            </c:numRef>
          </c:xVal>
          <c:yVal>
            <c:numRef>
              <c:f>Лист1!$C$16:$C$27</c:f>
              <c:numCache>
                <c:formatCode>General</c:formatCode>
                <c:ptCount val="12"/>
                <c:pt idx="0">
                  <c:v>315.8598910844097</c:v>
                </c:pt>
                <c:pt idx="1">
                  <c:v>296.160463282259</c:v>
                </c:pt>
                <c:pt idx="2">
                  <c:v>290.0690628173694</c:v>
                </c:pt>
                <c:pt idx="3">
                  <c:v>289.39625691876972</c:v>
                </c:pt>
                <c:pt idx="4">
                  <c:v>289.01788412775016</c:v>
                </c:pt>
                <c:pt idx="5">
                  <c:v>291.07376220193584</c:v>
                </c:pt>
                <c:pt idx="6">
                  <c:v>295.62737540463104</c:v>
                </c:pt>
                <c:pt idx="7">
                  <c:v>302.39431055089057</c:v>
                </c:pt>
                <c:pt idx="8">
                  <c:v>311.32830158910519</c:v>
                </c:pt>
                <c:pt idx="9">
                  <c:v>322.40676777975983</c:v>
                </c:pt>
                <c:pt idx="10">
                  <c:v>333.48375803521435</c:v>
                </c:pt>
                <c:pt idx="11">
                  <c:v>344.18218155798337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565440"/>
        <c:axId val="220341760"/>
      </c:scatterChart>
      <c:valAx>
        <c:axId val="21956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Дебит,</a:t>
                </a:r>
                <a:r>
                  <a:rPr lang="ru-RU" baseline="0"/>
                  <a:t> м3/сут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341760"/>
        <c:crosses val="autoZero"/>
        <c:crossBetween val="midCat"/>
      </c:valAx>
      <c:valAx>
        <c:axId val="220341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Забойное</a:t>
                </a:r>
                <a:r>
                  <a:rPr lang="ru-RU" baseline="0"/>
                  <a:t> давление, атм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56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13</xdr:row>
      <xdr:rowOff>3810</xdr:rowOff>
    </xdr:from>
    <xdr:to>
      <xdr:col>9</xdr:col>
      <xdr:colOff>259080</xdr:colOff>
      <xdr:row>28</xdr:row>
      <xdr:rowOff>3810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nifloc_vba-master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MF_mu_mix_cP"/>
      <definedName name="MF_p_choke_atma"/>
      <definedName name="MF_p_pipelin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4" workbookViewId="0">
      <selection activeCell="K24" sqref="K24"/>
    </sheetView>
  </sheetViews>
  <sheetFormatPr defaultRowHeight="14.4" x14ac:dyDescent="0.3"/>
  <cols>
    <col min="1" max="1" width="12.6640625" customWidth="1"/>
    <col min="2" max="2" width="11.33203125" customWidth="1"/>
    <col min="3" max="3" width="10.21875" customWidth="1"/>
    <col min="5" max="5" width="11.5546875" customWidth="1"/>
    <col min="6" max="6" width="10.21875" customWidth="1"/>
    <col min="7" max="7" width="14.77734375" customWidth="1"/>
    <col min="8" max="8" width="9.44140625" customWidth="1"/>
    <col min="9" max="9" width="10.77734375" customWidth="1"/>
    <col min="11" max="11" width="14.5546875" customWidth="1"/>
    <col min="12" max="12" width="10.44140625" customWidth="1"/>
    <col min="15" max="15" width="13.109375" customWidth="1"/>
    <col min="16" max="16" width="11.33203125" customWidth="1"/>
    <col min="18" max="18" width="17.44140625" customWidth="1"/>
  </cols>
  <sheetData>
    <row r="1" spans="1:18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A2" s="10" t="s">
        <v>1</v>
      </c>
      <c r="B2" s="6" t="s">
        <v>41</v>
      </c>
      <c r="C2" s="6" t="s">
        <v>42</v>
      </c>
      <c r="D2" s="6" t="s">
        <v>7</v>
      </c>
      <c r="E2" s="6" t="s">
        <v>8</v>
      </c>
      <c r="F2" s="6" t="s">
        <v>9</v>
      </c>
      <c r="G2" s="6" t="s">
        <v>45</v>
      </c>
      <c r="H2" s="6" t="s">
        <v>11</v>
      </c>
      <c r="I2" s="6" t="s">
        <v>13</v>
      </c>
      <c r="J2" s="6" t="s">
        <v>43</v>
      </c>
      <c r="K2" s="6" t="s">
        <v>15</v>
      </c>
      <c r="L2" s="6" t="s">
        <v>44</v>
      </c>
      <c r="M2" s="6" t="s">
        <v>18</v>
      </c>
      <c r="N2" s="6" t="s">
        <v>20</v>
      </c>
      <c r="O2" s="6" t="s">
        <v>34</v>
      </c>
      <c r="P2" s="6" t="s">
        <v>36</v>
      </c>
      <c r="Q2" s="6" t="s">
        <v>37</v>
      </c>
      <c r="R2" s="6" t="s">
        <v>39</v>
      </c>
    </row>
    <row r="3" spans="1:18" x14ac:dyDescent="0.3">
      <c r="A3" s="10" t="s">
        <v>2</v>
      </c>
      <c r="B3" s="6">
        <v>30</v>
      </c>
      <c r="C3" s="6">
        <v>20</v>
      </c>
      <c r="D3" s="6">
        <v>0.6</v>
      </c>
      <c r="E3" s="6">
        <v>0.78700000000000003</v>
      </c>
      <c r="F3" s="6">
        <v>1</v>
      </c>
      <c r="G3" s="6">
        <f>461*0.794</f>
        <v>366.03399999999999</v>
      </c>
      <c r="H3" s="6">
        <v>213.3</v>
      </c>
      <c r="I3" s="6">
        <v>110</v>
      </c>
      <c r="J3" s="6">
        <v>1.5329999999999999</v>
      </c>
      <c r="K3" s="6">
        <v>0.2</v>
      </c>
      <c r="L3" s="6">
        <v>0.7</v>
      </c>
      <c r="M3" s="6">
        <v>113.63</v>
      </c>
      <c r="N3" s="6">
        <v>52</v>
      </c>
      <c r="O3" s="6">
        <v>14</v>
      </c>
      <c r="P3" s="6">
        <v>75</v>
      </c>
      <c r="Q3" s="6">
        <v>28</v>
      </c>
      <c r="R3" s="6">
        <v>3659.21</v>
      </c>
    </row>
    <row r="4" spans="1:18" x14ac:dyDescent="0.3">
      <c r="A4" s="6"/>
      <c r="B4" s="6" t="s">
        <v>12</v>
      </c>
      <c r="C4" s="6" t="s">
        <v>14</v>
      </c>
      <c r="D4" s="6"/>
      <c r="E4" s="6"/>
      <c r="F4" s="6"/>
      <c r="G4" s="6" t="s">
        <v>10</v>
      </c>
      <c r="H4" s="6" t="s">
        <v>12</v>
      </c>
      <c r="I4" s="6" t="s">
        <v>14</v>
      </c>
      <c r="J4" s="6" t="s">
        <v>10</v>
      </c>
      <c r="K4" s="6" t="s">
        <v>16</v>
      </c>
      <c r="L4" s="6"/>
      <c r="M4" s="6" t="s">
        <v>19</v>
      </c>
      <c r="N4" s="6" t="s">
        <v>21</v>
      </c>
      <c r="O4" s="6" t="s">
        <v>35</v>
      </c>
      <c r="P4" s="6" t="s">
        <v>35</v>
      </c>
      <c r="Q4" s="6" t="s">
        <v>12</v>
      </c>
      <c r="R4" s="6"/>
    </row>
    <row r="5" spans="1:18" x14ac:dyDescent="0.3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</row>
    <row r="6" spans="1:18" x14ac:dyDescent="0.3">
      <c r="A6" s="8"/>
      <c r="B6" s="7" t="s">
        <v>6</v>
      </c>
      <c r="C6" s="7" t="s">
        <v>17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</row>
    <row r="7" spans="1:18" x14ac:dyDescent="0.3">
      <c r="A7" s="7" t="s">
        <v>4</v>
      </c>
      <c r="B7" s="8">
        <f>[1]!PVT_rs_m3m3(B3,C3,D3,E3,F3,,G3,H3,I3,J3,K3,1,L3,B3,C3)</f>
        <v>24.932833957910315</v>
      </c>
      <c r="C7" s="8">
        <f>[1]!MF_q_mix_rc_m3day(M3,N3,B3,C3,C11)</f>
        <v>292.9117599996743</v>
      </c>
      <c r="D7" s="8">
        <f>[1]!PVT_mu_oil_cP(B3,C3,D3,E3,F3,,G3,H3,I3,J3,K3,1,L3,B3,C3)</f>
        <v>0.41710422815039838</v>
      </c>
      <c r="E7" s="8">
        <f>[1]!PVT_mu_gas_cP(B3,C3,D3,E3,F3,,G3,H3,I3,J3,K3,1,L3,B3,C3)</f>
        <v>1.1532547525922525E-2</v>
      </c>
      <c r="F7" s="8">
        <f>[1]!PVT_mu_wat_cP(B3,C3,D3,E3,F3,,G3,H3,I3,J3,K3,1,L3,B3,C3)</f>
        <v>0.9959476883913988</v>
      </c>
      <c r="G7" s="8">
        <f>[1]!PVT_rho_oil_kgm3(B3,C3,D3,E3,F3,,G3,H3,I3,J3,K3,1,L3,B3,C3)</f>
        <v>742.0395213445488</v>
      </c>
      <c r="H7" s="8">
        <f>[1]!PVT_rho_gas_kgm3(B3,C3,D3,E3,F3,,G3,H3,I3,J3,K3,1,L3,B3,C3)</f>
        <v>23.437276000982319</v>
      </c>
      <c r="I7" s="8">
        <f>[1]!PVT_rho_wat_kgm3(B3,C3,D3,E3,F3,,G3,H3,I3,J3,K3,1,L3,B3,C3)</f>
        <v>998.7732002312539</v>
      </c>
      <c r="J7" s="8">
        <f>[1]!MF_mu_mix_cP(M3,N3,B3,C3,C11)</f>
        <v>0.29231393588819704</v>
      </c>
      <c r="K7" s="8">
        <f>[1]!MF_rho_mix_kgm3(M3,N3,B3,C3,C11)</f>
        <v>367.72891064814439</v>
      </c>
    </row>
    <row r="8" spans="1:18" x14ac:dyDescent="0.3">
      <c r="A8" s="7" t="s">
        <v>5</v>
      </c>
      <c r="B8" s="8">
        <f>[1]!PVT_rs_m3m3(B3,C3,D3,E3,F3,,G3,H3,I3,J3,K3,0,L3,B3,C3)</f>
        <v>14.13436733744641</v>
      </c>
      <c r="C8" s="8">
        <f>[1]!MF_q_mix_rc_m3day(M3,N3,B3,C3,C10)</f>
        <v>296.06588991012313</v>
      </c>
      <c r="D8" s="8">
        <f>[1]!PVT_mu_oil_cP(B3,C3,D3,E3,F3,,G3,H3,I3,J3,K3,0,L3,B3,C3)</f>
        <v>0.64344387108344336</v>
      </c>
      <c r="E8" s="8">
        <f>[1]!PVT_mu_gas_cP(B3,C3,D3,E3,F3,,G3,H3,I3,J3,K3,0,L3,B3,C3)</f>
        <v>1.1532547525922525E-2</v>
      </c>
      <c r="F8" s="8">
        <f>[1]!PVT_mu_wat_cP(B3,C3,D3,E3,F3,,G3,H3,I3,J3,K3,0,L3,B3,C3)</f>
        <v>0.9959476883913988</v>
      </c>
      <c r="G8" s="8">
        <f>[1]!PVT_rho_oil_kgm3(B3,C3,D3,E3,F3,,G3,H3,I3,J3,K3,0,L3,B3,C3)</f>
        <v>765.41989983549104</v>
      </c>
      <c r="H8" s="8">
        <f>[1]!PVT_rho_gas_kgm3(B3,C3,D3,E3,F3,,G3,H3,I3,J3,K3,0,L3,B3,C3)</f>
        <v>23.437276000982319</v>
      </c>
      <c r="I8" s="8">
        <f>[1]!PVT_rho_wat_kgm3(B3,C3,D3,E3,F3,,G3,H3,I3,J3,K3,0,L3,B3,C3)</f>
        <v>998.7732002312539</v>
      </c>
      <c r="J8" s="8">
        <f>[1]!MF_mu_mix_cP(M3,N3,B3,C3,C10)</f>
        <v>0.32951039681638522</v>
      </c>
      <c r="K8" s="8">
        <f>[1]!MF_rho_mix_kgm3(M3,N3,B3,C3,C10)</f>
        <v>361.6302434791375</v>
      </c>
    </row>
    <row r="10" spans="1:18" x14ac:dyDescent="0.3">
      <c r="A10" s="1" t="s">
        <v>46</v>
      </c>
      <c r="B10" s="1"/>
      <c r="C10" t="str">
        <f>[1]!PVT_encode_string(D3,E3,F3,,G3,H3,I3,J3,K3,0,L3,B3,C3)</f>
        <v>{"gamma_gas":0.6,"gamma_oil":0.787,"gamma_wat":1,"rsb_m3m3":100,"rp_m3m3":366.034,"pb_atma":213.3,"t_res_C":110,"bob_m3m3":1.533,"muob_cP":0.2,"PVTcorr":0,"ksep_fr":0.7,"p_ksep_atma":30,"t_ksep_C":20}</v>
      </c>
    </row>
    <row r="11" spans="1:18" x14ac:dyDescent="0.3">
      <c r="A11" s="1" t="s">
        <v>47</v>
      </c>
      <c r="B11" s="1"/>
      <c r="C11" t="str">
        <f>[1]!PVT_encode_string(D3,E3,F3,,G3,H3,I3,J3,K3,1,L3,B3,C3)</f>
        <v>{"gamma_gas":0.6,"gamma_oil":0.787,"gamma_wat":1,"rsb_m3m3":100,"rp_m3m3":366.034,"pb_atma":213.3,"t_res_C":110,"bob_m3m3":1.533,"muob_cP":0.2,"PVTcorr":1,"ksep_fr":0.7,"p_ksep_atma":30,"t_ksep_C":20}</v>
      </c>
    </row>
    <row r="12" spans="1:18" x14ac:dyDescent="0.3">
      <c r="A12" s="9" t="s">
        <v>31</v>
      </c>
    </row>
    <row r="14" spans="1:18" x14ac:dyDescent="0.3">
      <c r="A14" t="s">
        <v>30</v>
      </c>
    </row>
    <row r="15" spans="1:18" x14ac:dyDescent="0.3">
      <c r="A15" s="11" t="s">
        <v>32</v>
      </c>
      <c r="B15" s="6" t="s">
        <v>33</v>
      </c>
      <c r="C15" s="11" t="s">
        <v>38</v>
      </c>
    </row>
    <row r="16" spans="1:18" x14ac:dyDescent="0.3">
      <c r="A16" s="11">
        <v>0</v>
      </c>
      <c r="B16" s="6">
        <f>[1]!MF_p_choke_atma(A16,$N$3,$O$3,$Q$3,0,$P$3,$C$3,,$C$10)</f>
        <v>28</v>
      </c>
      <c r="C16" s="11">
        <f>[1]!MF_p_pipeline_atma(B16,$C$3,$I$3,$R$3,$P$3,A16,$N$3,0,$C$10,10,1)</f>
        <v>315.8598910844097</v>
      </c>
    </row>
    <row r="17" spans="1:9" x14ac:dyDescent="0.3">
      <c r="A17" s="11">
        <v>50</v>
      </c>
      <c r="B17" s="6">
        <f>[1]!MF_p_choke_atma(A17,$N$3,$O$3,$Q$3,0,$P$3,$C$3,,$C$10)</f>
        <v>28.24993896484375</v>
      </c>
      <c r="C17" s="11">
        <f>[1]!MF_p_pipeline_atma(B17,$C$3,$I$3,$R$3,$P$3,A17,$N$3,0,$C$10,10,1)</f>
        <v>296.160463282259</v>
      </c>
    </row>
    <row r="18" spans="1:9" x14ac:dyDescent="0.3">
      <c r="A18" s="11">
        <v>100</v>
      </c>
      <c r="B18" s="6">
        <f>[1]!MF_p_choke_atma(A18,$N$3,$O$3,$Q$3,0,$P$3,$C$3,,$C$10)</f>
        <v>29.016204833984375</v>
      </c>
      <c r="C18" s="11">
        <f>[1]!MF_p_pipeline_atma(B18,$C$3,$I$3,$R$3,$P$3,A18,$N$3,0,$C$10,10,1)</f>
        <v>290.0690628173694</v>
      </c>
    </row>
    <row r="19" spans="1:9" x14ac:dyDescent="0.3">
      <c r="A19" s="11">
        <v>113.63</v>
      </c>
      <c r="B19" s="6">
        <f>[1]!MF_p_choke_atma(A19,$N$3,$O$3,$Q$3,0,$P$3,$C$3,,$C$10)</f>
        <v>29.3201904296875</v>
      </c>
      <c r="C19" s="11">
        <f>[1]!MF_p_pipeline_atma(B19,$C$3,$I$3,$R$3,$P$3,A19,$N$3,0,$C$10,10,1)</f>
        <v>289.39625691876972</v>
      </c>
    </row>
    <row r="20" spans="1:9" x14ac:dyDescent="0.3">
      <c r="A20" s="11">
        <v>150</v>
      </c>
      <c r="B20" s="6">
        <f>[1]!MF_p_choke_atma(A20,$N$3,$O$3,$Q$3,0,$P$3,$C$3,,$C$10)</f>
        <v>30.3489990234375</v>
      </c>
      <c r="C20" s="11">
        <f>[1]!MF_p_pipeline_atma(B20,$C$3,$I$3,$R$3,$P$3,A20,$N$3,0,$C$10,10,1)</f>
        <v>289.01788412775016</v>
      </c>
    </row>
    <row r="21" spans="1:9" x14ac:dyDescent="0.3">
      <c r="A21" s="11">
        <v>200</v>
      </c>
      <c r="B21" s="6">
        <f>[1]!MF_p_choke_atma(A21,$N$3,$O$3,$Q$3,0,$P$3,$C$3,,$C$10)</f>
        <v>32.3382568359375</v>
      </c>
      <c r="C21" s="11">
        <f>[1]!MF_p_pipeline_atma(B21,$C$3,$I$3,$R$3,$P$3,A21,$N$3,0,$C$10,10,1)</f>
        <v>291.07376220193584</v>
      </c>
    </row>
    <row r="22" spans="1:9" x14ac:dyDescent="0.3">
      <c r="A22" s="11">
        <v>250</v>
      </c>
      <c r="B22" s="6">
        <f>[1]!MF_p_choke_atma(A22,$N$3,$O$3,$Q$3,0,$P$3,$C$3,,$C$10)</f>
        <v>35.1170654296875</v>
      </c>
      <c r="C22" s="11">
        <f>[1]!MF_p_pipeline_atma(B22,$C$3,$I$3,$R$3,$P$3,A22,$N$3,0,$C$10,10,1)</f>
        <v>295.62737540463104</v>
      </c>
    </row>
    <row r="23" spans="1:9" x14ac:dyDescent="0.3">
      <c r="A23" s="11">
        <v>300</v>
      </c>
      <c r="B23" s="6">
        <f>[1]!MF_p_choke_atma(A23,$N$3,$O$3,$Q$3,0,$P$3,$C$3,,$C$10)</f>
        <v>38.8734130859375</v>
      </c>
      <c r="C23" s="11">
        <f>[1]!MF_p_pipeline_atma(B23,$C$3,$I$3,$R$3,$P$3,A23,$N$3,0,$C$10,10,1)</f>
        <v>302.39431055089057</v>
      </c>
    </row>
    <row r="24" spans="1:9" x14ac:dyDescent="0.3">
      <c r="A24" s="11">
        <v>350</v>
      </c>
      <c r="B24" s="6">
        <f>[1]!MF_p_choke_atma(A24,$N$3,$O$3,$Q$3,0,$P$3,$C$3,,$C$10)</f>
        <v>43.8380126953125</v>
      </c>
      <c r="C24" s="11">
        <f>[1]!MF_p_pipeline_atma(B24,$C$3,$I$3,$R$3,$P$3,A24,$N$3,0,$C$10,10,1)</f>
        <v>311.32830158910519</v>
      </c>
    </row>
    <row r="25" spans="1:9" x14ac:dyDescent="0.3">
      <c r="A25" s="11">
        <v>400</v>
      </c>
      <c r="B25" s="6">
        <f>[1]!MF_p_choke_atma(A25,$N$3,$O$3,$Q$3,0,$P$3,$C$3,,$C$10)</f>
        <v>50.2740478515625</v>
      </c>
      <c r="C25" s="11">
        <f>[1]!MF_p_pipeline_atma(B25,$C$3,$I$3,$R$3,$P$3,A25,$N$3,0,$C$10,10,1)</f>
        <v>322.40676777975983</v>
      </c>
    </row>
    <row r="26" spans="1:9" x14ac:dyDescent="0.3">
      <c r="A26" s="11">
        <v>450</v>
      </c>
      <c r="B26" s="6">
        <f>[1]!MF_p_choke_atma(A26,$N$3,$O$3,$Q$3,0,$P$3,$C$3,,$C$10)</f>
        <v>56.8468017578125</v>
      </c>
      <c r="C26" s="11">
        <f>[1]!MF_p_pipeline_atma(B26,$C$3,$I$3,$R$3,$P$3,A26,$N$3,0,$C$10,10,1)</f>
        <v>333.48375803521435</v>
      </c>
    </row>
    <row r="27" spans="1:9" x14ac:dyDescent="0.3">
      <c r="A27" s="11">
        <v>500</v>
      </c>
      <c r="B27" s="6">
        <f>[1]!MF_p_choke_atma(A27,$N$3,$O$3,$Q$3,0,$P$3,$C$3,,$C$10)</f>
        <v>63.2264404296875</v>
      </c>
      <c r="C27" s="11">
        <f>[1]!MF_p_pipeline_atma(B27,$C$3,$I$3,$R$3,$P$3,A27,$N$3,0,$C$10,10,1)</f>
        <v>344.18218155798337</v>
      </c>
    </row>
    <row r="30" spans="1:9" x14ac:dyDescent="0.3">
      <c r="A30" s="3" t="s">
        <v>40</v>
      </c>
    </row>
    <row r="32" spans="1:9" x14ac:dyDescent="0.3">
      <c r="A32">
        <f t="array" ref="A32:I54">[1]!MF_p_pipeline_atma(B19,$C$3,$I$3,$R$3,$P$3,A19,$N$3,0,$C$10,10,1)</f>
        <v>289.39625691876972</v>
      </c>
      <c r="B32">
        <v>110</v>
      </c>
      <c r="C32">
        <v>29.3201904296875</v>
      </c>
      <c r="D32">
        <v>20</v>
      </c>
      <c r="E32">
        <v>289.39625691876972</v>
      </c>
      <c r="F32">
        <v>110</v>
      </c>
      <c r="G32">
        <v>1</v>
      </c>
      <c r="H32">
        <v>1</v>
      </c>
      <c r="I32">
        <v>6528.9574744261563</v>
      </c>
    </row>
    <row r="33" spans="1:9" x14ac:dyDescent="0.3">
      <c r="A33" t="str">
        <v>p_result_atma</v>
      </c>
      <c r="B33" t="str">
        <v>t_result_C</v>
      </c>
      <c r="C33" t="str">
        <v>p_1, atma</v>
      </c>
      <c r="D33" t="str">
        <v>t_1, C</v>
      </c>
      <c r="E33" t="str">
        <v>p_2, atma</v>
      </c>
      <c r="F33" t="str">
        <v>t_2, C</v>
      </c>
      <c r="G33" t="str">
        <v>c_calibr_grav</v>
      </c>
      <c r="H33" t="str">
        <v>c_calibr_fric</v>
      </c>
      <c r="I33" t="str">
        <v>q_gas_sm3day</v>
      </c>
    </row>
    <row r="34" spans="1:9" x14ac:dyDescent="0.3">
      <c r="A34" t="str">
        <v>num</v>
      </c>
      <c r="B34" t="str">
        <v>h,m</v>
      </c>
      <c r="C34" t="str">
        <v>hvert,m</v>
      </c>
      <c r="D34" t="str">
        <v>p,atma</v>
      </c>
      <c r="E34" t="str">
        <v>t,C</v>
      </c>
      <c r="F34" t="str">
        <v>Hl</v>
      </c>
      <c r="G34" t="str">
        <v>fpat</v>
      </c>
      <c r="H34" t="str">
        <v>t_amb, C</v>
      </c>
      <c r="I34" t="str">
        <v>diam, m</v>
      </c>
    </row>
    <row r="35" spans="1:9" x14ac:dyDescent="0.3">
      <c r="A35">
        <v>1</v>
      </c>
      <c r="B35">
        <v>0</v>
      </c>
      <c r="C35" s="2">
        <v>0</v>
      </c>
      <c r="D35">
        <v>29.3201904296875</v>
      </c>
      <c r="E35">
        <v>20</v>
      </c>
      <c r="F35">
        <v>0.59620160936517508</v>
      </c>
      <c r="G35" s="2">
        <v>103</v>
      </c>
      <c r="H35">
        <v>20</v>
      </c>
      <c r="I35">
        <v>7.4999999999999997E-2</v>
      </c>
    </row>
    <row r="36" spans="1:9" x14ac:dyDescent="0.3">
      <c r="A36">
        <v>2</v>
      </c>
      <c r="B36">
        <v>192.59</v>
      </c>
      <c r="C36" s="2">
        <v>192.59</v>
      </c>
      <c r="D36">
        <v>39.484310984546127</v>
      </c>
      <c r="E36">
        <v>24.736842105263158</v>
      </c>
      <c r="F36">
        <v>0.67010346575779178</v>
      </c>
      <c r="G36" s="2">
        <v>103</v>
      </c>
      <c r="H36">
        <v>24.736842105263158</v>
      </c>
      <c r="I36">
        <v>7.4999999999999997E-2</v>
      </c>
    </row>
    <row r="37" spans="1:9" x14ac:dyDescent="0.3">
      <c r="A37">
        <v>3</v>
      </c>
      <c r="B37">
        <v>385.18</v>
      </c>
      <c r="C37" s="2">
        <v>385.18</v>
      </c>
      <c r="D37">
        <v>50.797543570057528</v>
      </c>
      <c r="E37">
        <v>29.473684210526319</v>
      </c>
      <c r="F37">
        <v>0.73269519322514387</v>
      </c>
      <c r="G37" s="2">
        <v>103</v>
      </c>
      <c r="H37">
        <v>29.473684210526319</v>
      </c>
      <c r="I37">
        <v>7.4999999999999997E-2</v>
      </c>
    </row>
    <row r="38" spans="1:9" x14ac:dyDescent="0.3">
      <c r="A38">
        <v>4</v>
      </c>
      <c r="B38">
        <v>577.77</v>
      </c>
      <c r="C38" s="2">
        <v>577.77</v>
      </c>
      <c r="D38">
        <v>63.013179582098594</v>
      </c>
      <c r="E38">
        <v>34.210526315789473</v>
      </c>
      <c r="F38">
        <v>0.78425600630068082</v>
      </c>
      <c r="G38" s="2">
        <v>103</v>
      </c>
      <c r="H38">
        <v>34.210526315789473</v>
      </c>
      <c r="I38">
        <v>7.4999999999999997E-2</v>
      </c>
    </row>
    <row r="39" spans="1:9" x14ac:dyDescent="0.3">
      <c r="A39">
        <v>5</v>
      </c>
      <c r="B39">
        <v>770.36</v>
      </c>
      <c r="C39" s="3">
        <v>770.36</v>
      </c>
      <c r="D39">
        <v>75.935453879122448</v>
      </c>
      <c r="E39">
        <v>38.94736842105263</v>
      </c>
      <c r="F39">
        <v>0.81486519972386073</v>
      </c>
      <c r="G39" s="3">
        <v>102</v>
      </c>
      <c r="H39">
        <v>38.94736842105263</v>
      </c>
      <c r="I39">
        <v>7.4999999999999997E-2</v>
      </c>
    </row>
    <row r="40" spans="1:9" x14ac:dyDescent="0.3">
      <c r="A40">
        <v>6</v>
      </c>
      <c r="B40">
        <v>962.95</v>
      </c>
      <c r="C40" s="3">
        <v>962.95</v>
      </c>
      <c r="D40">
        <v>89.376419620229711</v>
      </c>
      <c r="E40">
        <v>43.684210526315788</v>
      </c>
      <c r="F40">
        <v>0.85107295329637056</v>
      </c>
      <c r="G40" s="3">
        <v>102</v>
      </c>
      <c r="H40">
        <v>43.684210526315788</v>
      </c>
      <c r="I40">
        <v>7.4999999999999997E-2</v>
      </c>
    </row>
    <row r="41" spans="1:9" x14ac:dyDescent="0.3">
      <c r="A41">
        <v>7</v>
      </c>
      <c r="B41">
        <v>1155.54</v>
      </c>
      <c r="C41" s="3">
        <v>1155.54</v>
      </c>
      <c r="D41">
        <v>103.17157240651892</v>
      </c>
      <c r="E41">
        <v>48.421052631578945</v>
      </c>
      <c r="F41">
        <v>0.88021150293201189</v>
      </c>
      <c r="G41" s="3">
        <v>102</v>
      </c>
      <c r="H41">
        <v>48.421052631578945</v>
      </c>
      <c r="I41">
        <v>7.4999999999999997E-2</v>
      </c>
    </row>
    <row r="42" spans="1:9" x14ac:dyDescent="0.3">
      <c r="A42">
        <v>8</v>
      </c>
      <c r="B42">
        <v>1348.13</v>
      </c>
      <c r="C42" s="3">
        <v>1348.13</v>
      </c>
      <c r="D42">
        <v>117.21440542385388</v>
      </c>
      <c r="E42">
        <v>53.157894736842103</v>
      </c>
      <c r="F42">
        <v>0.90387526635111104</v>
      </c>
      <c r="G42" s="3">
        <v>102</v>
      </c>
      <c r="H42">
        <v>53.157894736842103</v>
      </c>
      <c r="I42">
        <v>7.4999999999999997E-2</v>
      </c>
    </row>
    <row r="43" spans="1:9" x14ac:dyDescent="0.3">
      <c r="A43">
        <v>9</v>
      </c>
      <c r="B43">
        <v>1540.72</v>
      </c>
      <c r="C43" s="3">
        <v>1540.72</v>
      </c>
      <c r="D43">
        <v>131.42577538498688</v>
      </c>
      <c r="E43">
        <v>57.89473684210526</v>
      </c>
      <c r="F43">
        <v>0.92335379968236519</v>
      </c>
      <c r="G43" s="3">
        <v>102</v>
      </c>
      <c r="H43">
        <v>57.89473684210526</v>
      </c>
      <c r="I43">
        <v>7.4999999999999997E-2</v>
      </c>
    </row>
    <row r="44" spans="1:9" x14ac:dyDescent="0.3">
      <c r="A44">
        <v>10</v>
      </c>
      <c r="B44">
        <v>1733.31</v>
      </c>
      <c r="C44" s="3">
        <v>1733.31</v>
      </c>
      <c r="D44">
        <v>145.74771565739735</v>
      </c>
      <c r="E44">
        <v>62.631578947368418</v>
      </c>
      <c r="F44">
        <v>0.93963762874368095</v>
      </c>
      <c r="G44" s="3">
        <v>102</v>
      </c>
      <c r="H44">
        <v>62.631578947368418</v>
      </c>
      <c r="I44">
        <v>7.4999999999999997E-2</v>
      </c>
    </row>
    <row r="45" spans="1:9" x14ac:dyDescent="0.3">
      <c r="A45">
        <v>11</v>
      </c>
      <c r="B45">
        <v>1925.9</v>
      </c>
      <c r="C45" s="3">
        <v>1925.9</v>
      </c>
      <c r="D45">
        <v>160.13811350843335</v>
      </c>
      <c r="E45">
        <v>67.368421052631575</v>
      </c>
      <c r="F45">
        <v>0.95348254018759226</v>
      </c>
      <c r="G45" s="3">
        <v>102</v>
      </c>
      <c r="H45">
        <v>67.368421052631575</v>
      </c>
      <c r="I45">
        <v>7.4999999999999997E-2</v>
      </c>
    </row>
    <row r="46" spans="1:9" x14ac:dyDescent="0.3">
      <c r="A46">
        <v>12</v>
      </c>
      <c r="B46">
        <v>2118.4900000000002</v>
      </c>
      <c r="C46" s="3">
        <v>2118.4900000000002</v>
      </c>
      <c r="D46">
        <v>174.56623507874181</v>
      </c>
      <c r="E46">
        <v>72.105263157894726</v>
      </c>
      <c r="F46">
        <v>0.96539060777060592</v>
      </c>
      <c r="G46" s="3">
        <v>102</v>
      </c>
      <c r="H46">
        <v>72.105263157894726</v>
      </c>
      <c r="I46">
        <v>7.4999999999999997E-2</v>
      </c>
    </row>
    <row r="47" spans="1:9" x14ac:dyDescent="0.3">
      <c r="A47">
        <v>13</v>
      </c>
      <c r="B47">
        <v>2311.08</v>
      </c>
      <c r="C47" s="3">
        <v>2311.08</v>
      </c>
      <c r="D47">
        <v>189.00928128268563</v>
      </c>
      <c r="E47">
        <v>76.84210526315789</v>
      </c>
      <c r="F47">
        <v>0.97581562408750688</v>
      </c>
      <c r="G47" s="3">
        <v>102</v>
      </c>
      <c r="H47">
        <v>76.84210526315789</v>
      </c>
      <c r="I47">
        <v>7.4999999999999997E-2</v>
      </c>
    </row>
    <row r="48" spans="1:9" x14ac:dyDescent="0.3">
      <c r="A48">
        <v>14</v>
      </c>
      <c r="B48">
        <v>2503.67</v>
      </c>
      <c r="C48" s="3">
        <v>2503.67</v>
      </c>
      <c r="D48">
        <v>203.44337035237689</v>
      </c>
      <c r="E48">
        <v>81.578947368421041</v>
      </c>
      <c r="F48">
        <v>0.97681868081930845</v>
      </c>
      <c r="G48" s="3">
        <v>102</v>
      </c>
      <c r="H48">
        <v>81.578947368421041</v>
      </c>
      <c r="I48">
        <v>7.4999999999999997E-2</v>
      </c>
    </row>
    <row r="49" spans="1:9" x14ac:dyDescent="0.3">
      <c r="A49">
        <v>15</v>
      </c>
      <c r="B49">
        <v>2696.26</v>
      </c>
      <c r="C49" s="3">
        <v>2696.26</v>
      </c>
      <c r="D49">
        <v>217.85048884272774</v>
      </c>
      <c r="E49">
        <v>86.315789473684205</v>
      </c>
      <c r="F49">
        <v>0.97766312671372546</v>
      </c>
      <c r="G49" s="3">
        <v>102</v>
      </c>
      <c r="H49">
        <v>86.315789473684205</v>
      </c>
      <c r="I49">
        <v>7.4999999999999997E-2</v>
      </c>
    </row>
    <row r="50" spans="1:9" x14ac:dyDescent="0.3">
      <c r="A50">
        <v>16</v>
      </c>
      <c r="B50">
        <v>2888.85</v>
      </c>
      <c r="C50" s="3">
        <v>2888.85</v>
      </c>
      <c r="D50">
        <v>232.22751974352457</v>
      </c>
      <c r="E50">
        <v>91.052631578947356</v>
      </c>
      <c r="F50">
        <v>0.97838315036741275</v>
      </c>
      <c r="G50" s="3">
        <v>102</v>
      </c>
      <c r="H50">
        <v>91.052631578947356</v>
      </c>
      <c r="I50">
        <v>7.4999999999999997E-2</v>
      </c>
    </row>
    <row r="51" spans="1:9" x14ac:dyDescent="0.3">
      <c r="A51">
        <v>17</v>
      </c>
      <c r="B51">
        <v>3081.44</v>
      </c>
      <c r="C51" s="3">
        <v>3081.44</v>
      </c>
      <c r="D51">
        <v>246.57230462630494</v>
      </c>
      <c r="E51">
        <v>95.78947368421052</v>
      </c>
      <c r="F51">
        <v>0.97900471390405941</v>
      </c>
      <c r="G51" s="3">
        <v>102</v>
      </c>
      <c r="H51">
        <v>95.78947368421052</v>
      </c>
      <c r="I51">
        <v>7.4999999999999997E-2</v>
      </c>
    </row>
    <row r="52" spans="1:9" x14ac:dyDescent="0.3">
      <c r="A52">
        <v>18</v>
      </c>
      <c r="B52">
        <v>3274.03</v>
      </c>
      <c r="C52" s="3">
        <v>3274.03</v>
      </c>
      <c r="D52">
        <v>260.88286192664248</v>
      </c>
      <c r="E52">
        <v>100.52631578947368</v>
      </c>
      <c r="F52">
        <v>0.97954631490089528</v>
      </c>
      <c r="G52" s="3">
        <v>102</v>
      </c>
      <c r="H52">
        <v>100.52631578947368</v>
      </c>
      <c r="I52">
        <v>7.4999999999999997E-2</v>
      </c>
    </row>
    <row r="53" spans="1:9" x14ac:dyDescent="0.3">
      <c r="A53">
        <v>19</v>
      </c>
      <c r="B53">
        <v>3466.62</v>
      </c>
      <c r="C53" s="3">
        <v>3466.62</v>
      </c>
      <c r="D53">
        <v>275.1575522989022</v>
      </c>
      <c r="E53">
        <v>105.26315789473684</v>
      </c>
      <c r="F53">
        <v>0.98002218889846127</v>
      </c>
      <c r="G53" s="3">
        <v>102</v>
      </c>
      <c r="H53">
        <v>105.26315789473684</v>
      </c>
      <c r="I53">
        <v>7.4999999999999997E-2</v>
      </c>
    </row>
    <row r="54" spans="1:9" x14ac:dyDescent="0.3">
      <c r="A54">
        <v>20</v>
      </c>
      <c r="B54">
        <v>3659.21</v>
      </c>
      <c r="C54" s="3">
        <v>3659.21</v>
      </c>
      <c r="D54">
        <v>289.39625691876972</v>
      </c>
      <c r="E54">
        <v>110</v>
      </c>
      <c r="F54">
        <v>0.98044494920096303</v>
      </c>
      <c r="G54" s="3">
        <v>102</v>
      </c>
      <c r="H54">
        <v>110</v>
      </c>
      <c r="I54">
        <v>7.4999999999999997E-2</v>
      </c>
    </row>
    <row r="57" spans="1:9" x14ac:dyDescent="0.3">
      <c r="A57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2021-02-22T08:35:14Z</dcterms:created>
  <dcterms:modified xsi:type="dcterms:W3CDTF">2021-02-23T09:13:55Z</dcterms:modified>
</cp:coreProperties>
</file>