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psafr-my.sharepoint.com/personal/valerian_gregoire-begranger_ipsa_fr/Documents/Annexe/Helips/2025-2026/_drone_design/airplane_design/src/sizing_tool/"/>
    </mc:Choice>
  </mc:AlternateContent>
  <xr:revisionPtr revIDLastSave="0" documentId="13_ncr:201_{6B503C9F-4E1B-4AEF-904B-4392E97BDB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6" i="1"/>
  <c r="N27" i="1" s="1"/>
  <c r="D31" i="1"/>
  <c r="D13" i="1"/>
  <c r="I10" i="1" s="1"/>
  <c r="I31" i="1" s="1"/>
  <c r="I32" i="1" s="1"/>
  <c r="D28" i="1"/>
  <c r="D20" i="1"/>
  <c r="D30" i="1"/>
  <c r="D29" i="1"/>
  <c r="N20" i="1" l="1"/>
  <c r="N21" i="1" s="1"/>
  <c r="N22" i="1" s="1"/>
  <c r="I33" i="1"/>
  <c r="I11" i="1"/>
  <c r="I14" i="1" s="1"/>
  <c r="I21" i="1" s="1"/>
  <c r="I22" i="1" l="1"/>
  <c r="I23" i="1" s="1"/>
  <c r="I24" i="1" s="1"/>
  <c r="I12" i="1"/>
  <c r="I13" i="1" s="1"/>
  <c r="I25" i="1" l="1"/>
  <c r="I35" i="1"/>
  <c r="I34" i="1"/>
</calcChain>
</file>

<file path=xl/sharedStrings.xml><?xml version="1.0" encoding="utf-8"?>
<sst xmlns="http://schemas.openxmlformats.org/spreadsheetml/2006/main" count="145" uniqueCount="77">
  <si>
    <t>Airframe Weight</t>
  </si>
  <si>
    <t>CD0</t>
  </si>
  <si>
    <t>Oswald Efficiency</t>
  </si>
  <si>
    <t>kg</t>
  </si>
  <si>
    <t>-</t>
  </si>
  <si>
    <t>Battery</t>
  </si>
  <si>
    <t>Capacity</t>
  </si>
  <si>
    <t>Cell Voltage</t>
  </si>
  <si>
    <t>Number of batteries</t>
  </si>
  <si>
    <t>Motors weight</t>
  </si>
  <si>
    <t>Battery weight</t>
  </si>
  <si>
    <t>Payload weight</t>
  </si>
  <si>
    <t>Weights</t>
  </si>
  <si>
    <t>FMU weight</t>
  </si>
  <si>
    <t>Compagnon weight</t>
  </si>
  <si>
    <t>g</t>
  </si>
  <si>
    <t>Other weight</t>
  </si>
  <si>
    <t>Total weight</t>
  </si>
  <si>
    <t>Aerodynamics</t>
  </si>
  <si>
    <t>Flight speed</t>
  </si>
  <si>
    <t>m/s</t>
  </si>
  <si>
    <t>m</t>
  </si>
  <si>
    <t>Wings</t>
  </si>
  <si>
    <t>Aspect ratio</t>
  </si>
  <si>
    <t>Taper ratio</t>
  </si>
  <si>
    <t>Wing loading</t>
  </si>
  <si>
    <t>CL_max</t>
  </si>
  <si>
    <t>Wing area</t>
  </si>
  <si>
    <t>Wingspan</t>
  </si>
  <si>
    <t>Root chord</t>
  </si>
  <si>
    <t>Tip chord</t>
  </si>
  <si>
    <t>Average chord</t>
  </si>
  <si>
    <t>g/cm²</t>
  </si>
  <si>
    <t>m²</t>
  </si>
  <si>
    <t>Total capacity</t>
  </si>
  <si>
    <t>Voltage</t>
  </si>
  <si>
    <t>Max current output</t>
  </si>
  <si>
    <t>Horizontal stabilizer</t>
  </si>
  <si>
    <t>Wing area fraction</t>
  </si>
  <si>
    <t>Lever arm</t>
  </si>
  <si>
    <t>Vertical stabilizer</t>
  </si>
  <si>
    <t>mAh</t>
  </si>
  <si>
    <t>V</t>
  </si>
  <si>
    <t>A</t>
  </si>
  <si>
    <t>Discharge rate (C)</t>
  </si>
  <si>
    <t>Cells in series (S)</t>
  </si>
  <si>
    <t>Usual wing area fractions</t>
  </si>
  <si>
    <t>0.3 - 0.6</t>
  </si>
  <si>
    <t>0.03 - 0.06</t>
  </si>
  <si>
    <t>Usual wing loadings</t>
  </si>
  <si>
    <t>Glider</t>
  </si>
  <si>
    <t>Trainer</t>
  </si>
  <si>
    <t>Sports</t>
  </si>
  <si>
    <t>Fighter</t>
  </si>
  <si>
    <t>Cell voltage</t>
  </si>
  <si>
    <t>LiPo</t>
  </si>
  <si>
    <t>Li-ion</t>
  </si>
  <si>
    <t>Results</t>
  </si>
  <si>
    <t>Lift coefficient (CL)</t>
  </si>
  <si>
    <t>Drag coefficient (CD)</t>
  </si>
  <si>
    <t>Lift/Drag ratio (L/D)</t>
  </si>
  <si>
    <t>Max range airspeed</t>
  </si>
  <si>
    <t>Max endurance airspeed</t>
  </si>
  <si>
    <t>Stall airspeed</t>
  </si>
  <si>
    <t>Max flight time</t>
  </si>
  <si>
    <t>Max range</t>
  </si>
  <si>
    <t>km</t>
  </si>
  <si>
    <t>Air density</t>
  </si>
  <si>
    <t>kg/m^3</t>
  </si>
  <si>
    <t>Flight altitude (ASL)</t>
  </si>
  <si>
    <t>min</t>
  </si>
  <si>
    <t>Cruise current draw</t>
  </si>
  <si>
    <t>Color codes</t>
  </si>
  <si>
    <t>: To fill</t>
  </si>
  <si>
    <t>: Computed</t>
  </si>
  <si>
    <t>Valérian Grégoire--Bégranger</t>
  </si>
  <si>
    <t>Author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</si>
</sst>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165" fontId="0" fillId="0" borderId="0" xfId="0" applyNumberFormat="1"/>
    <xf numFmtId="165" fontId="0" fillId="4" borderId="1" xfId="0" applyNumberFormat="1" applyFill="1" applyBorder="1" applyAlignment="1">
      <alignment horizontal="right"/>
    </xf>
    <xf numFmtId="0" fontId="0" fillId="4" borderId="1" xfId="0" applyFill="1" applyBorder="1"/>
    <xf numFmtId="164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0" fontId="0" fillId="3" borderId="7" xfId="0" applyFill="1" applyBorder="1"/>
    <xf numFmtId="0" fontId="0" fillId="0" borderId="7" xfId="0" applyBorder="1"/>
    <xf numFmtId="0" fontId="2" fillId="4" borderId="7" xfId="0" applyFont="1" applyFill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5"/>
  <sheetViews>
    <sheetView tabSelected="1" workbookViewId="0">
      <selection activeCell="K10" sqref="K10"/>
    </sheetView>
  </sheetViews>
  <sheetFormatPr defaultColWidth="10.6328125" defaultRowHeight="14.5" x14ac:dyDescent="0.35"/>
  <sheetData>
    <row r="2" spans="2:15" x14ac:dyDescent="0.35">
      <c r="B2" s="1" t="s">
        <v>72</v>
      </c>
      <c r="C2" s="1"/>
      <c r="D2" s="1"/>
      <c r="E2" s="1"/>
      <c r="F2" s="1"/>
      <c r="J2" s="2" t="s">
        <v>76</v>
      </c>
      <c r="K2" s="18" t="s">
        <v>75</v>
      </c>
      <c r="L2" s="18"/>
      <c r="M2" s="18"/>
    </row>
    <row r="3" spans="2:15" x14ac:dyDescent="0.35">
      <c r="B3" s="25"/>
      <c r="C3" s="26" t="s">
        <v>73</v>
      </c>
      <c r="D3" s="6"/>
      <c r="E3" s="27"/>
      <c r="F3" s="28" t="s">
        <v>74</v>
      </c>
    </row>
    <row r="4" spans="2:15" x14ac:dyDescent="0.35">
      <c r="D4" s="9"/>
    </row>
    <row r="5" spans="2:15" x14ac:dyDescent="0.35">
      <c r="B5" s="1" t="s">
        <v>12</v>
      </c>
      <c r="C5" s="1"/>
      <c r="D5" s="1"/>
      <c r="E5" s="1"/>
      <c r="G5" s="1" t="s">
        <v>22</v>
      </c>
      <c r="H5" s="1"/>
      <c r="I5" s="1"/>
      <c r="J5" s="1"/>
      <c r="L5" s="19" t="s">
        <v>49</v>
      </c>
      <c r="M5" s="19"/>
    </row>
    <row r="6" spans="2:15" x14ac:dyDescent="0.35">
      <c r="B6" s="1" t="s">
        <v>0</v>
      </c>
      <c r="C6" s="1"/>
      <c r="D6" s="13">
        <v>1372</v>
      </c>
      <c r="E6" s="4" t="s">
        <v>15</v>
      </c>
      <c r="G6" s="14" t="s">
        <v>23</v>
      </c>
      <c r="H6" s="15"/>
      <c r="I6" s="13">
        <v>10</v>
      </c>
      <c r="J6" s="2" t="s">
        <v>4</v>
      </c>
      <c r="L6" s="18" t="s">
        <v>50</v>
      </c>
      <c r="M6" s="18"/>
      <c r="N6" s="2">
        <v>0.3</v>
      </c>
      <c r="O6" s="2" t="s">
        <v>32</v>
      </c>
    </row>
    <row r="7" spans="2:15" x14ac:dyDescent="0.35">
      <c r="B7" s="1" t="s">
        <v>11</v>
      </c>
      <c r="C7" s="1"/>
      <c r="D7" s="13">
        <v>0</v>
      </c>
      <c r="E7" s="4" t="s">
        <v>15</v>
      </c>
      <c r="G7" s="14" t="s">
        <v>24</v>
      </c>
      <c r="H7" s="15"/>
      <c r="I7" s="13">
        <v>1</v>
      </c>
      <c r="J7" s="2" t="s">
        <v>4</v>
      </c>
      <c r="L7" s="18" t="s">
        <v>51</v>
      </c>
      <c r="M7" s="18"/>
      <c r="N7" s="2">
        <v>0.45</v>
      </c>
      <c r="O7" s="2" t="s">
        <v>32</v>
      </c>
    </row>
    <row r="8" spans="2:15" x14ac:dyDescent="0.35">
      <c r="B8" s="1" t="s">
        <v>10</v>
      </c>
      <c r="C8" s="1"/>
      <c r="D8" s="13"/>
      <c r="E8" s="4" t="s">
        <v>15</v>
      </c>
      <c r="G8" s="14" t="s">
        <v>25</v>
      </c>
      <c r="H8" s="15"/>
      <c r="I8" s="13">
        <v>2.5</v>
      </c>
      <c r="J8" s="2" t="s">
        <v>32</v>
      </c>
      <c r="L8" s="18" t="s">
        <v>52</v>
      </c>
      <c r="M8" s="18"/>
      <c r="N8" s="2">
        <v>0.6</v>
      </c>
      <c r="O8" s="2" t="s">
        <v>32</v>
      </c>
    </row>
    <row r="9" spans="2:15" x14ac:dyDescent="0.35">
      <c r="B9" s="1" t="s">
        <v>9</v>
      </c>
      <c r="C9" s="1"/>
      <c r="D9" s="13"/>
      <c r="E9" s="4" t="s">
        <v>15</v>
      </c>
      <c r="G9" s="14" t="s">
        <v>26</v>
      </c>
      <c r="H9" s="15"/>
      <c r="I9" s="13">
        <v>1.3347</v>
      </c>
      <c r="J9" s="2" t="s">
        <v>4</v>
      </c>
      <c r="L9" s="18" t="s">
        <v>53</v>
      </c>
      <c r="M9" s="18"/>
      <c r="N9" s="2">
        <v>0.75</v>
      </c>
      <c r="O9" s="2" t="s">
        <v>32</v>
      </c>
    </row>
    <row r="10" spans="2:15" x14ac:dyDescent="0.35">
      <c r="B10" s="1" t="s">
        <v>13</v>
      </c>
      <c r="C10" s="1"/>
      <c r="D10" s="13"/>
      <c r="E10" s="4" t="s">
        <v>15</v>
      </c>
      <c r="G10" s="7" t="s">
        <v>27</v>
      </c>
      <c r="H10" s="8"/>
      <c r="I10" s="21">
        <f>D13/(10 * I8)</f>
        <v>5.4880000000000005E-2</v>
      </c>
      <c r="J10" s="2" t="s">
        <v>33</v>
      </c>
    </row>
    <row r="11" spans="2:15" x14ac:dyDescent="0.35">
      <c r="B11" s="10" t="s">
        <v>14</v>
      </c>
      <c r="C11" s="10"/>
      <c r="D11" s="13"/>
      <c r="E11" s="4" t="s">
        <v>15</v>
      </c>
      <c r="G11" s="7" t="s">
        <v>28</v>
      </c>
      <c r="H11" s="8"/>
      <c r="I11" s="21">
        <f>SQRT(I6 * I10)</f>
        <v>0.74081036709808545</v>
      </c>
      <c r="J11" s="2" t="s">
        <v>21</v>
      </c>
      <c r="L11" s="1" t="s">
        <v>46</v>
      </c>
      <c r="M11" s="1"/>
    </row>
    <row r="12" spans="2:15" x14ac:dyDescent="0.35">
      <c r="B12" s="1" t="s">
        <v>16</v>
      </c>
      <c r="C12" s="1"/>
      <c r="D12" s="13"/>
      <c r="E12" s="11" t="s">
        <v>15</v>
      </c>
      <c r="G12" s="7" t="s">
        <v>29</v>
      </c>
      <c r="H12" s="8"/>
      <c r="I12" s="21">
        <f xml:space="preserve"> (2 * I10) / (I11 * (1 + I7))</f>
        <v>7.4081036709808534E-2</v>
      </c>
      <c r="J12" s="2" t="s">
        <v>21</v>
      </c>
      <c r="L12" s="18" t="s">
        <v>37</v>
      </c>
      <c r="M12" s="18"/>
      <c r="N12" s="12" t="s">
        <v>47</v>
      </c>
      <c r="O12" s="2" t="s">
        <v>4</v>
      </c>
    </row>
    <row r="13" spans="2:15" x14ac:dyDescent="0.35">
      <c r="B13" s="1" t="s">
        <v>17</v>
      </c>
      <c r="C13" s="1"/>
      <c r="D13" s="21">
        <f xml:space="preserve"> SUM(D6:D12) / 1000</f>
        <v>1.3720000000000001</v>
      </c>
      <c r="E13" s="11" t="s">
        <v>3</v>
      </c>
      <c r="G13" s="7" t="s">
        <v>30</v>
      </c>
      <c r="H13" s="8"/>
      <c r="I13" s="21">
        <f xml:space="preserve"> I7 * I12</f>
        <v>7.4081036709808534E-2</v>
      </c>
      <c r="J13" s="2" t="s">
        <v>21</v>
      </c>
      <c r="L13" s="18" t="s">
        <v>40</v>
      </c>
      <c r="M13" s="18"/>
      <c r="N13" s="12" t="s">
        <v>48</v>
      </c>
      <c r="O13" s="2" t="s">
        <v>4</v>
      </c>
    </row>
    <row r="14" spans="2:15" x14ac:dyDescent="0.35">
      <c r="G14" s="7" t="s">
        <v>31</v>
      </c>
      <c r="H14" s="8"/>
      <c r="I14" s="21">
        <f xml:space="preserve"> I10 / I11</f>
        <v>7.4081036709808534E-2</v>
      </c>
      <c r="J14" s="2" t="s">
        <v>21</v>
      </c>
    </row>
    <row r="15" spans="2:15" x14ac:dyDescent="0.35">
      <c r="B15" s="1" t="s">
        <v>18</v>
      </c>
      <c r="C15" s="1"/>
      <c r="D15" s="1"/>
      <c r="E15" s="1"/>
      <c r="L15" s="19" t="s">
        <v>54</v>
      </c>
      <c r="M15" s="19"/>
    </row>
    <row r="16" spans="2:15" x14ac:dyDescent="0.35">
      <c r="B16" s="1" t="s">
        <v>1</v>
      </c>
      <c r="C16" s="1"/>
      <c r="D16" s="13">
        <v>0.02</v>
      </c>
      <c r="E16" s="5" t="s">
        <v>4</v>
      </c>
      <c r="G16" s="1" t="s">
        <v>37</v>
      </c>
      <c r="H16" s="1"/>
      <c r="I16" s="1"/>
      <c r="J16" s="1"/>
      <c r="L16" s="1" t="s">
        <v>55</v>
      </c>
      <c r="M16" s="1"/>
      <c r="N16" s="2">
        <v>3.7</v>
      </c>
      <c r="O16" s="2" t="s">
        <v>42</v>
      </c>
    </row>
    <row r="17" spans="2:15" x14ac:dyDescent="0.35">
      <c r="B17" s="1" t="s">
        <v>2</v>
      </c>
      <c r="C17" s="1"/>
      <c r="D17" s="13">
        <v>0.75</v>
      </c>
      <c r="E17" s="5" t="s">
        <v>4</v>
      </c>
      <c r="G17" s="1" t="s">
        <v>23</v>
      </c>
      <c r="H17" s="1"/>
      <c r="I17" s="16">
        <v>3</v>
      </c>
      <c r="J17" s="17" t="s">
        <v>4</v>
      </c>
      <c r="L17" s="1" t="s">
        <v>56</v>
      </c>
      <c r="M17" s="1"/>
      <c r="N17" s="2">
        <v>3.6</v>
      </c>
      <c r="O17" s="2" t="s">
        <v>42</v>
      </c>
    </row>
    <row r="18" spans="2:15" x14ac:dyDescent="0.35">
      <c r="B18" s="7" t="s">
        <v>19</v>
      </c>
      <c r="C18" s="8"/>
      <c r="D18" s="13">
        <v>11</v>
      </c>
      <c r="E18" s="3" t="s">
        <v>20</v>
      </c>
      <c r="G18" s="1" t="s">
        <v>24</v>
      </c>
      <c r="H18" s="1"/>
      <c r="I18" s="16">
        <v>0.3</v>
      </c>
      <c r="J18" s="2" t="s">
        <v>4</v>
      </c>
      <c r="K18" s="20"/>
    </row>
    <row r="19" spans="2:15" x14ac:dyDescent="0.35">
      <c r="B19" s="7" t="s">
        <v>69</v>
      </c>
      <c r="C19" s="8"/>
      <c r="D19" s="13">
        <v>0</v>
      </c>
      <c r="E19" s="2" t="s">
        <v>21</v>
      </c>
      <c r="G19" s="1" t="s">
        <v>38</v>
      </c>
      <c r="H19" s="1"/>
      <c r="I19" s="16">
        <v>0.6</v>
      </c>
      <c r="J19" s="2" t="s">
        <v>4</v>
      </c>
      <c r="L19" s="1" t="s">
        <v>57</v>
      </c>
      <c r="M19" s="1"/>
      <c r="N19" s="1"/>
      <c r="O19" s="1"/>
    </row>
    <row r="20" spans="2:15" x14ac:dyDescent="0.35">
      <c r="B20" s="7" t="s">
        <v>67</v>
      </c>
      <c r="C20" s="8"/>
      <c r="D20" s="22">
        <f xml:space="preserve"> 1.225 * ((288.15 - 0.0065 * D19) / 288.15) ^ ((9.80665 * 0.0289644) / (8.3144598 * 0.0065) - 1)</f>
        <v>1.2250000000000001</v>
      </c>
      <c r="E20" s="2" t="s">
        <v>68</v>
      </c>
      <c r="G20" s="1" t="s">
        <v>39</v>
      </c>
      <c r="H20" s="1"/>
      <c r="I20" s="16">
        <v>0.5</v>
      </c>
      <c r="J20" s="2" t="s">
        <v>21</v>
      </c>
      <c r="L20" s="1" t="s">
        <v>58</v>
      </c>
      <c r="M20" s="1"/>
      <c r="N20" s="24">
        <f>(D13 * 9.81 * 2) / (D20 * I10 * D18^2)</f>
        <v>3.3091583740934389</v>
      </c>
      <c r="O20" s="2" t="s">
        <v>4</v>
      </c>
    </row>
    <row r="21" spans="2:15" x14ac:dyDescent="0.35">
      <c r="G21" s="7" t="s">
        <v>27</v>
      </c>
      <c r="H21" s="8"/>
      <c r="I21" s="21">
        <f xml:space="preserve"> I19 * I10 * I14 / I20</f>
        <v>4.8786807535611508E-3</v>
      </c>
      <c r="J21" s="2" t="s">
        <v>33</v>
      </c>
      <c r="L21" s="1" t="s">
        <v>59</v>
      </c>
      <c r="M21" s="1"/>
      <c r="N21" s="24">
        <f xml:space="preserve"> D16 + N20^2 / (PI() * I6 * D17)</f>
        <v>0.48475489143253203</v>
      </c>
      <c r="O21" s="2" t="s">
        <v>4</v>
      </c>
    </row>
    <row r="22" spans="2:15" x14ac:dyDescent="0.35">
      <c r="B22" s="1" t="s">
        <v>5</v>
      </c>
      <c r="C22" s="1"/>
      <c r="D22" s="1"/>
      <c r="E22" s="1"/>
      <c r="G22" s="1" t="s">
        <v>28</v>
      </c>
      <c r="H22" s="1"/>
      <c r="I22" s="23">
        <f xml:space="preserve"> SQRT(I17 * I21)</f>
        <v>0.12097951173931663</v>
      </c>
      <c r="J22" s="2" t="s">
        <v>21</v>
      </c>
      <c r="L22" s="1" t="s">
        <v>60</v>
      </c>
      <c r="M22" s="1"/>
      <c r="N22" s="24">
        <f>N20/N21</f>
        <v>6.8264569013719916</v>
      </c>
      <c r="O22" s="2" t="s">
        <v>4</v>
      </c>
    </row>
    <row r="23" spans="2:15" x14ac:dyDescent="0.35">
      <c r="B23" s="7" t="s">
        <v>6</v>
      </c>
      <c r="C23" s="8"/>
      <c r="D23" s="16">
        <v>3500</v>
      </c>
      <c r="E23" s="2" t="s">
        <v>41</v>
      </c>
      <c r="G23" s="1" t="s">
        <v>29</v>
      </c>
      <c r="H23" s="1"/>
      <c r="I23" s="21">
        <f>(2 * I21) / (I22 * (1 + I18))</f>
        <v>6.2040775250931608E-2</v>
      </c>
      <c r="J23" s="2" t="s">
        <v>21</v>
      </c>
      <c r="L23" s="1" t="s">
        <v>61</v>
      </c>
      <c r="M23" s="1"/>
      <c r="N23" s="24">
        <f xml:space="preserve"> (4 / (PI() * D17 * D16 * I6 )) ^ (1/4) * (D13 * 9.81 / (D20 * I10)) ^ (1/2)</f>
        <v>24.151337033292577</v>
      </c>
      <c r="O23" s="2" t="s">
        <v>20</v>
      </c>
    </row>
    <row r="24" spans="2:15" x14ac:dyDescent="0.35">
      <c r="B24" s="7" t="s">
        <v>7</v>
      </c>
      <c r="C24" s="8"/>
      <c r="D24" s="16">
        <v>3.7</v>
      </c>
      <c r="E24" s="2" t="s">
        <v>42</v>
      </c>
      <c r="G24" s="1" t="s">
        <v>30</v>
      </c>
      <c r="H24" s="1"/>
      <c r="I24" s="21">
        <f xml:space="preserve"> I23 * I18</f>
        <v>1.8612232575279483E-2</v>
      </c>
      <c r="J24" s="2" t="s">
        <v>21</v>
      </c>
      <c r="L24" s="1" t="s">
        <v>62</v>
      </c>
      <c r="M24" s="1"/>
      <c r="N24" s="24">
        <f xml:space="preserve"> 2 / (12 * PI() * D17 * D16 * I6 ) ^ (1/4) * (D13 * 9.81 / (D20 * I10)) ^ (1/2)</f>
        <v>18.351047734094564</v>
      </c>
      <c r="O24" s="2" t="s">
        <v>20</v>
      </c>
    </row>
    <row r="25" spans="2:15" x14ac:dyDescent="0.35">
      <c r="B25" s="7" t="s">
        <v>45</v>
      </c>
      <c r="C25" s="8"/>
      <c r="D25" s="16">
        <v>6</v>
      </c>
      <c r="E25" s="2" t="s">
        <v>4</v>
      </c>
      <c r="G25" s="1" t="s">
        <v>31</v>
      </c>
      <c r="H25" s="1"/>
      <c r="I25" s="21">
        <f xml:space="preserve"> I21 / I22</f>
        <v>4.0326503913105549E-2</v>
      </c>
      <c r="J25" s="2" t="s">
        <v>21</v>
      </c>
      <c r="L25" s="1" t="s">
        <v>63</v>
      </c>
      <c r="M25" s="1"/>
      <c r="N25" s="24">
        <f xml:space="preserve"> (2 / I9) ^ (1/2) * (D13 * 9.81 / (D20 * I10)) ^ (1/2)</f>
        <v>17.320468349889492</v>
      </c>
      <c r="O25" s="2" t="s">
        <v>20</v>
      </c>
    </row>
    <row r="26" spans="2:15" x14ac:dyDescent="0.35">
      <c r="B26" s="7" t="s">
        <v>44</v>
      </c>
      <c r="C26" s="8"/>
      <c r="D26" s="16">
        <v>50</v>
      </c>
      <c r="E26" s="2" t="s">
        <v>4</v>
      </c>
      <c r="L26" s="1" t="s">
        <v>64</v>
      </c>
      <c r="M26" s="1"/>
      <c r="N26" s="24">
        <f xml:space="preserve"> (D29 * 0.9 / 1000) / D31 * 60</f>
        <v>77.384560200060363</v>
      </c>
      <c r="O26" s="2" t="s">
        <v>70</v>
      </c>
    </row>
    <row r="27" spans="2:15" x14ac:dyDescent="0.35">
      <c r="B27" s="7" t="s">
        <v>8</v>
      </c>
      <c r="C27" s="8"/>
      <c r="D27" s="16">
        <v>1</v>
      </c>
      <c r="E27" s="2" t="s">
        <v>4</v>
      </c>
      <c r="G27" s="1" t="s">
        <v>40</v>
      </c>
      <c r="H27" s="1"/>
      <c r="I27" s="1"/>
      <c r="J27" s="1"/>
      <c r="L27" s="1" t="s">
        <v>65</v>
      </c>
      <c r="M27" s="1"/>
      <c r="N27" s="24">
        <f>N26 * 60 * D18 / 1000</f>
        <v>51.073809732039834</v>
      </c>
      <c r="O27" s="2" t="s">
        <v>66</v>
      </c>
    </row>
    <row r="28" spans="2:15" x14ac:dyDescent="0.35">
      <c r="B28" s="7" t="s">
        <v>35</v>
      </c>
      <c r="C28" s="8"/>
      <c r="D28" s="22">
        <f xml:space="preserve"> D24 * D25</f>
        <v>22.200000000000003</v>
      </c>
      <c r="E28" s="2" t="s">
        <v>42</v>
      </c>
      <c r="G28" s="1" t="s">
        <v>24</v>
      </c>
      <c r="H28" s="1"/>
      <c r="I28" s="16">
        <v>1</v>
      </c>
      <c r="J28" s="2" t="s">
        <v>4</v>
      </c>
    </row>
    <row r="29" spans="2:15" x14ac:dyDescent="0.35">
      <c r="B29" s="7" t="s">
        <v>34</v>
      </c>
      <c r="C29" s="8"/>
      <c r="D29" s="22">
        <f>D23*D27</f>
        <v>3500</v>
      </c>
      <c r="E29" s="2" t="s">
        <v>41</v>
      </c>
      <c r="G29" s="1" t="s">
        <v>38</v>
      </c>
      <c r="H29" s="1"/>
      <c r="I29" s="16">
        <v>0.03</v>
      </c>
      <c r="J29" s="2" t="s">
        <v>4</v>
      </c>
    </row>
    <row r="30" spans="2:15" x14ac:dyDescent="0.35">
      <c r="B30" s="7" t="s">
        <v>36</v>
      </c>
      <c r="C30" s="8"/>
      <c r="D30" s="22">
        <f>D23/1000 * D25</f>
        <v>21</v>
      </c>
      <c r="E30" s="2" t="s">
        <v>43</v>
      </c>
      <c r="G30" s="1" t="s">
        <v>39</v>
      </c>
      <c r="H30" s="1"/>
      <c r="I30" s="16">
        <v>0.5</v>
      </c>
      <c r="J30" s="2" t="s">
        <v>21</v>
      </c>
    </row>
    <row r="31" spans="2:15" x14ac:dyDescent="0.35">
      <c r="B31" s="7" t="s">
        <v>71</v>
      </c>
      <c r="C31" s="8"/>
      <c r="D31" s="22">
        <f xml:space="preserve"> (D13 * 9.81 * D18 / (D28 * N22)) * 2.5</f>
        <v>2.4423476661414507</v>
      </c>
      <c r="E31" s="2" t="s">
        <v>43</v>
      </c>
      <c r="G31" s="7" t="s">
        <v>27</v>
      </c>
      <c r="H31" s="8"/>
      <c r="I31" s="21">
        <f xml:space="preserve"> I29 * I10</f>
        <v>1.6464000000000001E-3</v>
      </c>
      <c r="J31" s="2" t="s">
        <v>33</v>
      </c>
    </row>
    <row r="32" spans="2:15" x14ac:dyDescent="0.35">
      <c r="G32" s="1" t="s">
        <v>28</v>
      </c>
      <c r="H32" s="1"/>
      <c r="I32" s="23">
        <f xml:space="preserve"> SQRT(I17 * I31)</f>
        <v>7.0279442228862343E-2</v>
      </c>
      <c r="J32" s="2" t="s">
        <v>21</v>
      </c>
    </row>
    <row r="33" spans="7:10" x14ac:dyDescent="0.35">
      <c r="G33" s="1" t="s">
        <v>29</v>
      </c>
      <c r="H33" s="1"/>
      <c r="I33" s="21">
        <f>(4 * I31) / (I32 * (1 + I28))</f>
        <v>4.6852961485908236E-2</v>
      </c>
      <c r="J33" s="2" t="s">
        <v>21</v>
      </c>
    </row>
    <row r="34" spans="7:10" x14ac:dyDescent="0.35">
      <c r="G34" s="1" t="s">
        <v>30</v>
      </c>
      <c r="H34" s="1"/>
      <c r="I34" s="21">
        <f xml:space="preserve"> I33 * I28</f>
        <v>4.6852961485908236E-2</v>
      </c>
      <c r="J34" s="2" t="s">
        <v>21</v>
      </c>
    </row>
    <row r="35" spans="7:10" x14ac:dyDescent="0.35">
      <c r="G35" s="1" t="s">
        <v>31</v>
      </c>
      <c r="H35" s="1"/>
      <c r="I35" s="21">
        <f xml:space="preserve"> I31 / I32</f>
        <v>2.3426480742954118E-2</v>
      </c>
      <c r="J35" s="2" t="s">
        <v>21</v>
      </c>
    </row>
  </sheetData>
  <mergeCells count="77">
    <mergeCell ref="L26:M26"/>
    <mergeCell ref="L27:M27"/>
    <mergeCell ref="B20:C20"/>
    <mergeCell ref="B31:C31"/>
    <mergeCell ref="B2:F2"/>
    <mergeCell ref="D3:D4"/>
    <mergeCell ref="K2:M2"/>
    <mergeCell ref="L20:M20"/>
    <mergeCell ref="L21:M21"/>
    <mergeCell ref="L22:M22"/>
    <mergeCell ref="L23:M23"/>
    <mergeCell ref="L24:M24"/>
    <mergeCell ref="L25:M25"/>
    <mergeCell ref="L9:M9"/>
    <mergeCell ref="L5:M5"/>
    <mergeCell ref="L16:M16"/>
    <mergeCell ref="L17:M17"/>
    <mergeCell ref="L15:M15"/>
    <mergeCell ref="L19:O19"/>
    <mergeCell ref="G34:H34"/>
    <mergeCell ref="G17:H17"/>
    <mergeCell ref="G21:H21"/>
    <mergeCell ref="G35:H35"/>
    <mergeCell ref="L11:M11"/>
    <mergeCell ref="L12:M12"/>
    <mergeCell ref="L13:M13"/>
    <mergeCell ref="L8:M8"/>
    <mergeCell ref="L7:M7"/>
    <mergeCell ref="L6:M6"/>
    <mergeCell ref="G28:H28"/>
    <mergeCell ref="G29:H29"/>
    <mergeCell ref="G31:H31"/>
    <mergeCell ref="G30:H30"/>
    <mergeCell ref="G32:H32"/>
    <mergeCell ref="G33:H33"/>
    <mergeCell ref="B29:C29"/>
    <mergeCell ref="B28:C28"/>
    <mergeCell ref="B30:C30"/>
    <mergeCell ref="G22:H22"/>
    <mergeCell ref="G23:H23"/>
    <mergeCell ref="G24:H24"/>
    <mergeCell ref="G25:H25"/>
    <mergeCell ref="G27:J27"/>
    <mergeCell ref="G14:H14"/>
    <mergeCell ref="B23:C23"/>
    <mergeCell ref="B24:C24"/>
    <mergeCell ref="B25:C25"/>
    <mergeCell ref="B26:C26"/>
    <mergeCell ref="B27:C27"/>
    <mergeCell ref="G16:J16"/>
    <mergeCell ref="G19:H19"/>
    <mergeCell ref="G20:H20"/>
    <mergeCell ref="G18:H18"/>
    <mergeCell ref="B15:E15"/>
    <mergeCell ref="B18:C18"/>
    <mergeCell ref="B19:C19"/>
    <mergeCell ref="G5:J5"/>
    <mergeCell ref="G6:H6"/>
    <mergeCell ref="G7:H7"/>
    <mergeCell ref="G8:H8"/>
    <mergeCell ref="G9:H9"/>
    <mergeCell ref="G10:H10"/>
    <mergeCell ref="G11:H11"/>
    <mergeCell ref="B22:E22"/>
    <mergeCell ref="B8:C8"/>
    <mergeCell ref="B7:C7"/>
    <mergeCell ref="B6:C6"/>
    <mergeCell ref="B9:C9"/>
    <mergeCell ref="B10:C10"/>
    <mergeCell ref="B11:C11"/>
    <mergeCell ref="B17:C17"/>
    <mergeCell ref="B16:C16"/>
    <mergeCell ref="B5:E5"/>
    <mergeCell ref="B12:C12"/>
    <mergeCell ref="B13:C13"/>
    <mergeCell ref="G12:H12"/>
    <mergeCell ref="G13:H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Valérian Grégoire--Bégranger</dc:creator>
  <cp:lastModifiedBy>Valérian Grégoire-bégranger</cp:lastModifiedBy>
  <dcterms:created xsi:type="dcterms:W3CDTF">2015-06-05T18:17:20Z</dcterms:created>
  <dcterms:modified xsi:type="dcterms:W3CDTF">2025-03-17T22:40:00Z</dcterms:modified>
</cp:coreProperties>
</file>