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54AC2D76-C610-44AA-8F4F-B25A93A6CBEB}" xr6:coauthVersionLast="45" xr6:coauthVersionMax="45" xr10:uidLastSave="{00000000-0000-0000-0000-000000000000}"/>
  <bookViews>
    <workbookView xWindow="-120" yWindow="-120" windowWidth="29040" windowHeight="16440" tabRatio="652" firstSheet="4" activeTab="7" xr2:uid="{00000000-000D-0000-FFFF-FFFF00000000}"/>
  </bookViews>
  <sheets>
    <sheet name="Лист1" sheetId="2" r:id="rId1"/>
    <sheet name="Лист2" sheetId="4" r:id="rId2"/>
    <sheet name="Лист3" sheetId="5" r:id="rId3"/>
    <sheet name="Лист4" sheetId="6" r:id="rId4"/>
    <sheet name="Лист5" sheetId="7" r:id="rId5"/>
    <sheet name="Лист6" sheetId="8" r:id="rId6"/>
    <sheet name="Лист7" sheetId="9" r:id="rId7"/>
    <sheet name="Лист8" sheetId="12" r:id="rId8"/>
    <sheet name="РГР" sheetId="10" r:id="rId9"/>
    <sheet name="Лист9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2" l="1"/>
  <c r="M14" i="12"/>
  <c r="O17" i="12"/>
  <c r="O16" i="12"/>
  <c r="B28" i="12" l="1"/>
  <c r="L14" i="12"/>
  <c r="K14" i="12"/>
  <c r="B27" i="12" s="1"/>
  <c r="B29" i="12" s="1"/>
  <c r="B31" i="12" s="1"/>
  <c r="B3" i="12" l="1"/>
  <c r="B4" i="12"/>
  <c r="B5" i="12" s="1"/>
  <c r="H15" i="9" l="1"/>
  <c r="B5" i="9"/>
  <c r="C5" i="9"/>
  <c r="D5" i="9"/>
  <c r="E5" i="9"/>
  <c r="A5" i="9"/>
  <c r="F6" i="9"/>
  <c r="D7" i="9" s="1"/>
  <c r="B24" i="11"/>
  <c r="D9" i="11"/>
  <c r="A5" i="11"/>
  <c r="B5" i="11"/>
  <c r="C5" i="11"/>
  <c r="D5" i="11"/>
  <c r="E5" i="11"/>
  <c r="F5" i="11"/>
  <c r="G5" i="11"/>
  <c r="H4" i="11"/>
  <c r="A9" i="11" s="1"/>
  <c r="B3" i="11"/>
  <c r="C3" i="11"/>
  <c r="D3" i="11"/>
  <c r="E3" i="11"/>
  <c r="F3" i="11"/>
  <c r="G3" i="11"/>
  <c r="A3" i="11"/>
  <c r="B20" i="11" s="1"/>
  <c r="F1" i="7"/>
  <c r="G9" i="11" l="1"/>
  <c r="C9" i="11"/>
  <c r="F9" i="11"/>
  <c r="B9" i="11"/>
  <c r="E9" i="11"/>
  <c r="H11" i="9"/>
  <c r="C7" i="9"/>
  <c r="A7" i="9"/>
  <c r="B7" i="9"/>
  <c r="E7" i="9"/>
  <c r="H10" i="9"/>
  <c r="B19" i="11"/>
  <c r="H9" i="11" l="1"/>
  <c r="F7" i="9"/>
  <c r="H12" i="9"/>
  <c r="H13" i="9" s="1"/>
  <c r="B21" i="11"/>
  <c r="B22" i="11" s="1"/>
  <c r="G8" i="11" s="1"/>
  <c r="G11" i="11" s="1"/>
  <c r="F8" i="11" l="1"/>
  <c r="F11" i="11" s="1"/>
  <c r="D8" i="11"/>
  <c r="D11" i="11" s="1"/>
  <c r="B8" i="11"/>
  <c r="B11" i="11" s="1"/>
  <c r="A8" i="11"/>
  <c r="A11" i="11" s="1"/>
  <c r="E8" i="11"/>
  <c r="E11" i="11" s="1"/>
  <c r="C8" i="11"/>
  <c r="C11" i="11" s="1"/>
  <c r="A8" i="9"/>
  <c r="A10" i="9" s="1"/>
  <c r="E8" i="9"/>
  <c r="E10" i="9" s="1"/>
  <c r="B8" i="9"/>
  <c r="B10" i="9" s="1"/>
  <c r="C8" i="9"/>
  <c r="C10" i="9" s="1"/>
  <c r="D8" i="9"/>
  <c r="D10" i="9" s="1"/>
  <c r="B23" i="11" l="1"/>
  <c r="H14" i="9"/>
  <c r="C4" i="10"/>
  <c r="D4" i="10"/>
  <c r="E4" i="10"/>
  <c r="F4" i="10"/>
  <c r="B4" i="10"/>
  <c r="C3" i="10"/>
  <c r="D3" i="10"/>
  <c r="E3" i="10"/>
  <c r="F3" i="10"/>
  <c r="B3" i="10"/>
  <c r="I6" i="10" l="1"/>
  <c r="I2" i="10"/>
  <c r="I3" i="10" s="1"/>
  <c r="C5" i="10" s="1"/>
  <c r="I1" i="10"/>
  <c r="I7" i="10"/>
  <c r="I8" i="10" s="1"/>
  <c r="F5" i="10" l="1"/>
  <c r="D5" i="10"/>
  <c r="E5" i="10"/>
  <c r="E6" i="10"/>
  <c r="F6" i="10"/>
  <c r="C6" i="10"/>
  <c r="B6" i="10"/>
  <c r="D6" i="10"/>
  <c r="B5" i="10"/>
  <c r="P12" i="8"/>
  <c r="M11" i="8"/>
  <c r="K12" i="8"/>
  <c r="K11" i="8"/>
  <c r="I12" i="8"/>
  <c r="I11" i="8"/>
  <c r="O7" i="8"/>
  <c r="L7" i="8"/>
  <c r="L6" i="8"/>
  <c r="J7" i="8"/>
  <c r="J8" i="8" s="1"/>
  <c r="J6" i="8"/>
  <c r="M2" i="8"/>
  <c r="J2" i="8"/>
  <c r="J1" i="8"/>
  <c r="I9" i="10" l="1"/>
  <c r="I4" i="10"/>
  <c r="L8" i="8"/>
  <c r="I13" i="8"/>
  <c r="I14" i="8" s="1"/>
  <c r="J3" i="8"/>
  <c r="M1" i="8" s="1"/>
  <c r="O6" i="8"/>
  <c r="K13" i="8"/>
  <c r="K14" i="8" s="1"/>
  <c r="M12" i="8" l="1"/>
  <c r="P11" i="8" s="1"/>
  <c r="L9" i="7"/>
  <c r="G9" i="7"/>
  <c r="D3" i="7"/>
  <c r="D2" i="7"/>
  <c r="G8" i="7" l="1"/>
  <c r="L8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1" i="7"/>
  <c r="F2" i="7" l="1"/>
  <c r="F3" i="7" s="1"/>
  <c r="F5" i="7" s="1"/>
  <c r="E16" i="7" l="1"/>
  <c r="G16" i="7" s="1"/>
  <c r="E15" i="7"/>
  <c r="G15" i="7" s="1"/>
  <c r="F6" i="7"/>
  <c r="F4" i="7"/>
  <c r="L11" i="7" l="1"/>
  <c r="G11" i="7"/>
  <c r="L10" i="7"/>
  <c r="G10" i="7"/>
  <c r="J11" i="7"/>
  <c r="J10" i="7"/>
  <c r="E11" i="7"/>
  <c r="E10" i="7"/>
  <c r="F19" i="6" l="1"/>
  <c r="F15" i="6"/>
  <c r="F11" i="6"/>
  <c r="C6" i="6"/>
  <c r="D6" i="6"/>
  <c r="E6" i="6"/>
  <c r="F6" i="6"/>
  <c r="B6" i="6"/>
  <c r="C5" i="6"/>
  <c r="D5" i="6"/>
  <c r="E5" i="6"/>
  <c r="F5" i="6"/>
  <c r="B5" i="6"/>
  <c r="C4" i="6"/>
  <c r="D4" i="6"/>
  <c r="E4" i="6"/>
  <c r="F4" i="6"/>
  <c r="B4" i="6"/>
  <c r="B6" i="5"/>
  <c r="D6" i="5" s="1"/>
  <c r="B7" i="5"/>
  <c r="D20" i="5" s="1"/>
  <c r="B11" i="5"/>
  <c r="E6" i="5" s="1"/>
  <c r="B13" i="5"/>
  <c r="G7" i="5" s="1"/>
  <c r="B12" i="5"/>
  <c r="F18" i="5" s="1"/>
  <c r="B13" i="6" l="1"/>
  <c r="D15" i="6" s="1"/>
  <c r="B14" i="6"/>
  <c r="D22" i="6" s="1"/>
  <c r="B16" i="6"/>
  <c r="G10" i="6" s="1"/>
  <c r="B15" i="6"/>
  <c r="D13" i="6" s="1"/>
  <c r="F6" i="5"/>
  <c r="G6" i="5"/>
  <c r="B11" i="6"/>
  <c r="B12" i="6"/>
  <c r="B9" i="6"/>
  <c r="B10" i="6"/>
  <c r="E14" i="5"/>
  <c r="E15" i="5"/>
  <c r="D19" i="5"/>
  <c r="E10" i="5"/>
  <c r="D15" i="5"/>
  <c r="E18" i="5"/>
  <c r="F19" i="5"/>
  <c r="D7" i="5"/>
  <c r="F10" i="5"/>
  <c r="D16" i="5"/>
  <c r="D11" i="5"/>
  <c r="D10" i="5"/>
  <c r="D8" i="5"/>
  <c r="F14" i="5"/>
  <c r="E17" i="6" l="1"/>
  <c r="E13" i="6"/>
  <c r="D14" i="6"/>
  <c r="G11" i="6"/>
  <c r="F23" i="6"/>
  <c r="E19" i="6"/>
  <c r="D10" i="6"/>
  <c r="E21" i="6"/>
  <c r="F21" i="6"/>
  <c r="D18" i="6"/>
  <c r="G9" i="6"/>
  <c r="E9" i="6"/>
  <c r="F22" i="6"/>
  <c r="E18" i="6"/>
  <c r="E10" i="6"/>
  <c r="E22" i="6"/>
  <c r="E14" i="6"/>
  <c r="D9" i="6"/>
  <c r="D21" i="6"/>
  <c r="D17" i="6"/>
  <c r="F13" i="6"/>
  <c r="D23" i="6"/>
  <c r="F17" i="6"/>
  <c r="F9" i="6"/>
  <c r="D11" i="6"/>
  <c r="D19" i="6"/>
  <c r="E23" i="6"/>
  <c r="F18" i="6"/>
  <c r="E15" i="6"/>
  <c r="F10" i="6"/>
  <c r="F14" i="6"/>
  <c r="E11" i="6"/>
  <c r="B10" i="5"/>
  <c r="B9" i="5"/>
  <c r="B8" i="5"/>
  <c r="B19" i="6" l="1"/>
  <c r="B18" i="6"/>
  <c r="B20" i="6"/>
  <c r="B21" i="6"/>
  <c r="D18" i="5"/>
  <c r="D14" i="5"/>
  <c r="E11" i="5"/>
  <c r="E7" i="5"/>
  <c r="E19" i="5"/>
  <c r="F15" i="5"/>
  <c r="E12" i="5"/>
  <c r="E8" i="5"/>
  <c r="F11" i="5"/>
  <c r="F7" i="5"/>
  <c r="E20" i="5"/>
  <c r="D12" i="5"/>
  <c r="F20" i="5"/>
  <c r="E16" i="5"/>
  <c r="G8" i="5"/>
  <c r="B5" i="4"/>
  <c r="C5" i="4"/>
  <c r="D5" i="4"/>
  <c r="E5" i="4"/>
  <c r="F5" i="4"/>
  <c r="C6" i="4"/>
  <c r="D6" i="4"/>
  <c r="E6" i="4"/>
  <c r="F6" i="4"/>
  <c r="B6" i="4"/>
  <c r="B8" i="4" l="1"/>
  <c r="H5" i="6"/>
  <c r="J5" i="6"/>
  <c r="K5" i="6" s="1"/>
  <c r="I5" i="6"/>
  <c r="B18" i="5"/>
  <c r="B16" i="5"/>
  <c r="B15" i="5"/>
  <c r="B17" i="5"/>
  <c r="B9" i="4"/>
  <c r="D3" i="4" s="1"/>
  <c r="C9" i="4"/>
  <c r="C8" i="4"/>
  <c r="F7" i="6" l="1"/>
  <c r="D7" i="6"/>
  <c r="B7" i="6"/>
  <c r="C7" i="6"/>
  <c r="E7" i="6"/>
  <c r="I2" i="5"/>
  <c r="H2" i="5"/>
  <c r="J2" i="5"/>
  <c r="B3" i="4"/>
  <c r="F3" i="4"/>
  <c r="C3" i="4"/>
  <c r="E3" i="4"/>
  <c r="B4" i="4"/>
  <c r="C4" i="4"/>
  <c r="D4" i="4"/>
  <c r="E4" i="4"/>
  <c r="F4" i="4"/>
  <c r="H2" i="6" l="1"/>
  <c r="D4" i="5"/>
  <c r="F4" i="5"/>
  <c r="C4" i="5"/>
  <c r="E4" i="5"/>
  <c r="B4" i="5"/>
  <c r="B10" i="4"/>
  <c r="C10" i="4"/>
  <c r="I18" i="2"/>
  <c r="I14" i="2"/>
  <c r="E14" i="2"/>
  <c r="I22" i="2" s="1"/>
  <c r="C14" i="2"/>
  <c r="H14" i="2" s="1"/>
  <c r="D13" i="2"/>
  <c r="I17" i="2" s="1"/>
  <c r="F9" i="2"/>
  <c r="E9" i="2"/>
  <c r="D9" i="2"/>
  <c r="C9" i="2"/>
  <c r="B9" i="2"/>
  <c r="F7" i="2"/>
  <c r="F8" i="2" s="1"/>
  <c r="E7" i="2"/>
  <c r="E8" i="2" s="1"/>
  <c r="D7" i="2"/>
  <c r="D8" i="2" s="1"/>
  <c r="C7" i="2"/>
  <c r="C8" i="2" s="1"/>
  <c r="B7" i="2"/>
  <c r="F6" i="2"/>
  <c r="E6" i="2"/>
  <c r="D6" i="2"/>
  <c r="C6" i="2"/>
  <c r="B6" i="2"/>
  <c r="F5" i="2"/>
  <c r="E5" i="2"/>
  <c r="D5" i="2"/>
  <c r="C5" i="2"/>
  <c r="B5" i="2"/>
  <c r="I2" i="2"/>
  <c r="H2" i="2"/>
  <c r="C3" i="2" s="1"/>
  <c r="C4" i="2" s="1"/>
  <c r="D3" i="2" l="1"/>
  <c r="D4" i="2" s="1"/>
  <c r="L2" i="5"/>
  <c r="B12" i="2"/>
  <c r="G20" i="2" s="1"/>
  <c r="B13" i="2"/>
  <c r="G21" i="2" s="1"/>
  <c r="E13" i="2"/>
  <c r="I21" i="2" s="1"/>
  <c r="B14" i="2"/>
  <c r="G22" i="2" s="1"/>
  <c r="E3" i="2"/>
  <c r="E4" i="2" s="1"/>
  <c r="H22" i="2"/>
  <c r="C13" i="2"/>
  <c r="B3" i="2"/>
  <c r="B4" i="2" s="1"/>
  <c r="F3" i="2"/>
  <c r="F4" i="2" s="1"/>
  <c r="C12" i="2"/>
  <c r="H12" i="2" s="1"/>
  <c r="I13" i="2"/>
  <c r="G14" i="2"/>
  <c r="H18" i="2"/>
  <c r="B8" i="2"/>
  <c r="E12" i="2" s="1"/>
  <c r="D12" i="2"/>
  <c r="K2" i="2" l="1"/>
  <c r="G16" i="2"/>
  <c r="G13" i="2"/>
  <c r="B17" i="2"/>
  <c r="G17" i="2"/>
  <c r="H17" i="2"/>
  <c r="G18" i="2"/>
  <c r="I16" i="2"/>
  <c r="I12" i="2"/>
  <c r="H21" i="2"/>
  <c r="H13" i="2"/>
  <c r="H20" i="2"/>
  <c r="I20" i="2"/>
  <c r="H16" i="2"/>
  <c r="B19" i="2" s="1"/>
  <c r="B23" i="2" s="1"/>
  <c r="G12" i="2"/>
  <c r="B20" i="2" l="1"/>
  <c r="C23" i="2" s="1"/>
  <c r="B18" i="2"/>
  <c r="A23" i="2" s="1"/>
  <c r="D26" i="2" l="1"/>
  <c r="D27" i="2" s="1"/>
  <c r="C26" i="2"/>
  <c r="C27" i="2" s="1"/>
  <c r="E26" i="2"/>
  <c r="E27" i="2" s="1"/>
  <c r="F26" i="2"/>
  <c r="F27" i="2" s="1"/>
  <c r="B26" i="2"/>
  <c r="B27" i="2" s="1"/>
  <c r="K27" i="2" l="1"/>
</calcChain>
</file>

<file path=xl/sharedStrings.xml><?xml version="1.0" encoding="utf-8"?>
<sst xmlns="http://schemas.openxmlformats.org/spreadsheetml/2006/main" count="256" uniqueCount="151">
  <si>
    <t>X</t>
  </si>
  <si>
    <t>Y</t>
  </si>
  <si>
    <t>L</t>
  </si>
  <si>
    <t>Q</t>
  </si>
  <si>
    <t>a</t>
  </si>
  <si>
    <t>b</t>
  </si>
  <si>
    <t>d</t>
  </si>
  <si>
    <t>(Y-L)^2</t>
  </si>
  <si>
    <t>X^4</t>
  </si>
  <si>
    <t>X^3</t>
  </si>
  <si>
    <t>X^2</t>
  </si>
  <si>
    <t>X^2*Y</t>
  </si>
  <si>
    <t>X*Y</t>
  </si>
  <si>
    <t>∆</t>
  </si>
  <si>
    <t>∆1</t>
  </si>
  <si>
    <t>∆2</t>
  </si>
  <si>
    <t>∆3</t>
  </si>
  <si>
    <t>c</t>
  </si>
  <si>
    <t>d2</t>
  </si>
  <si>
    <t>(Y-Q)^2</t>
  </si>
  <si>
    <t>x</t>
  </si>
  <si>
    <t>y</t>
  </si>
  <si>
    <t>R</t>
  </si>
  <si>
    <t>G</t>
  </si>
  <si>
    <t>X`=(1/x)</t>
  </si>
  <si>
    <t>X`=(LN(X))</t>
  </si>
  <si>
    <t>y = 3,97/x+1,62</t>
  </si>
  <si>
    <t>y=-0,46LN(x)+3,07</t>
  </si>
  <si>
    <t>Z</t>
  </si>
  <si>
    <t>Y^2</t>
  </si>
  <si>
    <t>XY</t>
  </si>
  <si>
    <t>XZ</t>
  </si>
  <si>
    <t>YZ</t>
  </si>
  <si>
    <t>F</t>
  </si>
  <si>
    <t>X~</t>
  </si>
  <si>
    <t>Y~</t>
  </si>
  <si>
    <t>Z~</t>
  </si>
  <si>
    <t>~X^2</t>
  </si>
  <si>
    <t>~X</t>
  </si>
  <si>
    <t>~Y</t>
  </si>
  <si>
    <t>~Z</t>
  </si>
  <si>
    <t>~XY</t>
  </si>
  <si>
    <t>~XZ</t>
  </si>
  <si>
    <t>~YZ</t>
  </si>
  <si>
    <t>~K</t>
  </si>
  <si>
    <t>K</t>
  </si>
  <si>
    <t>Z=-11,82*X^-1,17+Y^1,6</t>
  </si>
  <si>
    <t>M*[x]=</t>
  </si>
  <si>
    <t>M*[X^2]=</t>
  </si>
  <si>
    <t>D*[X]=</t>
  </si>
  <si>
    <t>б*[x]=</t>
  </si>
  <si>
    <t>s^2=</t>
  </si>
  <si>
    <t>s=</t>
  </si>
  <si>
    <t>n=</t>
  </si>
  <si>
    <t>p=</t>
  </si>
  <si>
    <t>tp=</t>
  </si>
  <si>
    <t>M[X]=</t>
  </si>
  <si>
    <t>D[x]</t>
  </si>
  <si>
    <t>M[X]</t>
  </si>
  <si>
    <t>y1=</t>
  </si>
  <si>
    <t>y2=</t>
  </si>
  <si>
    <t>б[x]</t>
  </si>
  <si>
    <t>№1</t>
  </si>
  <si>
    <t>Прирост</t>
  </si>
  <si>
    <t>M*[X]</t>
  </si>
  <si>
    <t>M*[X^2]</t>
  </si>
  <si>
    <t>D*[X]</t>
  </si>
  <si>
    <t>Если ∆*&gt; d , то гипотеза отвергается.</t>
  </si>
  <si>
    <t>Если ∆*≤ d , то нет оснований отвергнуть гипотезу.</t>
  </si>
  <si>
    <t>№2</t>
  </si>
  <si>
    <t>Рф</t>
  </si>
  <si>
    <t>-</t>
  </si>
  <si>
    <t>n1</t>
  </si>
  <si>
    <t>n2</t>
  </si>
  <si>
    <t>M*[Y^2]</t>
  </si>
  <si>
    <t>M*[Y]</t>
  </si>
  <si>
    <t>№3</t>
  </si>
  <si>
    <t>n</t>
  </si>
  <si>
    <t>D*[Y]</t>
  </si>
  <si>
    <t>M*[XY]</t>
  </si>
  <si>
    <t>б*[X]</t>
  </si>
  <si>
    <t>б*[Y]</t>
  </si>
  <si>
    <t>r*xy</t>
  </si>
  <si>
    <t>монголия</t>
  </si>
  <si>
    <t>гип не отвергается</t>
  </si>
  <si>
    <t>гип  отвергается</t>
  </si>
  <si>
    <t>LN(x)</t>
  </si>
  <si>
    <t>LN(y)</t>
  </si>
  <si>
    <t>d1</t>
  </si>
  <si>
    <t>b*</t>
  </si>
  <si>
    <t>y1</t>
  </si>
  <si>
    <t>y2</t>
  </si>
  <si>
    <t>d1&lt;d2 =&gt; экспоненциальная зависимость точнее соответствует ЭД</t>
  </si>
  <si>
    <t>r=</t>
  </si>
  <si>
    <t>p*i</t>
  </si>
  <si>
    <t>24-28</t>
  </si>
  <si>
    <t>28-32</t>
  </si>
  <si>
    <t>32-36</t>
  </si>
  <si>
    <t>36-40</t>
  </si>
  <si>
    <t>40-44</t>
  </si>
  <si>
    <t>44-48</t>
  </si>
  <si>
    <t>48-52</t>
  </si>
  <si>
    <t>интервал</t>
  </si>
  <si>
    <t>середина</t>
  </si>
  <si>
    <t>середина в кв</t>
  </si>
  <si>
    <t>кол-во</t>
  </si>
  <si>
    <t>середина на кол-во</t>
  </si>
  <si>
    <t>прав гаринца</t>
  </si>
  <si>
    <t>лев граница</t>
  </si>
  <si>
    <t>pi</t>
  </si>
  <si>
    <t>∆*</t>
  </si>
  <si>
    <t>– нет оснований отвергнуть гипотезу.</t>
  </si>
  <si>
    <t>d&gt;∆*</t>
  </si>
  <si>
    <t>л</t>
  </si>
  <si>
    <t>п</t>
  </si>
  <si>
    <t>с</t>
  </si>
  <si>
    <t>с кв</t>
  </si>
  <si>
    <t>[4-6)</t>
  </si>
  <si>
    <t>[6-8)</t>
  </si>
  <si>
    <t>[8-10)</t>
  </si>
  <si>
    <t>[10-12)</t>
  </si>
  <si>
    <t>[12-14)</t>
  </si>
  <si>
    <t>∆* &gt; d</t>
  </si>
  <si>
    <t>– гипотеза  отвергается.</t>
  </si>
  <si>
    <t>Спортивность</t>
  </si>
  <si>
    <t>p</t>
  </si>
  <si>
    <t>△*</t>
  </si>
  <si>
    <t>E</t>
  </si>
  <si>
    <t>+</t>
  </si>
  <si>
    <t>ВГТУ</t>
  </si>
  <si>
    <t>ВГИТА</t>
  </si>
  <si>
    <t>e</t>
  </si>
  <si>
    <t>ранги</t>
  </si>
  <si>
    <t>СРЗНАЧ</t>
  </si>
  <si>
    <t>оценка</t>
  </si>
  <si>
    <t>кол-во в 1</t>
  </si>
  <si>
    <t>кол-во во 2</t>
  </si>
  <si>
    <t>Tx</t>
  </si>
  <si>
    <t>Ty</t>
  </si>
  <si>
    <t>T</t>
  </si>
  <si>
    <t>U</t>
  </si>
  <si>
    <t>СГ о различиях средних отвергается</t>
  </si>
  <si>
    <t>ставим плюс, если верхнее число больше, и минус, если оно меньше.</t>
  </si>
  <si>
    <t>типичные сдвиги</t>
  </si>
  <si>
    <t>нетипичне сдвиги</t>
  </si>
  <si>
    <t>2 вар</t>
  </si>
  <si>
    <t>Интеллект</t>
  </si>
  <si>
    <t>∆* &lt; d</t>
  </si>
  <si>
    <t>– гипотеза не отвергается.</t>
  </si>
  <si>
    <t>Если G ≥ d , то средние считаем равными.
Если G &lt; d , то средние считаем неравными (отличаются значимо).</t>
  </si>
  <si>
    <t>Если U &gt; d , то СГ о различиях средних отвергается, то есть выборки в среднем одинаковы.
Если U ≤ d, то нет оснований отвергнуть СГ о различиях средних.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</si>
</sst>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Fill="1" applyBorder="1"/>
    <xf numFmtId="0" fontId="2" fillId="2" borderId="14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6" xfId="0" applyFont="1" applyBorder="1"/>
    <xf numFmtId="0" fontId="2" fillId="0" borderId="7" xfId="0" applyFont="1" applyFill="1" applyBorder="1"/>
    <xf numFmtId="0" fontId="2" fillId="0" borderId="0" xfId="0" applyFont="1" applyBorder="1"/>
    <xf numFmtId="0" fontId="2" fillId="0" borderId="14" xfId="0" applyFont="1" applyBorder="1"/>
    <xf numFmtId="0" fontId="2" fillId="0" borderId="0" xfId="0" applyFont="1" applyFill="1"/>
    <xf numFmtId="0" fontId="2" fillId="0" borderId="15" xfId="0" applyFont="1" applyBorder="1"/>
    <xf numFmtId="0" fontId="3" fillId="2" borderId="2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2" fillId="0" borderId="5" xfId="0" applyFont="1" applyFill="1" applyBorder="1"/>
    <xf numFmtId="0" fontId="2" fillId="0" borderId="2" xfId="0" applyFont="1" applyFill="1" applyBorder="1"/>
    <xf numFmtId="0" fontId="2" fillId="2" borderId="0" xfId="0" applyFont="1" applyFill="1" applyBorder="1"/>
    <xf numFmtId="0" fontId="2" fillId="0" borderId="11" xfId="0" applyFont="1" applyFill="1" applyBorder="1"/>
    <xf numFmtId="0" fontId="2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4" fillId="0" borderId="0" xfId="0" applyFont="1"/>
    <xf numFmtId="0" fontId="4" fillId="0" borderId="0" xfId="0" applyFont="1" applyBorder="1"/>
    <xf numFmtId="0" fontId="4" fillId="0" borderId="20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22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0" fontId="4" fillId="0" borderId="24" xfId="0" applyFont="1" applyBorder="1" applyAlignment="1">
      <alignment horizontal="left"/>
    </xf>
    <xf numFmtId="0" fontId="4" fillId="0" borderId="20" xfId="0" applyFont="1" applyBorder="1" applyAlignment="1">
      <alignment horizontal="right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0" xfId="0" applyFont="1" applyBorder="1" applyAlignment="1">
      <alignment horizontal="right"/>
    </xf>
    <xf numFmtId="0" fontId="4" fillId="0" borderId="25" xfId="0" applyFont="1" applyBorder="1" applyAlignment="1">
      <alignment horizontal="left"/>
    </xf>
    <xf numFmtId="0" fontId="4" fillId="0" borderId="29" xfId="0" applyFont="1" applyBorder="1" applyAlignment="1">
      <alignment horizontal="right"/>
    </xf>
    <xf numFmtId="0" fontId="4" fillId="4" borderId="24" xfId="0" applyFont="1" applyFill="1" applyBorder="1"/>
    <xf numFmtId="0" fontId="4" fillId="4" borderId="26" xfId="0" applyFont="1" applyFill="1" applyBorder="1"/>
    <xf numFmtId="0" fontId="4" fillId="4" borderId="0" xfId="0" applyFont="1" applyFill="1" applyBorder="1"/>
    <xf numFmtId="0" fontId="4" fillId="4" borderId="30" xfId="0" applyFont="1" applyFill="1" applyBorder="1"/>
    <xf numFmtId="0" fontId="4" fillId="4" borderId="20" xfId="0" applyFont="1" applyFill="1" applyBorder="1" applyAlignment="1">
      <alignment horizontal="right"/>
    </xf>
    <xf numFmtId="0" fontId="0" fillId="0" borderId="0" xfId="0" applyBorder="1"/>
    <xf numFmtId="0" fontId="4" fillId="0" borderId="4" xfId="0" applyFont="1" applyBorder="1"/>
    <xf numFmtId="0" fontId="4" fillId="0" borderId="32" xfId="0" applyFont="1" applyBorder="1"/>
    <xf numFmtId="0" fontId="4" fillId="0" borderId="8" xfId="0" applyFont="1" applyBorder="1"/>
    <xf numFmtId="0" fontId="4" fillId="0" borderId="3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34" xfId="0" applyFont="1" applyBorder="1"/>
    <xf numFmtId="0" fontId="4" fillId="0" borderId="3" xfId="0" applyFont="1" applyBorder="1"/>
    <xf numFmtId="0" fontId="4" fillId="0" borderId="7" xfId="0" applyFont="1" applyBorder="1" applyAlignment="1">
      <alignment wrapText="1"/>
    </xf>
    <xf numFmtId="0" fontId="4" fillId="0" borderId="23" xfId="0" applyFont="1" applyBorder="1"/>
    <xf numFmtId="0" fontId="4" fillId="0" borderId="35" xfId="0" applyFont="1" applyBorder="1" applyAlignment="1">
      <alignment horizontal="left"/>
    </xf>
    <xf numFmtId="0" fontId="4" fillId="0" borderId="36" xfId="0" applyFont="1" applyBorder="1"/>
    <xf numFmtId="0" fontId="4" fillId="0" borderId="37" xfId="0" applyFont="1" applyBorder="1"/>
    <xf numFmtId="0" fontId="4" fillId="0" borderId="7" xfId="0" applyFont="1" applyFill="1" applyBorder="1"/>
    <xf numFmtId="0" fontId="4" fillId="0" borderId="22" xfId="0" applyFont="1" applyBorder="1"/>
    <xf numFmtId="0" fontId="4" fillId="0" borderId="38" xfId="0" applyFont="1" applyBorder="1"/>
    <xf numFmtId="2" fontId="4" fillId="0" borderId="3" xfId="0" applyNumberFormat="1" applyFont="1" applyBorder="1"/>
    <xf numFmtId="2" fontId="4" fillId="0" borderId="4" xfId="0" applyNumberFormat="1" applyFont="1" applyBorder="1"/>
    <xf numFmtId="2" fontId="4" fillId="0" borderId="8" xfId="0" applyNumberFormat="1" applyFont="1" applyBorder="1"/>
    <xf numFmtId="2" fontId="4" fillId="0" borderId="9" xfId="0" applyNumberFormat="1" applyFont="1" applyBorder="1"/>
    <xf numFmtId="2" fontId="0" fillId="0" borderId="0" xfId="0" applyNumberFormat="1"/>
    <xf numFmtId="0" fontId="0" fillId="0" borderId="1" xfId="0" applyFill="1" applyBorder="1"/>
    <xf numFmtId="166" fontId="0" fillId="0" borderId="0" xfId="0" applyNumberFormat="1"/>
    <xf numFmtId="0" fontId="0" fillId="0" borderId="0" xfId="0" applyFill="1" applyBorder="1"/>
    <xf numFmtId="0" fontId="4" fillId="0" borderId="5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165" fontId="0" fillId="0" borderId="0" xfId="0" applyNumberFormat="1" applyBorder="1"/>
    <xf numFmtId="0" fontId="4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4" fillId="0" borderId="19" xfId="0" applyFont="1" applyBorder="1"/>
    <xf numFmtId="0" fontId="4" fillId="0" borderId="40" xfId="0" applyFont="1" applyBorder="1"/>
    <xf numFmtId="0" fontId="4" fillId="0" borderId="41" xfId="0" applyFont="1" applyFill="1" applyBorder="1"/>
    <xf numFmtId="0" fontId="4" fillId="0" borderId="1" xfId="0" applyFont="1" applyBorder="1"/>
    <xf numFmtId="0" fontId="4" fillId="0" borderId="6" xfId="0" applyFont="1" applyFill="1" applyBorder="1"/>
    <xf numFmtId="0" fontId="4" fillId="0" borderId="9" xfId="0" applyFont="1" applyFill="1" applyBorder="1"/>
    <xf numFmtId="0" fontId="4" fillId="0" borderId="17" xfId="0" applyFont="1" applyBorder="1"/>
    <xf numFmtId="0" fontId="4" fillId="0" borderId="18" xfId="0" applyFon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23" xfId="0" applyBorder="1"/>
    <xf numFmtId="0" fontId="0" fillId="0" borderId="24" xfId="0" applyBorder="1"/>
    <xf numFmtId="0" fontId="4" fillId="0" borderId="0" xfId="0" applyFont="1" applyAlignment="1"/>
    <xf numFmtId="2" fontId="4" fillId="0" borderId="2" xfId="0" applyNumberFormat="1" applyFont="1" applyBorder="1" applyAlignment="1"/>
    <xf numFmtId="2" fontId="4" fillId="0" borderId="3" xfId="0" applyNumberFormat="1" applyFont="1" applyBorder="1" applyAlignment="1"/>
    <xf numFmtId="2" fontId="0" fillId="0" borderId="3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9" xfId="0" applyNumberFormat="1" applyFill="1" applyBorder="1"/>
    <xf numFmtId="0" fontId="0" fillId="5" borderId="8" xfId="0" applyFill="1" applyBorder="1"/>
    <xf numFmtId="0" fontId="0" fillId="0" borderId="0" xfId="0" applyAlignment="1"/>
    <xf numFmtId="2" fontId="0" fillId="0" borderId="39" xfId="0" applyNumberFormat="1" applyBorder="1"/>
    <xf numFmtId="2" fontId="0" fillId="0" borderId="40" xfId="0" applyNumberFormat="1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2" fontId="0" fillId="6" borderId="3" xfId="0" applyNumberFormat="1" applyFill="1" applyBorder="1"/>
    <xf numFmtId="2" fontId="0" fillId="6" borderId="8" xfId="0" applyNumberFormat="1" applyFill="1" applyBorder="1"/>
    <xf numFmtId="0" fontId="0" fillId="6" borderId="9" xfId="0" applyFill="1" applyBorder="1"/>
    <xf numFmtId="0" fontId="0" fillId="4" borderId="7" xfId="0" applyFill="1" applyBorder="1"/>
    <xf numFmtId="0" fontId="0" fillId="4" borderId="8" xfId="0" applyFill="1" applyBorder="1"/>
    <xf numFmtId="0" fontId="0" fillId="6" borderId="8" xfId="0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0" xfId="0" applyNumberFormat="1" applyBorder="1" applyAlignment="1">
      <alignment horizontal="center" wrapText="1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Лист1!$B$2:$F$2</c:f>
              <c:numCache>
                <c:formatCode>0.00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2-4128-B01E-0BB657503580}"/>
            </c:ext>
          </c:extLst>
        </c:ser>
        <c:ser>
          <c:idx val="1"/>
          <c:order val="1"/>
          <c:tx>
            <c:v>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Лист1!$B$3:$F$3</c:f>
              <c:numCache>
                <c:formatCode>General</c:formatCode>
                <c:ptCount val="5"/>
                <c:pt idx="0">
                  <c:v>2.8000000000000003</c:v>
                </c:pt>
                <c:pt idx="1">
                  <c:v>2.6</c:v>
                </c:pt>
                <c:pt idx="2">
                  <c:v>2.4000000000000004</c:v>
                </c:pt>
                <c:pt idx="3">
                  <c:v>2.2000000000000002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2-4128-B01E-0BB65750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366159"/>
        <c:axId val="1939374479"/>
      </c:lineChart>
      <c:catAx>
        <c:axId val="193936615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374479"/>
        <c:crosses val="autoZero"/>
        <c:auto val="1"/>
        <c:lblAlgn val="ctr"/>
        <c:lblOffset val="100"/>
        <c:noMultiLvlLbl val="0"/>
      </c:catAx>
      <c:valAx>
        <c:axId val="19393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36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Лист1!$B$2:$F$2</c:f>
              <c:numCache>
                <c:formatCode>0.00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E-42F8-A711-CB1909B21896}"/>
            </c:ext>
          </c:extLst>
        </c:ser>
        <c:ser>
          <c:idx val="1"/>
          <c:order val="1"/>
          <c:tx>
            <c:v>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Лист1!$B$26:$F$26</c:f>
              <c:numCache>
                <c:formatCode>General</c:formatCode>
                <c:ptCount val="5"/>
                <c:pt idx="0">
                  <c:v>3.942857142857223</c:v>
                </c:pt>
                <c:pt idx="1">
                  <c:v>2.0285714285714072</c:v>
                </c:pt>
                <c:pt idx="2">
                  <c:v>1.2571428571428012</c:v>
                </c:pt>
                <c:pt idx="3">
                  <c:v>1.628571428571405</c:v>
                </c:pt>
                <c:pt idx="4">
                  <c:v>3.1428571428572205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E-42F8-A711-CB1909B2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13839"/>
        <c:axId val="2047014255"/>
      </c:lineChart>
      <c:catAx>
        <c:axId val="204701383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014255"/>
        <c:crosses val="autoZero"/>
        <c:auto val="1"/>
        <c:lblAlgn val="ctr"/>
        <c:lblOffset val="100"/>
        <c:noMultiLvlLbl val="0"/>
      </c:catAx>
      <c:valAx>
        <c:axId val="20470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0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Входные значения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Лист2!$B$1:$F$1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Лист2!$B$2:$F$2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2.1</c:v>
                </c:pt>
                <c:pt idx="2">
                  <c:v>2.0699999999999998</c:v>
                </c:pt>
                <c:pt idx="3">
                  <c:v>2.0299999999999998</c:v>
                </c:pt>
                <c:pt idx="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C-4623-80EA-1DA92838B23D}"/>
            </c:ext>
          </c:extLst>
        </c:ser>
        <c:ser>
          <c:idx val="1"/>
          <c:order val="1"/>
          <c:tx>
            <c:v>обратнопропорциональная функция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Лист2!$B$1:$F$1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Лист2!$B$3:$F$3</c:f>
              <c:numCache>
                <c:formatCode>General</c:formatCode>
                <c:ptCount val="5"/>
                <c:pt idx="0">
                  <c:v>2.1907629555439692</c:v>
                </c:pt>
                <c:pt idx="1">
                  <c:v>2.1198065940722421</c:v>
                </c:pt>
                <c:pt idx="2">
                  <c:v>2.0646183129275655</c:v>
                </c:pt>
                <c:pt idx="3">
                  <c:v>2.0204676880118244</c:v>
                </c:pt>
                <c:pt idx="4">
                  <c:v>1.9843444494443996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8C-4623-80EA-1DA92838B23D}"/>
            </c:ext>
          </c:extLst>
        </c:ser>
        <c:ser>
          <c:idx val="2"/>
          <c:order val="2"/>
          <c:tx>
            <c:v>логарифмическая функция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Лист2!$B$1:$F$1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Лист2!$B$4:$F$4</c:f>
              <c:numCache>
                <c:formatCode>General</c:formatCode>
                <c:ptCount val="5"/>
                <c:pt idx="0">
                  <c:v>2.1846840034904216</c:v>
                </c:pt>
                <c:pt idx="1">
                  <c:v>2.1238852823409871</c:v>
                </c:pt>
                <c:pt idx="2">
                  <c:v>2.0702570096160664</c:v>
                </c:pt>
                <c:pt idx="3">
                  <c:v>2.0222848849662975</c:v>
                </c:pt>
                <c:pt idx="4">
                  <c:v>1.9788888195862278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8C-4623-80EA-1DA92838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710575"/>
        <c:axId val="705703087"/>
      </c:lineChart>
      <c:catAx>
        <c:axId val="70571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703087"/>
        <c:crosses val="autoZero"/>
        <c:auto val="1"/>
        <c:lblAlgn val="ctr"/>
        <c:lblOffset val="100"/>
        <c:noMultiLvlLbl val="0"/>
      </c:catAx>
      <c:valAx>
        <c:axId val="70570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7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61592300962376E-2"/>
          <c:y val="7.0012172391494543E-2"/>
          <c:w val="0.8965301837270340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РГР!$B$1:$F$1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РГР!$B$2:$F$2</c:f>
              <c:numCache>
                <c:formatCode>0.00</c:formatCode>
                <c:ptCount val="5"/>
                <c:pt idx="0">
                  <c:v>20</c:v>
                </c:pt>
                <c:pt idx="1">
                  <c:v>21.3</c:v>
                </c:pt>
                <c:pt idx="2">
                  <c:v>25</c:v>
                </c:pt>
                <c:pt idx="3">
                  <c:v>32</c:v>
                </c:pt>
                <c:pt idx="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B-4B5A-8541-FB2118D9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7632"/>
        <c:axId val="2132725136"/>
      </c:scatterChart>
      <c:scatterChart>
        <c:scatterStyle val="smoothMarker"/>
        <c:varyColors val="0"/>
        <c:ser>
          <c:idx val="1"/>
          <c:order val="1"/>
          <c:tx>
            <c:v>y1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РГР!$B$1:$F$1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РГР!$B$6:$F$6</c:f>
              <c:numCache>
                <c:formatCode>General</c:formatCode>
                <c:ptCount val="5"/>
                <c:pt idx="0">
                  <c:v>17.417292206127669</c:v>
                </c:pt>
                <c:pt idx="1">
                  <c:v>23.633342018395535</c:v>
                </c:pt>
                <c:pt idx="2">
                  <c:v>29.347219538642442</c:v>
                </c:pt>
                <c:pt idx="3">
                  <c:v>34.714543945220257</c:v>
                </c:pt>
                <c:pt idx="4">
                  <c:v>39.820935908835878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B-4B5A-8541-FB2118D993C0}"/>
            </c:ext>
          </c:extLst>
        </c:ser>
        <c:ser>
          <c:idx val="2"/>
          <c:order val="2"/>
          <c:tx>
            <c:v>y2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РГР!$B$1:$F$1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РГР!$B$5:$F$5</c:f>
              <c:numCache>
                <c:formatCode>General</c:formatCode>
                <c:ptCount val="5"/>
                <c:pt idx="0">
                  <c:v>17.927454317121462</c:v>
                </c:pt>
                <c:pt idx="1">
                  <c:v>22.33720751478543</c:v>
                </c:pt>
                <c:pt idx="2">
                  <c:v>27.831661469195211</c:v>
                </c:pt>
                <c:pt idx="3">
                  <c:v>34.677628330361422</c:v>
                </c:pt>
                <c:pt idx="4">
                  <c:v>43.207550075646211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B-4B5A-8541-FB2118D9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7632"/>
        <c:axId val="2132725136"/>
      </c:scatterChart>
      <c:valAx>
        <c:axId val="21327276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725136"/>
        <c:crosses val="autoZero"/>
        <c:crossBetween val="midCat"/>
      </c:valAx>
      <c:valAx>
        <c:axId val="2132725136"/>
        <c:scaling>
          <c:orientation val="minMax"/>
          <c:max val="5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7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0</xdr:row>
      <xdr:rowOff>49530</xdr:rowOff>
    </xdr:from>
    <xdr:to>
      <xdr:col>19</xdr:col>
      <xdr:colOff>190500</xdr:colOff>
      <xdr:row>15</xdr:row>
      <xdr:rowOff>49530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16</xdr:row>
      <xdr:rowOff>34290</xdr:rowOff>
    </xdr:from>
    <xdr:to>
      <xdr:col>19</xdr:col>
      <xdr:colOff>251460</xdr:colOff>
      <xdr:row>31</xdr:row>
      <xdr:rowOff>34290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4</xdr:row>
      <xdr:rowOff>133350</xdr:rowOff>
    </xdr:from>
    <xdr:to>
      <xdr:col>14</xdr:col>
      <xdr:colOff>502920</xdr:colOff>
      <xdr:row>19</xdr:row>
      <xdr:rowOff>110490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9</xdr:row>
      <xdr:rowOff>68580</xdr:rowOff>
    </xdr:from>
    <xdr:to>
      <xdr:col>7</xdr:col>
      <xdr:colOff>510540</xdr:colOff>
      <xdr:row>23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opLeftCell="A4" workbookViewId="0">
      <selection activeCell="A17" sqref="A17"/>
    </sheetView>
  </sheetViews>
  <sheetFormatPr defaultRowHeight="15" x14ac:dyDescent="0.25"/>
  <sheetData>
    <row r="1" spans="1:11" x14ac:dyDescent="0.25">
      <c r="A1" s="4" t="s">
        <v>0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H1" s="4" t="s">
        <v>4</v>
      </c>
      <c r="I1" s="4" t="s">
        <v>5</v>
      </c>
      <c r="K1" s="2" t="s">
        <v>6</v>
      </c>
    </row>
    <row r="2" spans="1:11" x14ac:dyDescent="0.25">
      <c r="A2" s="4" t="s">
        <v>1</v>
      </c>
      <c r="B2" s="5">
        <v>4</v>
      </c>
      <c r="C2" s="5">
        <v>2</v>
      </c>
      <c r="D2" s="5">
        <v>1</v>
      </c>
      <c r="E2" s="5">
        <v>2</v>
      </c>
      <c r="F2" s="5">
        <v>3</v>
      </c>
      <c r="H2" s="4">
        <f>SLOPE(B2:F2,B1:F1)</f>
        <v>-0.2</v>
      </c>
      <c r="I2" s="4">
        <f>INTERCEPT(B2:F2,B1:F1)</f>
        <v>3.2</v>
      </c>
      <c r="K2" s="2">
        <f>SQRT(SUM(B4:F4)/5)</f>
        <v>0.97979589711327131</v>
      </c>
    </row>
    <row r="3" spans="1:11" x14ac:dyDescent="0.25">
      <c r="A3" s="4" t="s">
        <v>2</v>
      </c>
      <c r="B3" s="4">
        <f>$H$2*B1+$I$2</f>
        <v>2.8000000000000003</v>
      </c>
      <c r="C3" s="4">
        <f t="shared" ref="C3:F3" si="0">$H$2*C1+$I$2</f>
        <v>2.6</v>
      </c>
      <c r="D3" s="4">
        <f t="shared" si="0"/>
        <v>2.4000000000000004</v>
      </c>
      <c r="E3" s="4">
        <f t="shared" si="0"/>
        <v>2.2000000000000002</v>
      </c>
      <c r="F3" s="4">
        <f t="shared" si="0"/>
        <v>2</v>
      </c>
    </row>
    <row r="4" spans="1:11" x14ac:dyDescent="0.25">
      <c r="A4" s="4" t="s">
        <v>7</v>
      </c>
      <c r="B4" s="4">
        <f>(B2-B3)^2</f>
        <v>1.4399999999999993</v>
      </c>
      <c r="C4" s="4">
        <f t="shared" ref="C4:F4" si="1">(C2-C3)^2</f>
        <v>0.3600000000000001</v>
      </c>
      <c r="D4" s="4">
        <f t="shared" si="1"/>
        <v>1.9600000000000011</v>
      </c>
      <c r="E4" s="4">
        <f t="shared" si="1"/>
        <v>4.000000000000007E-2</v>
      </c>
      <c r="F4" s="4">
        <f t="shared" si="1"/>
        <v>1</v>
      </c>
    </row>
    <row r="5" spans="1:11" x14ac:dyDescent="0.25">
      <c r="A5" s="4" t="s">
        <v>8</v>
      </c>
      <c r="B5" s="4">
        <f>B1^4</f>
        <v>16</v>
      </c>
      <c r="C5" s="4">
        <f t="shared" ref="C5:F5" si="2">C1^4</f>
        <v>81</v>
      </c>
      <c r="D5" s="4">
        <f t="shared" si="2"/>
        <v>256</v>
      </c>
      <c r="E5" s="4">
        <f t="shared" si="2"/>
        <v>625</v>
      </c>
      <c r="F5" s="4">
        <f t="shared" si="2"/>
        <v>1296</v>
      </c>
    </row>
    <row r="6" spans="1:11" x14ac:dyDescent="0.25">
      <c r="A6" s="4" t="s">
        <v>9</v>
      </c>
      <c r="B6" s="4">
        <f>B1^3</f>
        <v>8</v>
      </c>
      <c r="C6" s="4">
        <f t="shared" ref="C6:F6" si="3">C1^3</f>
        <v>27</v>
      </c>
      <c r="D6" s="4">
        <f t="shared" si="3"/>
        <v>64</v>
      </c>
      <c r="E6" s="4">
        <f t="shared" si="3"/>
        <v>125</v>
      </c>
      <c r="F6" s="4">
        <f t="shared" si="3"/>
        <v>216</v>
      </c>
    </row>
    <row r="7" spans="1:11" x14ac:dyDescent="0.25">
      <c r="A7" s="4" t="s">
        <v>10</v>
      </c>
      <c r="B7" s="4">
        <f>B1^2</f>
        <v>4</v>
      </c>
      <c r="C7" s="4">
        <f t="shared" ref="C7:F7" si="4">C1^2</f>
        <v>9</v>
      </c>
      <c r="D7" s="4">
        <f t="shared" si="4"/>
        <v>16</v>
      </c>
      <c r="E7" s="4">
        <f t="shared" si="4"/>
        <v>25</v>
      </c>
      <c r="F7" s="4">
        <f t="shared" si="4"/>
        <v>36</v>
      </c>
    </row>
    <row r="8" spans="1:11" x14ac:dyDescent="0.25">
      <c r="A8" s="4" t="s">
        <v>11</v>
      </c>
      <c r="B8" s="4">
        <f>B7*B2</f>
        <v>16</v>
      </c>
      <c r="C8" s="4">
        <f t="shared" ref="C8:F8" si="5">C7*C2</f>
        <v>18</v>
      </c>
      <c r="D8" s="4">
        <f t="shared" si="5"/>
        <v>16</v>
      </c>
      <c r="E8" s="4">
        <f t="shared" si="5"/>
        <v>50</v>
      </c>
      <c r="F8" s="4">
        <f t="shared" si="5"/>
        <v>108</v>
      </c>
    </row>
    <row r="9" spans="1:11" x14ac:dyDescent="0.25">
      <c r="A9" s="4" t="s">
        <v>12</v>
      </c>
      <c r="B9" s="4">
        <f>B1*B2</f>
        <v>8</v>
      </c>
      <c r="C9" s="4">
        <f t="shared" ref="C9:F9" si="6">C1*C2</f>
        <v>6</v>
      </c>
      <c r="D9" s="4">
        <f t="shared" si="6"/>
        <v>4</v>
      </c>
      <c r="E9" s="4">
        <f t="shared" si="6"/>
        <v>10</v>
      </c>
      <c r="F9" s="4">
        <f t="shared" si="6"/>
        <v>18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>
        <f>SUM(B5:F5)</f>
        <v>2274</v>
      </c>
      <c r="C12" s="2">
        <f>SUM(B6:F6)</f>
        <v>440</v>
      </c>
      <c r="D12" s="2">
        <f>SUM(B7:F7)</f>
        <v>90</v>
      </c>
      <c r="E12" s="2">
        <f>SUM(B8:F8)</f>
        <v>208</v>
      </c>
      <c r="F12" s="1"/>
      <c r="G12" s="2">
        <f>E12</f>
        <v>208</v>
      </c>
      <c r="H12" s="2">
        <f>C12</f>
        <v>440</v>
      </c>
      <c r="I12" s="2">
        <f>D12</f>
        <v>90</v>
      </c>
      <c r="J12" s="1"/>
      <c r="K12" s="1"/>
    </row>
    <row r="13" spans="1:11" x14ac:dyDescent="0.25">
      <c r="A13" s="1"/>
      <c r="B13" s="2">
        <f>SUM(B6:F6)</f>
        <v>440</v>
      </c>
      <c r="C13" s="2">
        <f>SUM(B7:F7)</f>
        <v>90</v>
      </c>
      <c r="D13" s="2">
        <f>SUM(B1:F1)</f>
        <v>20</v>
      </c>
      <c r="E13" s="2">
        <f>SUM(B9:F9)</f>
        <v>46</v>
      </c>
      <c r="F13" s="1"/>
      <c r="G13" s="2">
        <f t="shared" ref="G13:G14" si="7">E13</f>
        <v>46</v>
      </c>
      <c r="H13" s="2">
        <f t="shared" ref="H13:I14" si="8">C13</f>
        <v>90</v>
      </c>
      <c r="I13" s="2">
        <f t="shared" si="8"/>
        <v>20</v>
      </c>
      <c r="J13" s="1"/>
      <c r="K13" s="1"/>
    </row>
    <row r="14" spans="1:11" x14ac:dyDescent="0.25">
      <c r="A14" s="1"/>
      <c r="B14" s="2">
        <f>SUM(B7:F7)</f>
        <v>90</v>
      </c>
      <c r="C14" s="2">
        <f>SUM(B1:F1)</f>
        <v>20</v>
      </c>
      <c r="D14" s="2">
        <v>5</v>
      </c>
      <c r="E14" s="2">
        <f>SUM(B2:F2)</f>
        <v>12</v>
      </c>
      <c r="F14" s="1"/>
      <c r="G14" s="2">
        <f t="shared" si="7"/>
        <v>12</v>
      </c>
      <c r="H14" s="2">
        <f t="shared" si="8"/>
        <v>20</v>
      </c>
      <c r="I14" s="2">
        <f t="shared" si="8"/>
        <v>5</v>
      </c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2">
        <f>B12</f>
        <v>2274</v>
      </c>
      <c r="H16" s="2">
        <f>E12</f>
        <v>208</v>
      </c>
      <c r="I16" s="2">
        <f>D12</f>
        <v>90</v>
      </c>
      <c r="J16" s="1"/>
      <c r="K16" s="1"/>
    </row>
    <row r="17" spans="1:11" x14ac:dyDescent="0.25">
      <c r="A17" s="3" t="s">
        <v>13</v>
      </c>
      <c r="B17" s="2">
        <f>MDETERM(B12:D14)</f>
        <v>699.99999999996044</v>
      </c>
      <c r="C17" s="1"/>
      <c r="D17" s="1"/>
      <c r="E17" s="1"/>
      <c r="F17" s="1"/>
      <c r="G17" s="2">
        <f t="shared" ref="G17:G18" si="9">B13</f>
        <v>440</v>
      </c>
      <c r="H17" s="2">
        <f t="shared" ref="H17:H18" si="10">E13</f>
        <v>46</v>
      </c>
      <c r="I17" s="2">
        <f t="shared" ref="I17:I18" si="11">D13</f>
        <v>20</v>
      </c>
      <c r="J17" s="1"/>
      <c r="K17" s="1"/>
    </row>
    <row r="18" spans="1:11" x14ac:dyDescent="0.25">
      <c r="A18" s="3" t="s">
        <v>14</v>
      </c>
      <c r="B18" s="2">
        <f>MDETERM(G12:I14)</f>
        <v>400.00000000000091</v>
      </c>
      <c r="C18" s="1"/>
      <c r="D18" s="1"/>
      <c r="E18" s="1"/>
      <c r="F18" s="1"/>
      <c r="G18" s="2">
        <f t="shared" si="9"/>
        <v>90</v>
      </c>
      <c r="H18" s="2">
        <f t="shared" si="10"/>
        <v>12</v>
      </c>
      <c r="I18" s="2">
        <f t="shared" si="11"/>
        <v>5</v>
      </c>
      <c r="J18" s="1"/>
      <c r="K18" s="1"/>
    </row>
    <row r="19" spans="1:11" x14ac:dyDescent="0.25">
      <c r="A19" s="3" t="s">
        <v>15</v>
      </c>
      <c r="B19" s="2">
        <f>MDETERM(G16:I18)</f>
        <v>-3340.0000000000005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3" t="s">
        <v>16</v>
      </c>
      <c r="B20" s="2">
        <f>MDETERM(G20:I22)</f>
        <v>7839.9999999998972</v>
      </c>
      <c r="C20" s="1"/>
      <c r="D20" s="1"/>
      <c r="E20" s="1"/>
      <c r="F20" s="1"/>
      <c r="G20" s="2">
        <f>B12</f>
        <v>2274</v>
      </c>
      <c r="H20" s="2">
        <f>C12</f>
        <v>440</v>
      </c>
      <c r="I20" s="2">
        <f>E12</f>
        <v>208</v>
      </c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2">
        <f t="shared" ref="G21:H22" si="12">B13</f>
        <v>440</v>
      </c>
      <c r="H21" s="2">
        <f t="shared" si="12"/>
        <v>90</v>
      </c>
      <c r="I21" s="2">
        <f t="shared" ref="I21:I22" si="13">E13</f>
        <v>46</v>
      </c>
      <c r="J21" s="1"/>
      <c r="K21" s="1"/>
    </row>
    <row r="22" spans="1:11" x14ac:dyDescent="0.25">
      <c r="A22" s="2" t="s">
        <v>4</v>
      </c>
      <c r="B22" s="2" t="s">
        <v>5</v>
      </c>
      <c r="C22" s="2" t="s">
        <v>17</v>
      </c>
      <c r="D22" s="1"/>
      <c r="E22" s="1"/>
      <c r="F22" s="1"/>
      <c r="G22" s="2">
        <f t="shared" si="12"/>
        <v>90</v>
      </c>
      <c r="H22" s="2">
        <f>C14</f>
        <v>20</v>
      </c>
      <c r="I22" s="2">
        <f t="shared" si="13"/>
        <v>12</v>
      </c>
      <c r="J22" s="1"/>
      <c r="K22" s="1"/>
    </row>
    <row r="23" spans="1:11" x14ac:dyDescent="0.25">
      <c r="A23" s="2">
        <f>B18/B17</f>
        <v>0.57142857142860504</v>
      </c>
      <c r="B23" s="2">
        <f>B19/B17</f>
        <v>-4.7714285714288414</v>
      </c>
      <c r="C23" s="2">
        <f>B20/B17</f>
        <v>11.200000000000486</v>
      </c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2" t="s">
        <v>3</v>
      </c>
      <c r="B26" s="2">
        <f>$A$23*B7+$B$23*B1+$C$23</f>
        <v>3.942857142857223</v>
      </c>
      <c r="C26" s="2">
        <f t="shared" ref="C26:F26" si="14">$A$23*C7+$B$23*C1+$C$23</f>
        <v>2.0285714285714072</v>
      </c>
      <c r="D26" s="2">
        <f t="shared" si="14"/>
        <v>1.2571428571428012</v>
      </c>
      <c r="E26" s="2">
        <f t="shared" si="14"/>
        <v>1.628571428571405</v>
      </c>
      <c r="F26" s="2">
        <f t="shared" si="14"/>
        <v>3.1428571428572205</v>
      </c>
      <c r="G26" s="1"/>
      <c r="H26" s="1"/>
      <c r="I26" s="1"/>
      <c r="J26" s="1"/>
      <c r="K26" s="2" t="s">
        <v>18</v>
      </c>
    </row>
    <row r="27" spans="1:11" x14ac:dyDescent="0.25">
      <c r="A27" s="2" t="s">
        <v>19</v>
      </c>
      <c r="B27" s="2">
        <f>(B2-B26)^2</f>
        <v>3.2653061224398208E-3</v>
      </c>
      <c r="C27" s="2">
        <f t="shared" ref="C27:F27" si="15">(C2-C26)^2</f>
        <v>8.1632653061102097E-4</v>
      </c>
      <c r="D27" s="2">
        <f t="shared" si="15"/>
        <v>6.6122448979563042E-2</v>
      </c>
      <c r="E27" s="2">
        <f t="shared" si="15"/>
        <v>0.13795918367348689</v>
      </c>
      <c r="F27" s="2">
        <f t="shared" si="15"/>
        <v>2.0408163265328308E-2</v>
      </c>
      <c r="G27" s="1"/>
      <c r="H27" s="1"/>
      <c r="I27" s="1"/>
      <c r="J27" s="1"/>
      <c r="K27" s="2">
        <f>SQRT(SUM(B27:F27)/5)</f>
        <v>0.21380899352993976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"/>
  <sheetViews>
    <sheetView topLeftCell="A7" workbookViewId="0">
      <selection activeCell="D23" sqref="D23:F24"/>
    </sheetView>
  </sheetViews>
  <sheetFormatPr defaultRowHeight="15" x14ac:dyDescent="0.25"/>
  <cols>
    <col min="1" max="1" width="12.5703125" customWidth="1"/>
    <col min="2" max="7" width="12.42578125" bestFit="1" customWidth="1"/>
  </cols>
  <sheetData>
    <row r="1" spans="1:10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s="91"/>
      <c r="I1" s="116" t="s">
        <v>102</v>
      </c>
      <c r="J1" s="91"/>
    </row>
    <row r="2" spans="1:10" x14ac:dyDescent="0.25">
      <c r="A2" s="4">
        <v>26</v>
      </c>
      <c r="B2" s="4">
        <v>30</v>
      </c>
      <c r="C2" s="4">
        <v>34</v>
      </c>
      <c r="D2" s="4">
        <v>38</v>
      </c>
      <c r="E2" s="4">
        <v>42</v>
      </c>
      <c r="F2" s="4">
        <v>46</v>
      </c>
      <c r="G2" s="4">
        <v>50</v>
      </c>
      <c r="H2" s="91"/>
      <c r="I2" s="91" t="s">
        <v>103</v>
      </c>
      <c r="J2" s="91"/>
    </row>
    <row r="3" spans="1:10" x14ac:dyDescent="0.25">
      <c r="A3" s="91">
        <f>A2^2</f>
        <v>676</v>
      </c>
      <c r="B3" s="91">
        <f t="shared" ref="B3:G3" si="0">B2^2</f>
        <v>900</v>
      </c>
      <c r="C3" s="91">
        <f t="shared" si="0"/>
        <v>1156</v>
      </c>
      <c r="D3" s="91">
        <f t="shared" si="0"/>
        <v>1444</v>
      </c>
      <c r="E3" s="91">
        <f t="shared" si="0"/>
        <v>1764</v>
      </c>
      <c r="F3" s="91">
        <f t="shared" si="0"/>
        <v>2116</v>
      </c>
      <c r="G3" s="91">
        <f t="shared" si="0"/>
        <v>2500</v>
      </c>
      <c r="H3" s="91"/>
      <c r="I3" s="91" t="s">
        <v>104</v>
      </c>
      <c r="J3" s="91"/>
    </row>
    <row r="4" spans="1:10" x14ac:dyDescent="0.25">
      <c r="A4" s="4">
        <v>1</v>
      </c>
      <c r="B4" s="4">
        <v>13</v>
      </c>
      <c r="C4" s="4">
        <v>27</v>
      </c>
      <c r="D4" s="4">
        <v>32</v>
      </c>
      <c r="E4" s="4">
        <v>41</v>
      </c>
      <c r="F4" s="4">
        <v>23</v>
      </c>
      <c r="G4" s="4">
        <v>13</v>
      </c>
      <c r="H4" s="91">
        <f>SUM(A4:G4)</f>
        <v>150</v>
      </c>
      <c r="I4" s="116" t="s">
        <v>105</v>
      </c>
      <c r="J4" s="91"/>
    </row>
    <row r="5" spans="1:10" x14ac:dyDescent="0.25">
      <c r="A5" s="91">
        <f>A4*A2</f>
        <v>26</v>
      </c>
      <c r="B5" s="91">
        <f t="shared" ref="B5:G5" si="1">B4*B2</f>
        <v>390</v>
      </c>
      <c r="C5" s="91">
        <f t="shared" si="1"/>
        <v>918</v>
      </c>
      <c r="D5" s="91">
        <f t="shared" si="1"/>
        <v>1216</v>
      </c>
      <c r="E5" s="91">
        <f t="shared" si="1"/>
        <v>1722</v>
      </c>
      <c r="F5" s="91">
        <f t="shared" si="1"/>
        <v>1058</v>
      </c>
      <c r="G5" s="91">
        <f t="shared" si="1"/>
        <v>650</v>
      </c>
      <c r="H5" s="91"/>
      <c r="I5" s="116" t="s">
        <v>106</v>
      </c>
      <c r="J5" s="91"/>
    </row>
    <row r="6" spans="1:10" x14ac:dyDescent="0.25">
      <c r="A6" s="91">
        <v>28</v>
      </c>
      <c r="B6" s="91">
        <v>32</v>
      </c>
      <c r="C6" s="91">
        <v>36</v>
      </c>
      <c r="D6" s="116">
        <v>40</v>
      </c>
      <c r="E6" s="116">
        <v>44</v>
      </c>
      <c r="F6" s="116">
        <v>48</v>
      </c>
      <c r="G6" s="116">
        <v>52</v>
      </c>
      <c r="H6" s="91"/>
      <c r="I6" s="116" t="s">
        <v>107</v>
      </c>
      <c r="J6" s="91"/>
    </row>
    <row r="7" spans="1:10" x14ac:dyDescent="0.25">
      <c r="A7" s="116">
        <v>24</v>
      </c>
      <c r="B7" s="116">
        <v>28</v>
      </c>
      <c r="C7" s="116">
        <v>32</v>
      </c>
      <c r="D7" s="116">
        <v>36</v>
      </c>
      <c r="E7" s="116">
        <v>40</v>
      </c>
      <c r="F7" s="116">
        <v>44</v>
      </c>
      <c r="G7" s="116">
        <v>48</v>
      </c>
      <c r="H7" s="91"/>
      <c r="I7" s="116" t="s">
        <v>108</v>
      </c>
      <c r="J7" s="91"/>
    </row>
    <row r="8" spans="1:10" x14ac:dyDescent="0.25">
      <c r="A8" s="119">
        <f>NORMSDIST((A6-$B$19)/$B$22)-NORMSDIST((A7-$B$19)/$B$22)</f>
        <v>1.6076834671515997E-2</v>
      </c>
      <c r="B8" s="119">
        <f t="shared" ref="B8:F8" si="2">NORMSDIST((B6-$B$19)/$B$22)-NORMSDIST((B7-$B$19)/$B$22)</f>
        <v>6.5240382260609089E-2</v>
      </c>
      <c r="C8" s="119">
        <f t="shared" si="2"/>
        <v>0.16499849001078859</v>
      </c>
      <c r="D8" s="119">
        <f t="shared" si="2"/>
        <v>0.26028828642539731</v>
      </c>
      <c r="E8" s="119">
        <f t="shared" si="2"/>
        <v>0.25622939118902988</v>
      </c>
      <c r="F8" s="119">
        <f t="shared" si="2"/>
        <v>0.15739695260631215</v>
      </c>
      <c r="G8" s="119">
        <f>NORMSDIST((G6-$B$19)/$B$22)-NORMSDIST((G7-$B$19)/$B$22)</f>
        <v>6.0305337897054501E-2</v>
      </c>
      <c r="H8" s="91"/>
      <c r="I8" s="116" t="s">
        <v>109</v>
      </c>
      <c r="J8" s="91"/>
    </row>
    <row r="9" spans="1:10" x14ac:dyDescent="0.25">
      <c r="A9" s="91">
        <f>A4/$H$4</f>
        <v>6.6666666666666671E-3</v>
      </c>
      <c r="B9" s="91">
        <f t="shared" ref="B9:G9" si="3">B4/$H$4</f>
        <v>8.666666666666667E-2</v>
      </c>
      <c r="C9" s="91">
        <f t="shared" si="3"/>
        <v>0.18</v>
      </c>
      <c r="D9" s="91">
        <f t="shared" si="3"/>
        <v>0.21333333333333335</v>
      </c>
      <c r="E9" s="91">
        <f t="shared" si="3"/>
        <v>0.27333333333333332</v>
      </c>
      <c r="F9" s="91">
        <f t="shared" si="3"/>
        <v>0.15333333333333332</v>
      </c>
      <c r="G9" s="91">
        <f t="shared" si="3"/>
        <v>8.666666666666667E-2</v>
      </c>
      <c r="H9" s="116">
        <f>SUM(A9:G9)</f>
        <v>1</v>
      </c>
      <c r="I9" s="116" t="s">
        <v>94</v>
      </c>
      <c r="J9" s="91"/>
    </row>
    <row r="11" spans="1:10" x14ac:dyDescent="0.25">
      <c r="A11">
        <f>((A8-A9)^2)/A8</f>
        <v>5.5080035149195124E-3</v>
      </c>
      <c r="B11">
        <f t="shared" ref="B11:G11" si="4">((B8-B9)^2)/B8</f>
        <v>7.0368328256478277E-3</v>
      </c>
      <c r="C11">
        <f t="shared" si="4"/>
        <v>1.3639234028244424E-3</v>
      </c>
      <c r="D11">
        <f t="shared" si="4"/>
        <v>8.4704834403289513E-3</v>
      </c>
      <c r="E11">
        <f t="shared" si="4"/>
        <v>1.1417302110352291E-3</v>
      </c>
      <c r="F11">
        <f t="shared" si="4"/>
        <v>1.0491309597986921E-4</v>
      </c>
      <c r="G11">
        <f t="shared" si="4"/>
        <v>1.1523352305659235E-2</v>
      </c>
    </row>
    <row r="18" spans="1:6" ht="15.75" thickBot="1" x14ac:dyDescent="0.3"/>
    <row r="19" spans="1:6" ht="18.75" x14ac:dyDescent="0.3">
      <c r="A19" s="118" t="s">
        <v>47</v>
      </c>
      <c r="B19" s="113">
        <f>SUM(A5:G5)*(1/H4)</f>
        <v>39.866666666666667</v>
      </c>
    </row>
    <row r="20" spans="1:6" ht="18.75" x14ac:dyDescent="0.3">
      <c r="A20" s="117" t="s">
        <v>48</v>
      </c>
      <c r="B20" s="113">
        <f>SUMPRODUCT(A3:G3,A4:G4)*(1/H4)</f>
        <v>1621.92</v>
      </c>
    </row>
    <row r="21" spans="1:6" ht="18.75" x14ac:dyDescent="0.3">
      <c r="A21" s="117" t="s">
        <v>49</v>
      </c>
      <c r="B21" s="113">
        <f>B20-(B19^2)</f>
        <v>32.568888888888978</v>
      </c>
    </row>
    <row r="22" spans="1:6" ht="18.75" x14ac:dyDescent="0.3">
      <c r="A22" s="117" t="s">
        <v>50</v>
      </c>
      <c r="B22" s="113">
        <f>SQRT(B21)</f>
        <v>5.7069158824087269</v>
      </c>
    </row>
    <row r="23" spans="1:6" ht="18.75" x14ac:dyDescent="0.3">
      <c r="A23" s="120" t="s">
        <v>110</v>
      </c>
      <c r="B23" s="115">
        <f>H4*SUM(A11:G11)</f>
        <v>5.2723858194592594</v>
      </c>
      <c r="D23" s="191" t="s">
        <v>112</v>
      </c>
      <c r="E23" s="191"/>
      <c r="F23" s="191"/>
    </row>
    <row r="24" spans="1:6" ht="18.75" x14ac:dyDescent="0.3">
      <c r="A24" s="120" t="s">
        <v>6</v>
      </c>
      <c r="B24" s="115">
        <f>CHIINV(0.05,4)</f>
        <v>9.4877290367811575</v>
      </c>
      <c r="D24" s="191" t="s">
        <v>111</v>
      </c>
      <c r="E24" s="191"/>
      <c r="F24" s="191"/>
    </row>
  </sheetData>
  <mergeCells count="2">
    <mergeCell ref="D24:F24"/>
    <mergeCell ref="D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B3" sqref="B3"/>
    </sheetView>
  </sheetViews>
  <sheetFormatPr defaultRowHeight="15" x14ac:dyDescent="0.25"/>
  <cols>
    <col min="2" max="2" width="9" bestFit="1" customWidth="1"/>
    <col min="3" max="3" width="9.140625" bestFit="1" customWidth="1"/>
  </cols>
  <sheetData>
    <row r="1" spans="1:6" x14ac:dyDescent="0.25">
      <c r="A1" s="6" t="s">
        <v>20</v>
      </c>
      <c r="B1" s="7">
        <v>7</v>
      </c>
      <c r="C1" s="7">
        <v>8</v>
      </c>
      <c r="D1" s="7">
        <v>9</v>
      </c>
      <c r="E1" s="7">
        <v>10</v>
      </c>
      <c r="F1" s="8">
        <v>11</v>
      </c>
    </row>
    <row r="2" spans="1:6" x14ac:dyDescent="0.25">
      <c r="A2" s="9" t="s">
        <v>21</v>
      </c>
      <c r="B2" s="4">
        <v>2.2000000000000002</v>
      </c>
      <c r="C2" s="4">
        <v>2.1</v>
      </c>
      <c r="D2" s="4">
        <v>2.0699999999999998</v>
      </c>
      <c r="E2" s="4">
        <v>2.0299999999999998</v>
      </c>
      <c r="F2" s="10">
        <v>1.98</v>
      </c>
    </row>
    <row r="3" spans="1:6" x14ac:dyDescent="0.25">
      <c r="A3" s="9" t="s">
        <v>22</v>
      </c>
      <c r="B3" s="4">
        <f>($B$8/B1)+$B$9</f>
        <v>2.1907629555439692</v>
      </c>
      <c r="C3" s="4">
        <f t="shared" ref="C3:F3" si="0">($B$8/C1)+$B$9</f>
        <v>2.1198065940722421</v>
      </c>
      <c r="D3" s="4">
        <f t="shared" si="0"/>
        <v>2.0646183129275655</v>
      </c>
      <c r="E3" s="4">
        <f t="shared" si="0"/>
        <v>2.0204676880118244</v>
      </c>
      <c r="F3" s="10">
        <f t="shared" si="0"/>
        <v>1.9843444494443996</v>
      </c>
    </row>
    <row r="4" spans="1:6" x14ac:dyDescent="0.25">
      <c r="A4" s="9" t="s">
        <v>23</v>
      </c>
      <c r="B4" s="4">
        <f>$C$8*LN(B1)+$C$9</f>
        <v>2.1846840034904216</v>
      </c>
      <c r="C4" s="4">
        <f t="shared" ref="C4:F4" si="1">$C$8*LN(C1)+$C$9</f>
        <v>2.1238852823409871</v>
      </c>
      <c r="D4" s="4">
        <f t="shared" si="1"/>
        <v>2.0702570096160664</v>
      </c>
      <c r="E4" s="4">
        <f t="shared" si="1"/>
        <v>2.0222848849662975</v>
      </c>
      <c r="F4" s="10">
        <f t="shared" si="1"/>
        <v>1.9788888195862278</v>
      </c>
    </row>
    <row r="5" spans="1:6" x14ac:dyDescent="0.25">
      <c r="A5" s="9" t="s">
        <v>24</v>
      </c>
      <c r="B5" s="4">
        <f>1/B1</f>
        <v>0.14285714285714285</v>
      </c>
      <c r="C5" s="4">
        <f t="shared" ref="C5:F5" si="2">1/C1</f>
        <v>0.125</v>
      </c>
      <c r="D5" s="4">
        <f t="shared" si="2"/>
        <v>0.1111111111111111</v>
      </c>
      <c r="E5" s="4">
        <f t="shared" si="2"/>
        <v>0.1</v>
      </c>
      <c r="F5" s="10">
        <f t="shared" si="2"/>
        <v>9.0909090909090912E-2</v>
      </c>
    </row>
    <row r="6" spans="1:6" ht="15.75" thickBot="1" x14ac:dyDescent="0.3">
      <c r="A6" s="11" t="s">
        <v>25</v>
      </c>
      <c r="B6" s="12">
        <f>LN(B1)</f>
        <v>1.9459101490553132</v>
      </c>
      <c r="C6" s="12">
        <f t="shared" ref="C6:F6" si="3">LN(C1)</f>
        <v>2.0794415416798357</v>
      </c>
      <c r="D6" s="12">
        <f t="shared" si="3"/>
        <v>2.1972245773362196</v>
      </c>
      <c r="E6" s="12">
        <f t="shared" si="3"/>
        <v>2.3025850929940459</v>
      </c>
      <c r="F6" s="13">
        <f t="shared" si="3"/>
        <v>2.3978952727983707</v>
      </c>
    </row>
    <row r="7" spans="1:6" ht="15.75" thickBot="1" x14ac:dyDescent="0.3">
      <c r="A7" s="14" t="s">
        <v>26</v>
      </c>
      <c r="D7" t="s">
        <v>27</v>
      </c>
    </row>
    <row r="8" spans="1:6" x14ac:dyDescent="0.25">
      <c r="A8" s="6" t="s">
        <v>4</v>
      </c>
      <c r="B8" s="15">
        <f>SLOPE(B2:F2,B5:F5)</f>
        <v>3.9735562424167128</v>
      </c>
      <c r="C8" s="16">
        <f>SLOPE(B2:F2,B6:F6)</f>
        <v>-0.45531406476374031</v>
      </c>
    </row>
    <row r="9" spans="1:6" x14ac:dyDescent="0.25">
      <c r="A9" s="9" t="s">
        <v>5</v>
      </c>
      <c r="B9" s="17">
        <f>INTERCEPT(B2:F2,B5:F5)</f>
        <v>1.623112063770153</v>
      </c>
      <c r="C9" s="18">
        <f>INTERCEPT(B2:F2,B6:F6)</f>
        <v>3.0706842631218119</v>
      </c>
    </row>
    <row r="10" spans="1:6" ht="15.75" thickBot="1" x14ac:dyDescent="0.3">
      <c r="A10" s="11" t="s">
        <v>6</v>
      </c>
      <c r="B10" s="19">
        <f>SQRT(((B2-B3)^2+(C2-C3)^2+(D2-D3)^2+(E2-E3)^2+(F2-F3)^2)/5)</f>
        <v>1.1102485555817948E-2</v>
      </c>
      <c r="C10" s="20">
        <f>SQRT(((B2-B4)^2+(C2-C4)^2+(D2-D4)^2+(E2-E4)^2+(F2-F4)^2)/5)</f>
        <v>1.3159865025356819E-2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I2" sqref="I2"/>
    </sheetView>
  </sheetViews>
  <sheetFormatPr defaultRowHeight="15" x14ac:dyDescent="0.25"/>
  <sheetData>
    <row r="1" spans="1:15" ht="18.75" x14ac:dyDescent="0.3">
      <c r="A1" s="27" t="s">
        <v>0</v>
      </c>
      <c r="B1" s="28">
        <v>6</v>
      </c>
      <c r="C1" s="28">
        <v>7</v>
      </c>
      <c r="D1" s="28">
        <v>8</v>
      </c>
      <c r="E1" s="28">
        <v>9</v>
      </c>
      <c r="F1" s="29">
        <v>10</v>
      </c>
      <c r="G1" s="30"/>
      <c r="H1" s="31" t="s">
        <v>4</v>
      </c>
      <c r="I1" s="32" t="s">
        <v>5</v>
      </c>
      <c r="J1" s="33" t="s">
        <v>17</v>
      </c>
      <c r="K1" s="34"/>
      <c r="L1" s="35" t="s">
        <v>6</v>
      </c>
      <c r="M1" s="30"/>
      <c r="N1" s="30"/>
      <c r="O1" s="30"/>
    </row>
    <row r="2" spans="1:15" ht="19.5" thickBot="1" x14ac:dyDescent="0.35">
      <c r="A2" s="36" t="s">
        <v>1</v>
      </c>
      <c r="B2" s="37">
        <v>4</v>
      </c>
      <c r="C2" s="37">
        <v>5</v>
      </c>
      <c r="D2" s="37">
        <v>6</v>
      </c>
      <c r="E2" s="37">
        <v>8</v>
      </c>
      <c r="F2" s="38">
        <v>9</v>
      </c>
      <c r="G2" s="30"/>
      <c r="H2" s="39">
        <f>B16/B15</f>
        <v>3.2000000000003901</v>
      </c>
      <c r="I2" s="40">
        <f>B17/B15</f>
        <v>0.99999999999970923</v>
      </c>
      <c r="J2" s="41">
        <f>B18/B15</f>
        <v>-16.400000000001164</v>
      </c>
      <c r="K2" s="30"/>
      <c r="L2" s="42">
        <f>SQRT(((B3-B4)^2+(C3-C4)^2+(D3-D4)^2+(E3-E4)^2+(F3-F4)^2)/5)</f>
        <v>0.28284271247461801</v>
      </c>
      <c r="M2" s="30"/>
      <c r="N2" s="30"/>
      <c r="O2" s="30"/>
    </row>
    <row r="3" spans="1:15" ht="18.75" x14ac:dyDescent="0.3">
      <c r="A3" s="36" t="s">
        <v>28</v>
      </c>
      <c r="B3" s="37">
        <v>7</v>
      </c>
      <c r="C3" s="37">
        <v>11</v>
      </c>
      <c r="D3" s="37">
        <v>15</v>
      </c>
      <c r="E3" s="37">
        <v>20</v>
      </c>
      <c r="F3" s="38">
        <v>25</v>
      </c>
      <c r="G3" s="30"/>
      <c r="H3" s="30"/>
      <c r="I3" s="30"/>
      <c r="J3" s="30"/>
      <c r="K3" s="30"/>
      <c r="L3" s="30"/>
      <c r="M3" s="30"/>
      <c r="N3" s="30"/>
      <c r="O3" s="30"/>
    </row>
    <row r="4" spans="1:15" ht="19.5" thickBot="1" x14ac:dyDescent="0.35">
      <c r="A4" s="43" t="s">
        <v>33</v>
      </c>
      <c r="B4" s="40">
        <f>$H$2*B1+$I$2*B2+$J$2</f>
        <v>6.8000000000000149</v>
      </c>
      <c r="C4" s="40">
        <f t="shared" ref="C4:F4" si="0">$H$2*C1+$I$2*C2+$J$2</f>
        <v>11.000000000000114</v>
      </c>
      <c r="D4" s="40">
        <f t="shared" si="0"/>
        <v>15.200000000000212</v>
      </c>
      <c r="E4" s="40">
        <f t="shared" si="0"/>
        <v>20.40000000000002</v>
      </c>
      <c r="F4" s="41">
        <f t="shared" si="0"/>
        <v>24.600000000000122</v>
      </c>
      <c r="G4" s="30"/>
      <c r="H4" s="30"/>
      <c r="I4" s="30"/>
      <c r="J4" s="30"/>
      <c r="K4" s="30"/>
      <c r="L4" s="30"/>
      <c r="M4" s="30"/>
      <c r="N4" s="30"/>
      <c r="O4" s="30"/>
    </row>
    <row r="5" spans="1:15" ht="19.5" thickBot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ht="18.75" x14ac:dyDescent="0.3">
      <c r="A6" s="27" t="s">
        <v>10</v>
      </c>
      <c r="B6" s="29">
        <f>$B$1^2+$C$1^2+$D$1^2+$E$1^2+$F$1^2</f>
        <v>330</v>
      </c>
      <c r="C6" s="30"/>
      <c r="D6" s="27">
        <f>$B$6</f>
        <v>330</v>
      </c>
      <c r="E6" s="28">
        <f>$B$11</f>
        <v>269</v>
      </c>
      <c r="F6" s="28">
        <f>$B$7</f>
        <v>40</v>
      </c>
      <c r="G6" s="29">
        <f>$B$12</f>
        <v>669</v>
      </c>
      <c r="H6" s="30"/>
      <c r="I6" s="34"/>
      <c r="J6" s="44"/>
      <c r="K6" s="44"/>
      <c r="L6" s="30"/>
      <c r="M6" s="30"/>
      <c r="N6" s="30"/>
      <c r="O6" s="30"/>
    </row>
    <row r="7" spans="1:15" ht="18.75" x14ac:dyDescent="0.3">
      <c r="A7" s="36" t="s">
        <v>0</v>
      </c>
      <c r="B7" s="38">
        <f>$B$1+$C$1+$D$1+$E$1+$F$1</f>
        <v>40</v>
      </c>
      <c r="C7" s="30"/>
      <c r="D7" s="36">
        <f>$B$11</f>
        <v>269</v>
      </c>
      <c r="E7" s="37">
        <f>$B$8</f>
        <v>222</v>
      </c>
      <c r="F7" s="37">
        <f>$B$9</f>
        <v>32</v>
      </c>
      <c r="G7" s="38">
        <f>$B$13</f>
        <v>558</v>
      </c>
      <c r="H7" s="44"/>
      <c r="I7" s="44"/>
      <c r="J7" s="44"/>
      <c r="K7" s="44"/>
      <c r="L7" s="30"/>
      <c r="M7" s="30"/>
      <c r="N7" s="30"/>
      <c r="O7" s="30"/>
    </row>
    <row r="8" spans="1:15" ht="19.5" thickBot="1" x14ac:dyDescent="0.35">
      <c r="A8" s="36" t="s">
        <v>29</v>
      </c>
      <c r="B8" s="38">
        <f>$B$2^2+$C$2^2+$D$2^2+$E$2^2+$F$2^2</f>
        <v>222</v>
      </c>
      <c r="C8" s="30"/>
      <c r="D8" s="39">
        <f>$B$7</f>
        <v>40</v>
      </c>
      <c r="E8" s="40">
        <f>$B$9</f>
        <v>32</v>
      </c>
      <c r="F8" s="40">
        <v>5</v>
      </c>
      <c r="G8" s="41">
        <f>$B$10</f>
        <v>78</v>
      </c>
      <c r="H8" s="44"/>
      <c r="I8" s="44"/>
      <c r="J8" s="44"/>
      <c r="K8" s="44"/>
      <c r="L8" s="30"/>
      <c r="M8" s="30"/>
      <c r="N8" s="30"/>
      <c r="O8" s="30"/>
    </row>
    <row r="9" spans="1:15" ht="19.5" thickBot="1" x14ac:dyDescent="0.35">
      <c r="A9" s="36" t="s">
        <v>1</v>
      </c>
      <c r="B9" s="38">
        <f>$B$2+$C$2+$D$2+$E$2+$F$2</f>
        <v>32</v>
      </c>
      <c r="C9" s="30"/>
      <c r="D9" s="30"/>
      <c r="E9" s="44"/>
      <c r="F9" s="44"/>
      <c r="G9" s="44"/>
      <c r="H9" s="44"/>
      <c r="I9" s="30"/>
      <c r="J9" s="30"/>
      <c r="K9" s="30"/>
      <c r="L9" s="30"/>
      <c r="M9" s="30"/>
      <c r="N9" s="30"/>
      <c r="O9" s="30"/>
    </row>
    <row r="10" spans="1:15" ht="18.75" x14ac:dyDescent="0.3">
      <c r="A10" s="36" t="s">
        <v>28</v>
      </c>
      <c r="B10" s="38">
        <f>$B$3+$C$3+$D$3+$E$3+$F$3</f>
        <v>78</v>
      </c>
      <c r="C10" s="30"/>
      <c r="D10" s="45">
        <f>$B$12</f>
        <v>669</v>
      </c>
      <c r="E10" s="28">
        <f>$B$11</f>
        <v>269</v>
      </c>
      <c r="F10" s="29">
        <f>$B$7</f>
        <v>40</v>
      </c>
      <c r="G10" s="44"/>
      <c r="H10" s="44"/>
      <c r="I10" s="46"/>
      <c r="J10" s="30"/>
      <c r="K10" s="30"/>
      <c r="L10" s="30"/>
      <c r="M10" s="30"/>
      <c r="N10" s="30"/>
      <c r="O10" s="30"/>
    </row>
    <row r="11" spans="1:15" ht="18.75" x14ac:dyDescent="0.3">
      <c r="A11" s="36" t="s">
        <v>30</v>
      </c>
      <c r="B11" s="38">
        <f>$B$1*$B$2+$C1*$C$2+$D$1*$D$2+$E$1*$E$2+$F$1*$F$2</f>
        <v>269</v>
      </c>
      <c r="C11" s="30"/>
      <c r="D11" s="47">
        <f>$B$13</f>
        <v>558</v>
      </c>
      <c r="E11" s="37">
        <f>$B$8</f>
        <v>222</v>
      </c>
      <c r="F11" s="38">
        <f>$B$9</f>
        <v>32</v>
      </c>
      <c r="G11" s="30"/>
      <c r="H11" s="30"/>
      <c r="I11" s="30"/>
      <c r="J11" s="30"/>
      <c r="K11" s="30"/>
      <c r="L11" s="30"/>
      <c r="M11" s="30"/>
      <c r="N11" s="30"/>
      <c r="O11" s="30"/>
    </row>
    <row r="12" spans="1:15" ht="19.5" thickBot="1" x14ac:dyDescent="0.35">
      <c r="A12" s="36" t="s">
        <v>31</v>
      </c>
      <c r="B12" s="38">
        <f>$B$1*$B$3+$C$1*$C$3+$D$1*$D$3+$E$1*$E$3+$F$1*$F$3</f>
        <v>669</v>
      </c>
      <c r="C12" s="30"/>
      <c r="D12" s="42">
        <f>$B$10</f>
        <v>78</v>
      </c>
      <c r="E12" s="40">
        <f>$B$9</f>
        <v>32</v>
      </c>
      <c r="F12" s="41">
        <v>5</v>
      </c>
      <c r="G12" s="30"/>
      <c r="H12" s="30"/>
      <c r="I12" s="30"/>
      <c r="J12" s="30"/>
      <c r="K12" s="30"/>
      <c r="L12" s="30"/>
      <c r="M12" s="30"/>
      <c r="N12" s="30"/>
      <c r="O12" s="30"/>
    </row>
    <row r="13" spans="1:15" ht="19.5" thickBot="1" x14ac:dyDescent="0.35">
      <c r="A13" s="39" t="s">
        <v>32</v>
      </c>
      <c r="B13" s="41">
        <f>$B$2*$B$3+$C$2*$C$3+$D$2*$D$3+$E$2*$E$3+$F$2*$F$3</f>
        <v>558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ht="19.5" thickBot="1" x14ac:dyDescent="0.35">
      <c r="A14" s="30"/>
      <c r="B14" s="30"/>
      <c r="C14" s="30"/>
      <c r="D14" s="27">
        <f>$B$6</f>
        <v>330</v>
      </c>
      <c r="E14" s="29">
        <f>$B$12</f>
        <v>669</v>
      </c>
      <c r="F14" s="28">
        <f>$B$7</f>
        <v>40</v>
      </c>
      <c r="G14" s="30"/>
      <c r="H14" s="30"/>
      <c r="I14" s="46"/>
      <c r="J14" s="30"/>
      <c r="K14" s="30"/>
      <c r="L14" s="30"/>
      <c r="M14" s="30"/>
      <c r="N14" s="30"/>
      <c r="O14" s="30"/>
    </row>
    <row r="15" spans="1:15" ht="18.75" x14ac:dyDescent="0.3">
      <c r="A15" s="48" t="s">
        <v>13</v>
      </c>
      <c r="B15" s="29">
        <f>MDETERM(D6:F8)</f>
        <v>14.999999999998435</v>
      </c>
      <c r="C15" s="30"/>
      <c r="D15" s="36">
        <f>$B$11</f>
        <v>269</v>
      </c>
      <c r="E15" s="38">
        <f>$B$13</f>
        <v>558</v>
      </c>
      <c r="F15" s="37">
        <f>$B$9</f>
        <v>32</v>
      </c>
      <c r="G15" s="30"/>
      <c r="H15" s="30"/>
      <c r="I15" s="30"/>
      <c r="J15" s="30"/>
      <c r="K15" s="30"/>
      <c r="L15" s="30"/>
      <c r="M15" s="30"/>
      <c r="N15" s="30"/>
      <c r="O15" s="30"/>
    </row>
    <row r="16" spans="1:15" ht="19.5" thickBot="1" x14ac:dyDescent="0.35">
      <c r="A16" s="49" t="s">
        <v>14</v>
      </c>
      <c r="B16" s="38">
        <f>MDETERM(D10:F12)</f>
        <v>48.000000000000846</v>
      </c>
      <c r="C16" s="30"/>
      <c r="D16" s="39">
        <f>$B$7</f>
        <v>40</v>
      </c>
      <c r="E16" s="41">
        <f>$B$10</f>
        <v>78</v>
      </c>
      <c r="F16" s="40">
        <v>5</v>
      </c>
      <c r="G16" s="30"/>
      <c r="H16" s="30"/>
      <c r="I16" s="30"/>
      <c r="J16" s="30"/>
      <c r="K16" s="30"/>
      <c r="L16" s="30"/>
      <c r="M16" s="30"/>
      <c r="N16" s="30"/>
      <c r="O16" s="30"/>
    </row>
    <row r="17" spans="1:15" ht="19.5" thickBot="1" x14ac:dyDescent="0.35">
      <c r="A17" s="49" t="s">
        <v>15</v>
      </c>
      <c r="B17" s="38">
        <f>MDETERM(D14:F16)</f>
        <v>14.999999999994074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ht="19.5" thickBot="1" x14ac:dyDescent="0.35">
      <c r="A18" s="50" t="s">
        <v>16</v>
      </c>
      <c r="B18" s="41">
        <f>MDETERM(D18:F20)</f>
        <v>-245.99999999999179</v>
      </c>
      <c r="C18" s="30"/>
      <c r="D18" s="27">
        <f>$B$6</f>
        <v>330</v>
      </c>
      <c r="E18" s="28">
        <f>$B$11</f>
        <v>269</v>
      </c>
      <c r="F18" s="29">
        <f>$B$12</f>
        <v>669</v>
      </c>
      <c r="G18" s="30"/>
      <c r="H18" s="30"/>
      <c r="I18" s="46"/>
      <c r="J18" s="30"/>
      <c r="K18" s="30"/>
      <c r="L18" s="30"/>
      <c r="M18" s="30"/>
      <c r="N18" s="30"/>
      <c r="O18" s="30"/>
    </row>
    <row r="19" spans="1:15" ht="18.75" x14ac:dyDescent="0.3">
      <c r="A19" s="30"/>
      <c r="B19" s="30"/>
      <c r="C19" s="30"/>
      <c r="D19" s="36">
        <f>$B$11</f>
        <v>269</v>
      </c>
      <c r="E19" s="37">
        <f>$B$8</f>
        <v>222</v>
      </c>
      <c r="F19" s="38">
        <f>$B$13</f>
        <v>558</v>
      </c>
      <c r="G19" s="30"/>
      <c r="H19" s="30"/>
      <c r="I19" s="30"/>
      <c r="J19" s="30"/>
      <c r="K19" s="30"/>
      <c r="L19" s="30"/>
      <c r="M19" s="30"/>
      <c r="N19" s="30"/>
      <c r="O19" s="30"/>
    </row>
    <row r="20" spans="1:15" ht="19.5" thickBot="1" x14ac:dyDescent="0.35">
      <c r="A20" s="30"/>
      <c r="B20" s="30"/>
      <c r="C20" s="30"/>
      <c r="D20" s="39">
        <f>$B$7</f>
        <v>40</v>
      </c>
      <c r="E20" s="40">
        <f>$B$9</f>
        <v>32</v>
      </c>
      <c r="F20" s="41">
        <f>$B$10</f>
        <v>78</v>
      </c>
      <c r="G20" s="30"/>
      <c r="H20" s="30"/>
      <c r="I20" s="30"/>
      <c r="J20" s="30"/>
      <c r="K20" s="30"/>
      <c r="L20" s="30"/>
      <c r="M20" s="30"/>
      <c r="N20" s="30"/>
      <c r="O20" s="30"/>
    </row>
    <row r="21" spans="1:15" ht="18.75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ht="18.75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ht="18.75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ht="18.75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ht="18.75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topLeftCell="A10" workbookViewId="0">
      <selection activeCell="A18" sqref="A18"/>
    </sheetView>
  </sheetViews>
  <sheetFormatPr defaultRowHeight="15" x14ac:dyDescent="0.25"/>
  <sheetData>
    <row r="1" spans="1:15" ht="18.75" x14ac:dyDescent="0.3">
      <c r="A1" s="27" t="s">
        <v>0</v>
      </c>
      <c r="B1" s="28">
        <v>3</v>
      </c>
      <c r="C1" s="28">
        <v>4</v>
      </c>
      <c r="D1" s="28">
        <v>5</v>
      </c>
      <c r="E1" s="28">
        <v>6</v>
      </c>
      <c r="F1" s="29">
        <v>7</v>
      </c>
      <c r="H1" t="s">
        <v>6</v>
      </c>
    </row>
    <row r="2" spans="1:15" ht="18.75" x14ac:dyDescent="0.3">
      <c r="A2" s="36" t="s">
        <v>1</v>
      </c>
      <c r="B2" s="37">
        <v>2</v>
      </c>
      <c r="C2" s="37">
        <v>3</v>
      </c>
      <c r="D2" s="37">
        <v>5</v>
      </c>
      <c r="E2" s="37">
        <v>7</v>
      </c>
      <c r="F2" s="38">
        <v>8</v>
      </c>
      <c r="H2">
        <f>SQRT(((B3-B7)^2+(C3-C7)^2+(D3-D7)^2+(E3-E7)^2+(F3-F7)^2)/5)</f>
        <v>0.72872871061547573</v>
      </c>
    </row>
    <row r="3" spans="1:15" ht="19.5" thickBot="1" x14ac:dyDescent="0.35">
      <c r="A3" s="39" t="s">
        <v>28</v>
      </c>
      <c r="B3" s="40">
        <v>10</v>
      </c>
      <c r="C3" s="40">
        <v>13</v>
      </c>
      <c r="D3" s="40">
        <v>24</v>
      </c>
      <c r="E3" s="40">
        <v>31</v>
      </c>
      <c r="F3" s="41">
        <v>34</v>
      </c>
      <c r="K3" s="21"/>
    </row>
    <row r="4" spans="1:15" ht="18.75" x14ac:dyDescent="0.3">
      <c r="A4" s="52" t="s">
        <v>34</v>
      </c>
      <c r="B4" s="7">
        <f>LN(B1)</f>
        <v>1.0986122886681098</v>
      </c>
      <c r="C4" s="7">
        <f t="shared" ref="C4:F4" si="0">LN(C1)</f>
        <v>1.3862943611198906</v>
      </c>
      <c r="D4" s="7">
        <f t="shared" si="0"/>
        <v>1.6094379124341003</v>
      </c>
      <c r="E4" s="7">
        <f t="shared" si="0"/>
        <v>1.791759469228055</v>
      </c>
      <c r="F4" s="8">
        <f t="shared" si="0"/>
        <v>1.9459101490553132</v>
      </c>
      <c r="H4" s="31" t="s">
        <v>4</v>
      </c>
      <c r="I4" s="32" t="s">
        <v>5</v>
      </c>
      <c r="J4" s="33" t="s">
        <v>44</v>
      </c>
      <c r="K4" s="34" t="s">
        <v>45</v>
      </c>
      <c r="L4" s="21"/>
      <c r="M4" s="53" t="s">
        <v>46</v>
      </c>
    </row>
    <row r="5" spans="1:15" ht="19.5" thickBot="1" x14ac:dyDescent="0.35">
      <c r="A5" s="51" t="s">
        <v>35</v>
      </c>
      <c r="B5" s="4">
        <f>LN(B2)</f>
        <v>0.69314718055994529</v>
      </c>
      <c r="C5" s="4">
        <f t="shared" ref="C5:F5" si="1">LN(C2)</f>
        <v>1.0986122886681098</v>
      </c>
      <c r="D5" s="4">
        <f t="shared" si="1"/>
        <v>1.6094379124341003</v>
      </c>
      <c r="E5" s="4">
        <f t="shared" si="1"/>
        <v>1.9459101490553132</v>
      </c>
      <c r="F5" s="10">
        <f t="shared" si="1"/>
        <v>2.0794415416798357</v>
      </c>
      <c r="H5" s="39">
        <f>B19/B18</f>
        <v>-1.1716623680988905</v>
      </c>
      <c r="I5" s="40">
        <f>B20/B18</f>
        <v>1.5934363334611206</v>
      </c>
      <c r="J5" s="41">
        <f>B21/B18</f>
        <v>2.4697358334856085</v>
      </c>
      <c r="K5">
        <f>EXP(J5)</f>
        <v>11.819324169542167</v>
      </c>
    </row>
    <row r="6" spans="1:15" ht="19.5" thickBot="1" x14ac:dyDescent="0.35">
      <c r="A6" s="54" t="s">
        <v>36</v>
      </c>
      <c r="B6" s="22">
        <f>LN(B3)</f>
        <v>2.3025850929940459</v>
      </c>
      <c r="C6" s="22">
        <f t="shared" ref="C6:F6" si="2">LN(C3)</f>
        <v>2.5649493574615367</v>
      </c>
      <c r="D6" s="22">
        <f t="shared" si="2"/>
        <v>3.1780538303479458</v>
      </c>
      <c r="E6" s="22">
        <f t="shared" si="2"/>
        <v>3.4339872044851463</v>
      </c>
      <c r="F6" s="23">
        <f t="shared" si="2"/>
        <v>3.5263605246161616</v>
      </c>
    </row>
    <row r="7" spans="1:15" ht="19.5" thickBot="1" x14ac:dyDescent="0.35">
      <c r="A7" s="55" t="s">
        <v>33</v>
      </c>
      <c r="B7" s="56">
        <f>$K$5*(B1^$H$5)*B2^$I$5</f>
        <v>9.8455449119205909</v>
      </c>
      <c r="C7" s="56">
        <f t="shared" ref="C7:F7" si="3">$K$5*(C1^$H$5)*C2^$I$5</f>
        <v>13.410468544343024</v>
      </c>
      <c r="D7" s="56">
        <f t="shared" si="3"/>
        <v>23.302364679607987</v>
      </c>
      <c r="E7" s="56">
        <f t="shared" si="3"/>
        <v>32.171553289087583</v>
      </c>
      <c r="F7" s="57">
        <f t="shared" si="3"/>
        <v>33.223047801459209</v>
      </c>
    </row>
    <row r="8" spans="1:15" ht="15.75" thickBot="1" x14ac:dyDescent="0.3"/>
    <row r="9" spans="1:15" ht="18.75" x14ac:dyDescent="0.3">
      <c r="A9" s="27" t="s">
        <v>37</v>
      </c>
      <c r="B9" s="8">
        <f>$B$4^2+$C$4^2+$D$4^2+$E$4^2+$F$4^2</f>
        <v>12.716019714230496</v>
      </c>
      <c r="D9" s="6">
        <f>$B$9</f>
        <v>12.716019714230496</v>
      </c>
      <c r="E9" s="7">
        <f>$B$14</f>
        <v>12.407799761395516</v>
      </c>
      <c r="F9" s="7">
        <f>$B$10</f>
        <v>7.8320141805054693</v>
      </c>
      <c r="G9" s="8">
        <f>$B$15</f>
        <v>24.215163256915513</v>
      </c>
    </row>
    <row r="10" spans="1:15" ht="18.75" x14ac:dyDescent="0.3">
      <c r="A10" s="36" t="s">
        <v>38</v>
      </c>
      <c r="B10" s="10">
        <f>$B$4+$C$4+$D$4+$E$4+$F$4</f>
        <v>7.8320141805054693</v>
      </c>
      <c r="D10" s="9">
        <f>$B$14</f>
        <v>12.407799761395516</v>
      </c>
      <c r="E10" s="4">
        <f>$B$11</f>
        <v>12.388335802171301</v>
      </c>
      <c r="F10" s="4">
        <f>$B$12</f>
        <v>7.4265490723973038</v>
      </c>
      <c r="G10" s="10">
        <f>$B$16</f>
        <v>23.543886690205671</v>
      </c>
    </row>
    <row r="11" spans="1:15" ht="19.5" thickBot="1" x14ac:dyDescent="0.35">
      <c r="A11" s="36" t="s">
        <v>29</v>
      </c>
      <c r="B11" s="10">
        <f>$B$5^2+$C$5^2+$D$5^2+$E$5^2+$F$5^2</f>
        <v>12.388335802171301</v>
      </c>
      <c r="D11" s="11">
        <f>$B$10</f>
        <v>7.8320141805054693</v>
      </c>
      <c r="E11" s="12">
        <f>$B$12</f>
        <v>7.4265490723973038</v>
      </c>
      <c r="F11" s="12">
        <f>5</f>
        <v>5</v>
      </c>
      <c r="G11" s="13">
        <f>$B$13</f>
        <v>15.005936009904836</v>
      </c>
    </row>
    <row r="12" spans="1:15" ht="19.5" thickBot="1" x14ac:dyDescent="0.35">
      <c r="A12" s="36" t="s">
        <v>39</v>
      </c>
      <c r="B12" s="10">
        <f>$B$5+$C$5+$D$5+$E$5+$F$5</f>
        <v>7.4265490723973038</v>
      </c>
    </row>
    <row r="13" spans="1:15" ht="18.75" x14ac:dyDescent="0.3">
      <c r="A13" s="36" t="s">
        <v>40</v>
      </c>
      <c r="B13" s="10">
        <f>$B$6+$C$6+$D$6+$E$6+$F$6</f>
        <v>15.005936009904836</v>
      </c>
      <c r="D13" s="24">
        <f>$B$15</f>
        <v>24.215163256915513</v>
      </c>
      <c r="E13" s="7">
        <f>$B$14</f>
        <v>12.407799761395516</v>
      </c>
      <c r="F13" s="8">
        <f>$B$10</f>
        <v>7.8320141805054693</v>
      </c>
      <c r="O13">
        <v>9</v>
      </c>
    </row>
    <row r="14" spans="1:15" ht="18.75" x14ac:dyDescent="0.3">
      <c r="A14" s="36" t="s">
        <v>41</v>
      </c>
      <c r="B14" s="10">
        <f>B4*B5+C4*C5+D4*D5+E4*E5+F4*F5</f>
        <v>12.407799761395516</v>
      </c>
      <c r="D14" s="25">
        <f>$B$16</f>
        <v>23.543886690205671</v>
      </c>
      <c r="E14" s="4">
        <f>$B$11</f>
        <v>12.388335802171301</v>
      </c>
      <c r="F14" s="10">
        <f>$B$12</f>
        <v>7.4265490723973038</v>
      </c>
    </row>
    <row r="15" spans="1:15" ht="19.5" thickBot="1" x14ac:dyDescent="0.35">
      <c r="A15" s="36" t="s">
        <v>42</v>
      </c>
      <c r="B15" s="10">
        <f>B4*B6+C4*C6+D4*D6+E4*E6+F4*F6</f>
        <v>24.215163256915513</v>
      </c>
      <c r="D15" s="26">
        <f>$B$13</f>
        <v>15.005936009904836</v>
      </c>
      <c r="E15" s="12">
        <f>$B$12</f>
        <v>7.4265490723973038</v>
      </c>
      <c r="F15" s="13">
        <f>5</f>
        <v>5</v>
      </c>
    </row>
    <row r="16" spans="1:15" ht="19.5" thickBot="1" x14ac:dyDescent="0.35">
      <c r="A16" s="39" t="s">
        <v>43</v>
      </c>
      <c r="B16" s="13">
        <f>B5*B6+C5*C6+D5*D6+E5*E6+F5*F6</f>
        <v>23.543886690205671</v>
      </c>
    </row>
    <row r="17" spans="1:6" ht="15.75" thickBot="1" x14ac:dyDescent="0.3">
      <c r="D17" s="6">
        <f>$B$9</f>
        <v>12.716019714230496</v>
      </c>
      <c r="E17" s="8">
        <f>$B$15</f>
        <v>24.215163256915513</v>
      </c>
      <c r="F17" s="8">
        <f>$B$10</f>
        <v>7.8320141805054693</v>
      </c>
    </row>
    <row r="18" spans="1:6" ht="18.75" x14ac:dyDescent="0.3">
      <c r="A18" s="48" t="s">
        <v>13</v>
      </c>
      <c r="B18" s="8">
        <f>MDETERM(D9:F11)</f>
        <v>3.8748674071897242E-2</v>
      </c>
      <c r="D18" s="9">
        <f>$B$14</f>
        <v>12.407799761395516</v>
      </c>
      <c r="E18" s="10">
        <f>$B$16</f>
        <v>23.543886690205671</v>
      </c>
      <c r="F18" s="10">
        <f>$B$12</f>
        <v>7.4265490723973038</v>
      </c>
    </row>
    <row r="19" spans="1:6" ht="19.5" thickBot="1" x14ac:dyDescent="0.35">
      <c r="A19" s="49" t="s">
        <v>14</v>
      </c>
      <c r="B19" s="10">
        <f>MDETERM(D13:F15)</f>
        <v>-4.5400363223771202E-2</v>
      </c>
      <c r="D19" s="11">
        <f>$B$10</f>
        <v>7.8320141805054693</v>
      </c>
      <c r="E19" s="13">
        <f>$B$13</f>
        <v>15.005936009904836</v>
      </c>
      <c r="F19" s="13">
        <f>5</f>
        <v>5</v>
      </c>
    </row>
    <row r="20" spans="1:6" ht="19.5" thickBot="1" x14ac:dyDescent="0.35">
      <c r="A20" s="49" t="s">
        <v>15</v>
      </c>
      <c r="B20" s="10">
        <f>MDETERM(D17:F19)</f>
        <v>6.1743545139603929E-2</v>
      </c>
    </row>
    <row r="21" spans="1:6" ht="19.5" thickBot="1" x14ac:dyDescent="0.35">
      <c r="A21" s="50" t="s">
        <v>16</v>
      </c>
      <c r="B21" s="13">
        <f>MDETERM(D21:F23)</f>
        <v>9.5698988855419317E-2</v>
      </c>
      <c r="D21" s="6">
        <f>$B$9</f>
        <v>12.716019714230496</v>
      </c>
      <c r="E21" s="7">
        <f>$B$14</f>
        <v>12.407799761395516</v>
      </c>
      <c r="F21" s="8">
        <f>$B$15</f>
        <v>24.215163256915513</v>
      </c>
    </row>
    <row r="22" spans="1:6" x14ac:dyDescent="0.25">
      <c r="D22" s="9">
        <f>$B$14</f>
        <v>12.407799761395516</v>
      </c>
      <c r="E22" s="4">
        <f>$B$11</f>
        <v>12.388335802171301</v>
      </c>
      <c r="F22" s="10">
        <f>$B$16</f>
        <v>23.543886690205671</v>
      </c>
    </row>
    <row r="23" spans="1:6" ht="15.75" thickBot="1" x14ac:dyDescent="0.3">
      <c r="D23" s="11">
        <f>$B$10</f>
        <v>7.8320141805054693</v>
      </c>
      <c r="E23" s="12">
        <f>$B$12</f>
        <v>7.4265490723973038</v>
      </c>
      <c r="F23" s="13">
        <f>$B$13</f>
        <v>15.005936009904836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workbookViewId="0">
      <selection activeCell="E1" sqref="E1:E4"/>
    </sheetView>
  </sheetViews>
  <sheetFormatPr defaultColWidth="8.85546875" defaultRowHeight="18.75" x14ac:dyDescent="0.3"/>
  <cols>
    <col min="1" max="3" width="8.85546875" style="58"/>
    <col min="4" max="7" width="13.28515625" style="58" customWidth="1"/>
    <col min="8" max="8" width="9" style="58" customWidth="1"/>
    <col min="9" max="10" width="13.28515625" style="58" customWidth="1"/>
    <col min="11" max="11" width="13.42578125" style="58" customWidth="1"/>
    <col min="12" max="12" width="13.28515625" style="58" customWidth="1"/>
    <col min="13" max="13" width="9" style="58" customWidth="1"/>
    <col min="14" max="16384" width="8.85546875" style="58"/>
  </cols>
  <sheetData>
    <row r="1" spans="1:12" ht="19.5" thickBot="1" x14ac:dyDescent="0.35">
      <c r="A1" s="61">
        <v>7</v>
      </c>
      <c r="B1" s="66">
        <f>A1^2</f>
        <v>49</v>
      </c>
      <c r="C1" s="73" t="s">
        <v>53</v>
      </c>
      <c r="D1" s="74">
        <v>20</v>
      </c>
      <c r="E1" s="70" t="s">
        <v>47</v>
      </c>
      <c r="F1" s="67">
        <f>SUM(A1:A20)*(1/D1)</f>
        <v>4.55</v>
      </c>
    </row>
    <row r="2" spans="1:12" x14ac:dyDescent="0.3">
      <c r="A2" s="62">
        <v>3</v>
      </c>
      <c r="B2" s="63">
        <f t="shared" ref="B2:B20" si="0">A2^2</f>
        <v>9</v>
      </c>
      <c r="C2" s="75" t="s">
        <v>59</v>
      </c>
      <c r="D2" s="77">
        <f>CHIINV(0.025, 19)</f>
        <v>32.852326861729708</v>
      </c>
      <c r="E2" s="71" t="s">
        <v>48</v>
      </c>
      <c r="F2" s="68">
        <f>SUM(B1:B20)*(1/D1)</f>
        <v>26.55</v>
      </c>
      <c r="G2" s="59"/>
    </row>
    <row r="3" spans="1:12" ht="19.5" thickBot="1" x14ac:dyDescent="0.35">
      <c r="A3" s="62">
        <v>8</v>
      </c>
      <c r="B3" s="63">
        <f t="shared" si="0"/>
        <v>64</v>
      </c>
      <c r="C3" s="85" t="s">
        <v>60</v>
      </c>
      <c r="D3" s="82">
        <f>CHIINV(0.975, 19)</f>
        <v>8.9065164819879747</v>
      </c>
      <c r="E3" s="71" t="s">
        <v>49</v>
      </c>
      <c r="F3" s="68">
        <f>F2-(F1^2)</f>
        <v>5.8475000000000037</v>
      </c>
      <c r="G3" s="59"/>
    </row>
    <row r="4" spans="1:12" x14ac:dyDescent="0.3">
      <c r="A4" s="62">
        <v>7</v>
      </c>
      <c r="B4" s="63">
        <f t="shared" si="0"/>
        <v>49</v>
      </c>
      <c r="E4" s="71" t="s">
        <v>50</v>
      </c>
      <c r="F4" s="68">
        <f>SQRT(F3)</f>
        <v>2.4181604578687503</v>
      </c>
      <c r="G4" s="59"/>
    </row>
    <row r="5" spans="1:12" x14ac:dyDescent="0.3">
      <c r="A5" s="62">
        <v>1</v>
      </c>
      <c r="B5" s="63">
        <f t="shared" si="0"/>
        <v>1</v>
      </c>
      <c r="E5" s="71" t="s">
        <v>51</v>
      </c>
      <c r="F5" s="68">
        <f>(D1/(D1-1))*F3</f>
        <v>6.1552631578947405</v>
      </c>
      <c r="G5" s="59"/>
    </row>
    <row r="6" spans="1:12" ht="19.5" thickBot="1" x14ac:dyDescent="0.35">
      <c r="A6" s="62">
        <v>2</v>
      </c>
      <c r="B6" s="63">
        <f t="shared" si="0"/>
        <v>4</v>
      </c>
      <c r="E6" s="72" t="s">
        <v>52</v>
      </c>
      <c r="F6" s="69">
        <f>SQRT(F5)</f>
        <v>2.4809802816416622</v>
      </c>
      <c r="G6" s="59"/>
    </row>
    <row r="7" spans="1:12" ht="19.5" thickBot="1" x14ac:dyDescent="0.35">
      <c r="A7" s="62">
        <v>5</v>
      </c>
      <c r="B7" s="63">
        <f t="shared" si="0"/>
        <v>25</v>
      </c>
      <c r="F7" s="59"/>
      <c r="G7" s="59"/>
    </row>
    <row r="8" spans="1:12" ht="19.5" thickBot="1" x14ac:dyDescent="0.35">
      <c r="A8" s="62">
        <v>1</v>
      </c>
      <c r="B8" s="63">
        <f t="shared" si="0"/>
        <v>1</v>
      </c>
      <c r="D8" s="75" t="s">
        <v>54</v>
      </c>
      <c r="E8" s="84">
        <v>0.9</v>
      </c>
      <c r="F8" s="90" t="s">
        <v>55</v>
      </c>
      <c r="G8" s="86">
        <f>TINV(0.05,19)</f>
        <v>2.0930240544083096</v>
      </c>
      <c r="I8" s="75" t="s">
        <v>54</v>
      </c>
      <c r="J8" s="84">
        <v>0.99</v>
      </c>
      <c r="K8" s="90" t="s">
        <v>55</v>
      </c>
      <c r="L8" s="87">
        <f>TINV(0.005,19)</f>
        <v>3.1737245307923159</v>
      </c>
    </row>
    <row r="9" spans="1:12" ht="19.5" thickBot="1" x14ac:dyDescent="0.35">
      <c r="A9" s="62">
        <v>6</v>
      </c>
      <c r="B9" s="63">
        <f t="shared" si="0"/>
        <v>36</v>
      </c>
      <c r="D9" s="78"/>
      <c r="E9" s="59"/>
      <c r="F9" s="85" t="s">
        <v>55</v>
      </c>
      <c r="G9" s="82">
        <f>TINV((1-E8),19)</f>
        <v>1.7291328115213698</v>
      </c>
      <c r="I9" s="78"/>
      <c r="J9" s="59"/>
      <c r="K9" s="85" t="s">
        <v>55</v>
      </c>
      <c r="L9" s="82">
        <f>TINV((1-J8),19)</f>
        <v>2.860934606464979</v>
      </c>
    </row>
    <row r="10" spans="1:12" x14ac:dyDescent="0.3">
      <c r="A10" s="62">
        <v>2</v>
      </c>
      <c r="B10" s="63">
        <f t="shared" si="0"/>
        <v>4</v>
      </c>
      <c r="D10" s="78" t="s">
        <v>58</v>
      </c>
      <c r="E10" s="88">
        <f>$F$1-($G$8*$F$4/(SQRT($D$1-1)))</f>
        <v>3.3888654861479521</v>
      </c>
      <c r="F10" s="83"/>
      <c r="G10" s="79">
        <f>$F$1-($G$9*$F$4/(SQRT($D$1-1)))</f>
        <v>3.5907392680161641</v>
      </c>
      <c r="I10" s="78" t="s">
        <v>56</v>
      </c>
      <c r="J10" s="88">
        <f>$F$1-($L$8*$F$4/(SQRT($D$1-1)))</f>
        <v>2.7893317064845555</v>
      </c>
      <c r="K10" s="83"/>
      <c r="L10" s="79">
        <f>$F$1-($L$9*$F$4/(SQRT($D$1-1)))</f>
        <v>2.9628563135986932</v>
      </c>
    </row>
    <row r="11" spans="1:12" ht="19.5" thickBot="1" x14ac:dyDescent="0.35">
      <c r="A11" s="62">
        <v>7</v>
      </c>
      <c r="B11" s="63">
        <f t="shared" si="0"/>
        <v>49</v>
      </c>
      <c r="D11" s="80"/>
      <c r="E11" s="89">
        <f>$F$1+($G$8*$F$4/(SQRT($D$1-1)))</f>
        <v>5.7111345138520475</v>
      </c>
      <c r="F11" s="81"/>
      <c r="G11" s="82">
        <f>$F$1+($G$9*$F$4/(SQRT($D$1-1)))</f>
        <v>5.5092607319838356</v>
      </c>
      <c r="I11" s="80"/>
      <c r="J11" s="89">
        <f>$F$1+($L$8*$F$4/(SQRT($D$1-1)))</f>
        <v>6.3106682935154446</v>
      </c>
      <c r="K11" s="81"/>
      <c r="L11" s="82">
        <f>$F$1+($L$9*$F$4/(SQRT($D$1-1)))</f>
        <v>6.1371436864013065</v>
      </c>
    </row>
    <row r="12" spans="1:12" ht="19.5" thickBot="1" x14ac:dyDescent="0.35">
      <c r="A12" s="62">
        <v>3</v>
      </c>
      <c r="B12" s="63">
        <f t="shared" si="0"/>
        <v>9</v>
      </c>
      <c r="D12" s="59"/>
      <c r="E12" s="59"/>
      <c r="F12" s="59"/>
      <c r="G12" s="59"/>
      <c r="I12" s="59"/>
      <c r="J12" s="59"/>
      <c r="K12" s="59"/>
      <c r="L12" s="59"/>
    </row>
    <row r="13" spans="1:12" x14ac:dyDescent="0.3">
      <c r="A13" s="62">
        <v>5</v>
      </c>
      <c r="B13" s="63">
        <f t="shared" si="0"/>
        <v>25</v>
      </c>
      <c r="D13" s="75" t="s">
        <v>54</v>
      </c>
      <c r="E13" s="84">
        <v>0.95</v>
      </c>
      <c r="F13" s="76"/>
      <c r="G13" s="77"/>
      <c r="I13" s="59"/>
      <c r="J13" s="59"/>
      <c r="K13" s="59"/>
      <c r="L13" s="59"/>
    </row>
    <row r="14" spans="1:12" ht="19.5" thickBot="1" x14ac:dyDescent="0.35">
      <c r="A14" s="62">
        <v>6</v>
      </c>
      <c r="B14" s="63">
        <f t="shared" si="0"/>
        <v>36</v>
      </c>
      <c r="D14" s="78"/>
      <c r="E14" s="59"/>
      <c r="F14" s="59"/>
      <c r="G14" s="79"/>
      <c r="I14" s="59"/>
      <c r="J14" s="59"/>
      <c r="K14" s="59"/>
      <c r="L14" s="59"/>
    </row>
    <row r="15" spans="1:12" x14ac:dyDescent="0.3">
      <c r="A15" s="62">
        <v>1</v>
      </c>
      <c r="B15" s="63">
        <f t="shared" si="0"/>
        <v>1</v>
      </c>
      <c r="D15" s="60" t="s">
        <v>57</v>
      </c>
      <c r="E15" s="77">
        <f>(D1*F3)/D2</f>
        <v>3.5598696096086067</v>
      </c>
      <c r="F15" s="60" t="s">
        <v>61</v>
      </c>
      <c r="G15" s="77">
        <f>SQRT(E15)</f>
        <v>1.8867616727103098</v>
      </c>
      <c r="I15" s="59"/>
      <c r="J15" s="59"/>
      <c r="K15" s="59"/>
      <c r="L15" s="59"/>
    </row>
    <row r="16" spans="1:12" ht="19.5" thickBot="1" x14ac:dyDescent="0.35">
      <c r="A16" s="62">
        <v>7</v>
      </c>
      <c r="B16" s="63">
        <f t="shared" si="0"/>
        <v>49</v>
      </c>
      <c r="D16" s="80"/>
      <c r="E16" s="82">
        <f>(D1*F3)/D3</f>
        <v>13.130835185284056</v>
      </c>
      <c r="F16" s="80"/>
      <c r="G16" s="82">
        <f>SQRT(E16)</f>
        <v>3.6236494291368828</v>
      </c>
      <c r="J16" s="59"/>
    </row>
    <row r="17" spans="1:7" x14ac:dyDescent="0.3">
      <c r="A17" s="62">
        <v>2</v>
      </c>
      <c r="B17" s="63">
        <f t="shared" si="0"/>
        <v>4</v>
      </c>
      <c r="F17" s="59"/>
      <c r="G17" s="59"/>
    </row>
    <row r="18" spans="1:7" x14ac:dyDescent="0.3">
      <c r="A18" s="62">
        <v>8</v>
      </c>
      <c r="B18" s="63">
        <f t="shared" si="0"/>
        <v>64</v>
      </c>
    </row>
    <row r="19" spans="1:7" x14ac:dyDescent="0.3">
      <c r="A19" s="62">
        <v>4</v>
      </c>
      <c r="B19" s="63">
        <f t="shared" si="0"/>
        <v>16</v>
      </c>
    </row>
    <row r="20" spans="1:7" ht="19.5" thickBot="1" x14ac:dyDescent="0.35">
      <c r="A20" s="64">
        <v>6</v>
      </c>
      <c r="B20" s="65">
        <f t="shared" si="0"/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7"/>
  <sheetViews>
    <sheetView workbookViewId="0">
      <selection activeCell="L12" sqref="L12"/>
    </sheetView>
  </sheetViews>
  <sheetFormatPr defaultColWidth="8.85546875" defaultRowHeight="18.75" x14ac:dyDescent="0.3"/>
  <cols>
    <col min="1" max="1" width="8.85546875" style="58" customWidth="1"/>
    <col min="2" max="7" width="8.85546875" style="58"/>
    <col min="8" max="8" width="12.28515625" style="58" customWidth="1"/>
    <col min="9" max="9" width="13.140625" style="58" customWidth="1"/>
    <col min="10" max="10" width="11.140625" style="58" customWidth="1"/>
    <col min="11" max="11" width="12.42578125" style="58" customWidth="1"/>
    <col min="12" max="12" width="9.7109375" style="58" customWidth="1"/>
    <col min="13" max="14" width="8.85546875" style="58"/>
    <col min="15" max="16" width="11.85546875" style="58" bestFit="1" customWidth="1"/>
    <col min="17" max="16384" width="8.85546875" style="58"/>
  </cols>
  <sheetData>
    <row r="1" spans="1:22" ht="19.5" thickBot="1" x14ac:dyDescent="0.35">
      <c r="A1" s="60" t="s">
        <v>62</v>
      </c>
      <c r="B1" s="76"/>
      <c r="C1" s="76"/>
      <c r="D1" s="76"/>
      <c r="E1" s="76"/>
      <c r="F1" s="76"/>
      <c r="G1" s="76"/>
      <c r="H1" s="76"/>
      <c r="I1" s="61" t="s">
        <v>64</v>
      </c>
      <c r="J1" s="92">
        <f>SUM(A4:E4)/B2</f>
        <v>5</v>
      </c>
      <c r="K1" s="76"/>
      <c r="L1" s="61" t="s">
        <v>13</v>
      </c>
      <c r="M1" s="92">
        <f>ABS(J1-G4)/SQRT(J3/(B2-1))</f>
        <v>1.4142135623730949</v>
      </c>
      <c r="O1" s="58" t="s">
        <v>67</v>
      </c>
    </row>
    <row r="2" spans="1:22" ht="19.5" thickBot="1" x14ac:dyDescent="0.35">
      <c r="A2" s="60" t="s">
        <v>53</v>
      </c>
      <c r="B2" s="77">
        <v>5</v>
      </c>
      <c r="C2" s="59"/>
      <c r="D2" s="59"/>
      <c r="E2" s="59"/>
      <c r="F2" s="59"/>
      <c r="G2" s="59"/>
      <c r="H2" s="59"/>
      <c r="I2" s="62" t="s">
        <v>65</v>
      </c>
      <c r="J2" s="63">
        <f>SUMSQ(A4:E4)/B2</f>
        <v>27</v>
      </c>
      <c r="K2" s="59"/>
      <c r="L2" s="64" t="s">
        <v>6</v>
      </c>
      <c r="M2" s="65">
        <f>TINV(0.05,B2-1)</f>
        <v>2.7764451051977934</v>
      </c>
      <c r="O2" s="58" t="s">
        <v>68</v>
      </c>
      <c r="V2" s="58">
        <v>17</v>
      </c>
    </row>
    <row r="3" spans="1:22" ht="19.5" thickBot="1" x14ac:dyDescent="0.35">
      <c r="A3" s="165" t="s">
        <v>63</v>
      </c>
      <c r="B3" s="166"/>
      <c r="C3" s="166"/>
      <c r="D3" s="166"/>
      <c r="E3" s="167"/>
      <c r="F3" s="59"/>
      <c r="G3" s="93" t="s">
        <v>4</v>
      </c>
      <c r="H3" s="59"/>
      <c r="I3" s="64" t="s">
        <v>66</v>
      </c>
      <c r="J3" s="65">
        <f>J2-(J1)^2</f>
        <v>2</v>
      </c>
      <c r="K3" s="168" t="s">
        <v>84</v>
      </c>
      <c r="L3" s="169"/>
      <c r="M3" s="170"/>
    </row>
    <row r="4" spans="1:22" ht="19.5" thickBot="1" x14ac:dyDescent="0.35">
      <c r="A4" s="64">
        <v>6</v>
      </c>
      <c r="B4" s="94">
        <v>3</v>
      </c>
      <c r="C4" s="94">
        <v>4</v>
      </c>
      <c r="D4" s="94">
        <v>5</v>
      </c>
      <c r="E4" s="65">
        <v>7</v>
      </c>
      <c r="F4" s="81"/>
      <c r="G4" s="95">
        <v>4</v>
      </c>
      <c r="H4" s="81"/>
      <c r="I4" s="81"/>
      <c r="J4" s="81"/>
      <c r="K4" s="81"/>
      <c r="L4" s="81"/>
      <c r="M4" s="82"/>
    </row>
    <row r="5" spans="1:22" ht="19.5" thickBot="1" x14ac:dyDescent="0.35"/>
    <row r="6" spans="1:22" ht="19.5" thickBot="1" x14ac:dyDescent="0.35">
      <c r="A6" s="60" t="s">
        <v>69</v>
      </c>
      <c r="B6" s="76"/>
      <c r="C6" s="76"/>
      <c r="D6" s="76"/>
      <c r="E6" s="76"/>
      <c r="F6" s="76"/>
      <c r="G6" s="76"/>
      <c r="H6" s="76"/>
      <c r="I6" s="61" t="s">
        <v>64</v>
      </c>
      <c r="J6" s="96">
        <f>SUM(B8:F8)/B7</f>
        <v>139</v>
      </c>
      <c r="K6" s="61" t="s">
        <v>75</v>
      </c>
      <c r="L6" s="96">
        <f>SUM(B9:G9)/E7</f>
        <v>103.66666666666667</v>
      </c>
      <c r="M6" s="76"/>
      <c r="N6" s="61" t="s">
        <v>13</v>
      </c>
      <c r="O6" s="92">
        <f>ABS(J6-L6)/SQRT((J8/(B7-1))+(L8/(E7-1)))</f>
        <v>7.5426215098271081</v>
      </c>
    </row>
    <row r="7" spans="1:22" ht="19.5" thickBot="1" x14ac:dyDescent="0.35">
      <c r="A7" s="102" t="s">
        <v>72</v>
      </c>
      <c r="B7" s="103">
        <v>5</v>
      </c>
      <c r="C7" s="104"/>
      <c r="D7" s="105" t="s">
        <v>73</v>
      </c>
      <c r="E7" s="74">
        <v>6</v>
      </c>
      <c r="F7" s="59"/>
      <c r="G7" s="59"/>
      <c r="H7" s="59"/>
      <c r="I7" s="62" t="s">
        <v>65</v>
      </c>
      <c r="J7" s="97">
        <f>SUMSQ(B8:F8)/B7</f>
        <v>19374.2</v>
      </c>
      <c r="K7" s="62" t="s">
        <v>74</v>
      </c>
      <c r="L7" s="97">
        <f>SUMSQ(B9:G9)/E7</f>
        <v>10790</v>
      </c>
      <c r="M7" s="59"/>
      <c r="N7" s="64" t="s">
        <v>6</v>
      </c>
      <c r="O7" s="65">
        <f>TINV(0.1,(B7-1)+(E7-1))</f>
        <v>1.8331129326562374</v>
      </c>
    </row>
    <row r="8" spans="1:22" ht="19.5" thickBot="1" x14ac:dyDescent="0.35">
      <c r="A8" s="61" t="s">
        <v>70</v>
      </c>
      <c r="B8" s="100">
        <v>145</v>
      </c>
      <c r="C8" s="100">
        <v>128</v>
      </c>
      <c r="D8" s="100">
        <v>133</v>
      </c>
      <c r="E8" s="100">
        <v>142</v>
      </c>
      <c r="F8" s="100">
        <v>147</v>
      </c>
      <c r="G8" s="92" t="s">
        <v>71</v>
      </c>
      <c r="H8" s="59"/>
      <c r="I8" s="64" t="s">
        <v>66</v>
      </c>
      <c r="J8" s="98">
        <f>J7-(J6)^2</f>
        <v>53.200000000000728</v>
      </c>
      <c r="K8" s="64" t="s">
        <v>78</v>
      </c>
      <c r="L8" s="98">
        <f>L7-(L6)^2</f>
        <v>43.222222222220807</v>
      </c>
      <c r="M8" s="168" t="s">
        <v>85</v>
      </c>
      <c r="N8" s="169"/>
      <c r="O8" s="170"/>
    </row>
    <row r="9" spans="1:22" ht="38.25" thickBot="1" x14ac:dyDescent="0.35">
      <c r="A9" s="101" t="s">
        <v>83</v>
      </c>
      <c r="B9" s="94">
        <v>112</v>
      </c>
      <c r="C9" s="94">
        <v>103</v>
      </c>
      <c r="D9" s="94">
        <v>95</v>
      </c>
      <c r="E9" s="94">
        <v>112</v>
      </c>
      <c r="F9" s="94">
        <v>97</v>
      </c>
      <c r="G9" s="65">
        <v>103</v>
      </c>
      <c r="H9" s="81"/>
      <c r="I9" s="81"/>
      <c r="J9" s="81"/>
      <c r="K9" s="81"/>
      <c r="L9" s="81"/>
      <c r="M9" s="81"/>
      <c r="N9" s="81"/>
      <c r="O9" s="82"/>
    </row>
    <row r="10" spans="1:22" ht="19.5" thickBot="1" x14ac:dyDescent="0.35"/>
    <row r="11" spans="1:22" ht="19.5" thickBot="1" x14ac:dyDescent="0.35">
      <c r="A11" s="60" t="s">
        <v>76</v>
      </c>
      <c r="B11" s="76"/>
      <c r="C11" s="76"/>
      <c r="D11" s="76"/>
      <c r="E11" s="76"/>
      <c r="F11" s="76"/>
      <c r="G11" s="76"/>
      <c r="H11" s="61" t="s">
        <v>64</v>
      </c>
      <c r="I11" s="92">
        <f>SUM(B13:F13)/B12</f>
        <v>3.6</v>
      </c>
      <c r="J11" s="61" t="s">
        <v>75</v>
      </c>
      <c r="K11" s="92">
        <f>SUM(B14:F14)/B12</f>
        <v>0.88000000000000012</v>
      </c>
      <c r="L11" s="107" t="s">
        <v>79</v>
      </c>
      <c r="M11" s="92">
        <f>SUMPRODUCT(B13:F13,B14:F14)/B12</f>
        <v>3.3200000000000003</v>
      </c>
      <c r="N11" s="76"/>
      <c r="O11" s="61" t="s">
        <v>13</v>
      </c>
      <c r="P11" s="92">
        <f>(ABS(M12)*SQRT(B12-2))/(SQRT(1-(M12)^2))</f>
        <v>0.92118392501294311</v>
      </c>
    </row>
    <row r="12" spans="1:22" ht="19.5" thickBot="1" x14ac:dyDescent="0.35">
      <c r="A12" s="60" t="s">
        <v>77</v>
      </c>
      <c r="B12" s="77">
        <v>5</v>
      </c>
      <c r="C12" s="59"/>
      <c r="D12" s="59"/>
      <c r="E12" s="59"/>
      <c r="F12" s="59"/>
      <c r="G12" s="59"/>
      <c r="H12" s="62" t="s">
        <v>65</v>
      </c>
      <c r="I12" s="63">
        <f>SUMSQ(B13:F13)/B12</f>
        <v>13.7</v>
      </c>
      <c r="J12" s="62" t="s">
        <v>74</v>
      </c>
      <c r="K12" s="63">
        <f>SUMSQ(B14:F14)/B12</f>
        <v>0.91600000000000004</v>
      </c>
      <c r="L12" s="99" t="s">
        <v>82</v>
      </c>
      <c r="M12" s="63">
        <f>(M11-I11*K11)/(I14*K14)</f>
        <v>0.46956541409988511</v>
      </c>
      <c r="N12" s="59"/>
      <c r="O12" s="64" t="s">
        <v>6</v>
      </c>
      <c r="P12" s="65">
        <f>TINV(0.05,B12-2)</f>
        <v>3.1824463052837091</v>
      </c>
    </row>
    <row r="13" spans="1:22" x14ac:dyDescent="0.3">
      <c r="A13" s="61" t="s">
        <v>0</v>
      </c>
      <c r="B13" s="109">
        <v>5</v>
      </c>
      <c r="C13" s="109">
        <v>3</v>
      </c>
      <c r="D13" s="109">
        <v>2.5</v>
      </c>
      <c r="E13" s="109">
        <v>3.5</v>
      </c>
      <c r="F13" s="110">
        <v>4</v>
      </c>
      <c r="G13" s="59"/>
      <c r="H13" s="62" t="s">
        <v>66</v>
      </c>
      <c r="I13" s="63">
        <f>I12-(I11)^2</f>
        <v>0.73999999999999844</v>
      </c>
      <c r="J13" s="62" t="s">
        <v>78</v>
      </c>
      <c r="K13" s="63">
        <f>K12-(K11)^2</f>
        <v>0.14159999999999984</v>
      </c>
      <c r="L13" s="99"/>
      <c r="M13" s="63"/>
      <c r="N13" s="168" t="s">
        <v>84</v>
      </c>
      <c r="O13" s="169"/>
      <c r="P13" s="170"/>
    </row>
    <row r="14" spans="1:22" ht="19.5" thickBot="1" x14ac:dyDescent="0.35">
      <c r="A14" s="64" t="s">
        <v>1</v>
      </c>
      <c r="B14" s="111">
        <v>0.9</v>
      </c>
      <c r="C14" s="111">
        <v>1</v>
      </c>
      <c r="D14" s="111">
        <v>0.4</v>
      </c>
      <c r="E14" s="111">
        <v>0.6</v>
      </c>
      <c r="F14" s="112">
        <v>1.5</v>
      </c>
      <c r="G14" s="81"/>
      <c r="H14" s="106" t="s">
        <v>80</v>
      </c>
      <c r="I14" s="65">
        <f>SQRT(I13)</f>
        <v>0.86023252670426176</v>
      </c>
      <c r="J14" s="64" t="s">
        <v>81</v>
      </c>
      <c r="K14" s="65">
        <f>SQRT(K13)</f>
        <v>0.37629775444453539</v>
      </c>
      <c r="L14" s="108"/>
      <c r="M14" s="65"/>
      <c r="N14" s="81"/>
      <c r="O14" s="81"/>
      <c r="P14" s="82"/>
    </row>
    <row r="15" spans="1:22" x14ac:dyDescent="0.3">
      <c r="H15" s="91"/>
      <c r="I15" s="59"/>
      <c r="J15" s="59"/>
      <c r="K15" s="59"/>
      <c r="L15" s="59"/>
      <c r="M15" s="59"/>
    </row>
    <row r="16" spans="1:22" x14ac:dyDescent="0.3">
      <c r="H16" s="91"/>
    </row>
    <row r="17" spans="8:8" x14ac:dyDescent="0.3">
      <c r="H17" s="91"/>
    </row>
  </sheetData>
  <mergeCells count="4">
    <mergeCell ref="A3:E3"/>
    <mergeCell ref="K3:M3"/>
    <mergeCell ref="M8:O8"/>
    <mergeCell ref="N13:P13"/>
  </mergeCells>
  <conditionalFormatting sqref="H11:J13 H14 L11:M13">
    <cfRule type="duplicateValues" dxfId="1" priority="2"/>
  </conditionalFormatting>
  <conditionalFormatting sqref="K11:K1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"/>
  <sheetViews>
    <sheetView workbookViewId="0">
      <selection activeCell="J14" sqref="J14:N15"/>
    </sheetView>
  </sheetViews>
  <sheetFormatPr defaultColWidth="8.85546875" defaultRowHeight="18.75" x14ac:dyDescent="0.3"/>
  <cols>
    <col min="1" max="6" width="8.85546875" style="58"/>
    <col min="7" max="7" width="17.7109375" style="58" customWidth="1"/>
    <col min="8" max="16384" width="8.85546875" style="58"/>
  </cols>
  <sheetData>
    <row r="1" spans="1:14" x14ac:dyDescent="0.3">
      <c r="A1" s="61" t="s">
        <v>117</v>
      </c>
      <c r="B1" s="100" t="s">
        <v>118</v>
      </c>
      <c r="C1" s="100" t="s">
        <v>119</v>
      </c>
      <c r="D1" s="100" t="s">
        <v>120</v>
      </c>
      <c r="E1" s="100" t="s">
        <v>121</v>
      </c>
      <c r="F1" s="100"/>
      <c r="G1" s="92" t="s">
        <v>102</v>
      </c>
      <c r="K1" s="58">
        <v>15</v>
      </c>
    </row>
    <row r="2" spans="1:14" x14ac:dyDescent="0.3">
      <c r="A2" s="117">
        <v>4</v>
      </c>
      <c r="B2" s="121">
        <v>6</v>
      </c>
      <c r="C2" s="121">
        <v>8</v>
      </c>
      <c r="D2" s="121">
        <v>10</v>
      </c>
      <c r="E2" s="121">
        <v>12</v>
      </c>
      <c r="F2" s="121"/>
      <c r="G2" s="97" t="s">
        <v>113</v>
      </c>
    </row>
    <row r="3" spans="1:14" x14ac:dyDescent="0.3">
      <c r="A3" s="117">
        <v>6</v>
      </c>
      <c r="B3" s="121">
        <v>8</v>
      </c>
      <c r="C3" s="121">
        <v>10</v>
      </c>
      <c r="D3" s="121">
        <v>12</v>
      </c>
      <c r="E3" s="121">
        <v>14</v>
      </c>
      <c r="F3" s="121"/>
      <c r="G3" s="63" t="s">
        <v>114</v>
      </c>
    </row>
    <row r="4" spans="1:14" x14ac:dyDescent="0.3">
      <c r="A4" s="117">
        <v>5</v>
      </c>
      <c r="B4" s="121">
        <v>7</v>
      </c>
      <c r="C4" s="121">
        <v>9</v>
      </c>
      <c r="D4" s="121">
        <v>11</v>
      </c>
      <c r="E4" s="121">
        <v>13</v>
      </c>
      <c r="F4" s="121"/>
      <c r="G4" s="63" t="s">
        <v>115</v>
      </c>
    </row>
    <row r="5" spans="1:14" x14ac:dyDescent="0.3">
      <c r="A5" s="117">
        <f>A4^2</f>
        <v>25</v>
      </c>
      <c r="B5" s="121">
        <f t="shared" ref="B5:E5" si="0">B4^2</f>
        <v>49</v>
      </c>
      <c r="C5" s="121">
        <f t="shared" si="0"/>
        <v>81</v>
      </c>
      <c r="D5" s="121">
        <f t="shared" si="0"/>
        <v>121</v>
      </c>
      <c r="E5" s="121">
        <f t="shared" si="0"/>
        <v>169</v>
      </c>
      <c r="F5" s="121"/>
      <c r="G5" s="63" t="s">
        <v>116</v>
      </c>
    </row>
    <row r="6" spans="1:14" x14ac:dyDescent="0.3">
      <c r="A6" s="117">
        <v>20</v>
      </c>
      <c r="B6" s="121">
        <v>24</v>
      </c>
      <c r="C6" s="121">
        <v>44</v>
      </c>
      <c r="D6" s="121">
        <v>34</v>
      </c>
      <c r="E6" s="121">
        <v>28</v>
      </c>
      <c r="F6" s="121">
        <f>SUM(A6:E6)</f>
        <v>150</v>
      </c>
      <c r="G6" s="63" t="s">
        <v>105</v>
      </c>
    </row>
    <row r="7" spans="1:14" x14ac:dyDescent="0.3">
      <c r="A7" s="62">
        <f>A6/$F$6</f>
        <v>0.13333333333333333</v>
      </c>
      <c r="B7" s="128">
        <f t="shared" ref="B7:E7" si="1">B6/$F$6</f>
        <v>0.16</v>
      </c>
      <c r="C7" s="128">
        <f t="shared" si="1"/>
        <v>0.29333333333333333</v>
      </c>
      <c r="D7" s="128">
        <f t="shared" si="1"/>
        <v>0.22666666666666666</v>
      </c>
      <c r="E7" s="128">
        <f t="shared" si="1"/>
        <v>0.18666666666666668</v>
      </c>
      <c r="F7" s="128">
        <f>SUM(A7:E7)</f>
        <v>1</v>
      </c>
      <c r="G7" s="129" t="s">
        <v>94</v>
      </c>
    </row>
    <row r="8" spans="1:14" ht="19.5" thickBot="1" x14ac:dyDescent="0.35">
      <c r="A8" s="64">
        <f>NORMSDIST((A3-$H$10)/$H$13)-NORMSDIST((A2-$H$10)/$H$13)</f>
        <v>7.7112930191654105E-2</v>
      </c>
      <c r="B8" s="94">
        <f t="shared" ref="B8:E8" si="2">NORMSDIST((B3-$H$10)/$H$13)-NORMSDIST((B2-$H$10)/$H$13)</f>
        <v>0.20389400975594807</v>
      </c>
      <c r="C8" s="94">
        <f t="shared" si="2"/>
        <v>0.30144200173289537</v>
      </c>
      <c r="D8" s="94">
        <f t="shared" si="2"/>
        <v>0.24936457701538239</v>
      </c>
      <c r="E8" s="94">
        <f t="shared" si="2"/>
        <v>0.1153840463810899</v>
      </c>
      <c r="F8" s="94"/>
      <c r="G8" s="130" t="s">
        <v>109</v>
      </c>
    </row>
    <row r="9" spans="1:14" ht="19.5" thickBot="1" x14ac:dyDescent="0.35">
      <c r="G9" s="127" t="s">
        <v>93</v>
      </c>
      <c r="H9" s="125">
        <v>5</v>
      </c>
    </row>
    <row r="10" spans="1:14" ht="19.5" thickBot="1" x14ac:dyDescent="0.35">
      <c r="A10" s="131">
        <f>((A8-A7)^2)/A8</f>
        <v>4.0988375380851753E-2</v>
      </c>
      <c r="B10" s="132">
        <f t="shared" ref="B10:E10" si="3">((B8-B7)^2)/B8</f>
        <v>9.4494394159074027E-3</v>
      </c>
      <c r="C10" s="132">
        <f t="shared" si="3"/>
        <v>2.1811991307142651E-4</v>
      </c>
      <c r="D10" s="132">
        <f t="shared" si="3"/>
        <v>2.0660317530446855E-3</v>
      </c>
      <c r="E10" s="125">
        <f t="shared" si="3"/>
        <v>4.4037387439122375E-2</v>
      </c>
      <c r="G10" s="124" t="s">
        <v>47</v>
      </c>
      <c r="H10" s="126">
        <f>SUMPRODUCT(A6:E6,A4:E4)*(1/F6)</f>
        <v>9.3466666666666676</v>
      </c>
    </row>
    <row r="11" spans="1:14" x14ac:dyDescent="0.3">
      <c r="G11" s="117" t="s">
        <v>48</v>
      </c>
      <c r="H11" s="63">
        <f>SUMPRODUCT(A6:E6,A5:E5)*(1/F6)</f>
        <v>93.906666666666666</v>
      </c>
    </row>
    <row r="12" spans="1:14" x14ac:dyDescent="0.3">
      <c r="G12" s="117" t="s">
        <v>49</v>
      </c>
      <c r="H12" s="63">
        <f>H11-(H10^2)</f>
        <v>6.5464888888888737</v>
      </c>
    </row>
    <row r="13" spans="1:14" x14ac:dyDescent="0.3">
      <c r="G13" s="117" t="s">
        <v>50</v>
      </c>
      <c r="H13" s="63">
        <f>SQRT(H12)</f>
        <v>2.55861073414634</v>
      </c>
    </row>
    <row r="14" spans="1:14" x14ac:dyDescent="0.3">
      <c r="G14" s="122" t="s">
        <v>110</v>
      </c>
      <c r="H14" s="63">
        <f>F6*SUM(A10:E10)</f>
        <v>14.513903085299646</v>
      </c>
      <c r="J14" s="171" t="s">
        <v>122</v>
      </c>
      <c r="K14" s="171"/>
      <c r="L14" s="171"/>
      <c r="M14" s="171"/>
      <c r="N14" s="171"/>
    </row>
    <row r="15" spans="1:14" ht="19.5" thickBot="1" x14ac:dyDescent="0.35">
      <c r="G15" s="123" t="s">
        <v>6</v>
      </c>
      <c r="H15" s="65">
        <f>CHIINV(0.05,H9-3)</f>
        <v>5.9914645471079817</v>
      </c>
      <c r="J15" s="171" t="s">
        <v>123</v>
      </c>
      <c r="K15" s="171"/>
      <c r="L15" s="171"/>
      <c r="M15" s="171"/>
      <c r="N15" s="171"/>
    </row>
  </sheetData>
  <mergeCells count="2">
    <mergeCell ref="J15:N15"/>
    <mergeCell ref="J14:N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8D7A-1B53-486F-A792-7EDD639857EE}">
  <dimension ref="A1:X32"/>
  <sheetViews>
    <sheetView tabSelected="1" workbookViewId="0">
      <selection activeCell="E23" sqref="E23"/>
    </sheetView>
  </sheetViews>
  <sheetFormatPr defaultRowHeight="15" x14ac:dyDescent="0.25"/>
  <cols>
    <col min="1" max="1" width="15.7109375" customWidth="1"/>
    <col min="2" max="2" width="11.42578125" bestFit="1" customWidth="1"/>
  </cols>
  <sheetData>
    <row r="1" spans="1:24" ht="15.75" thickBot="1" x14ac:dyDescent="0.3">
      <c r="A1" s="6" t="s">
        <v>146</v>
      </c>
      <c r="B1" s="7">
        <v>5</v>
      </c>
      <c r="C1" s="7">
        <v>2</v>
      </c>
      <c r="D1" s="7">
        <v>4</v>
      </c>
      <c r="E1" s="7">
        <v>6</v>
      </c>
      <c r="F1" s="7">
        <v>1</v>
      </c>
      <c r="G1" s="8">
        <v>3</v>
      </c>
      <c r="H1" s="136" t="s">
        <v>77</v>
      </c>
      <c r="I1" s="137">
        <v>6</v>
      </c>
      <c r="P1" t="s">
        <v>145</v>
      </c>
    </row>
    <row r="2" spans="1:24" ht="15.75" thickBot="1" x14ac:dyDescent="0.3">
      <c r="A2" s="11" t="s">
        <v>124</v>
      </c>
      <c r="B2" s="12">
        <v>6</v>
      </c>
      <c r="C2" s="12">
        <v>1</v>
      </c>
      <c r="D2" s="12">
        <v>3</v>
      </c>
      <c r="E2" s="12">
        <v>5</v>
      </c>
      <c r="F2" s="12">
        <v>4</v>
      </c>
      <c r="G2" s="13">
        <v>2</v>
      </c>
    </row>
    <row r="3" spans="1:24" ht="18.75" x14ac:dyDescent="0.3">
      <c r="A3" s="6" t="s">
        <v>6</v>
      </c>
      <c r="B3" s="133">
        <f>TINV(0.05,4)</f>
        <v>2.7764451051977934</v>
      </c>
      <c r="C3" s="171" t="s">
        <v>147</v>
      </c>
      <c r="D3" s="171"/>
      <c r="E3" s="171"/>
      <c r="F3" s="171"/>
      <c r="G3" s="171"/>
    </row>
    <row r="4" spans="1:24" ht="18.75" x14ac:dyDescent="0.3">
      <c r="A4" s="9" t="s">
        <v>125</v>
      </c>
      <c r="B4" s="134">
        <f>1-((6*SUMXMY2(B1:G1,B2:G2))/(I1^3-I1))</f>
        <v>0.6</v>
      </c>
      <c r="C4" s="171" t="s">
        <v>148</v>
      </c>
      <c r="D4" s="171"/>
      <c r="E4" s="171"/>
      <c r="F4" s="171"/>
      <c r="G4" s="171"/>
    </row>
    <row r="5" spans="1:24" ht="15.75" thickBot="1" x14ac:dyDescent="0.3">
      <c r="A5" s="11" t="s">
        <v>126</v>
      </c>
      <c r="B5" s="135">
        <f>B4*(SQRT((I1-2)/(1-B4^2)))</f>
        <v>1.5</v>
      </c>
      <c r="V5" s="149"/>
      <c r="W5" s="149"/>
      <c r="X5" s="149"/>
    </row>
    <row r="6" spans="1:24" ht="19.5" thickBot="1" x14ac:dyDescent="0.35">
      <c r="A6" s="138" t="s">
        <v>71</v>
      </c>
      <c r="B6" s="138" t="s">
        <v>128</v>
      </c>
      <c r="C6" s="138" t="s">
        <v>128</v>
      </c>
      <c r="D6" s="138" t="s">
        <v>128</v>
      </c>
      <c r="E6" s="138" t="s">
        <v>128</v>
      </c>
      <c r="F6" s="138" t="s">
        <v>71</v>
      </c>
      <c r="G6" s="138" t="s">
        <v>128</v>
      </c>
      <c r="H6" s="138" t="s">
        <v>71</v>
      </c>
      <c r="I6" s="138" t="s">
        <v>128</v>
      </c>
      <c r="J6" s="138" t="s">
        <v>71</v>
      </c>
      <c r="K6" s="138" t="s">
        <v>71</v>
      </c>
      <c r="M6" s="138" t="s">
        <v>128</v>
      </c>
      <c r="N6" s="138" t="s">
        <v>128</v>
      </c>
      <c r="O6" s="138" t="s">
        <v>128</v>
      </c>
      <c r="P6" s="138" t="s">
        <v>128</v>
      </c>
      <c r="Q6" s="138" t="s">
        <v>128</v>
      </c>
      <c r="T6" s="138" t="s">
        <v>128</v>
      </c>
      <c r="V6" s="149"/>
      <c r="W6" s="149"/>
      <c r="X6" s="149"/>
    </row>
    <row r="7" spans="1:24" ht="18.75" x14ac:dyDescent="0.3">
      <c r="A7" s="139">
        <v>1.5</v>
      </c>
      <c r="B7" s="140">
        <v>1.9</v>
      </c>
      <c r="C7" s="140">
        <v>2.1</v>
      </c>
      <c r="D7" s="140">
        <v>3.4</v>
      </c>
      <c r="E7" s="140">
        <v>1.8</v>
      </c>
      <c r="F7" s="141">
        <v>2</v>
      </c>
      <c r="G7" s="141">
        <v>2.6</v>
      </c>
      <c r="H7" s="141">
        <v>1.7</v>
      </c>
      <c r="I7" s="141">
        <v>2.4</v>
      </c>
      <c r="J7" s="141">
        <v>1.7</v>
      </c>
      <c r="K7" s="141">
        <v>1.3</v>
      </c>
      <c r="L7" s="141">
        <v>1.8</v>
      </c>
      <c r="M7" s="141">
        <v>2.2999999999999998</v>
      </c>
      <c r="N7" s="141">
        <v>3.1</v>
      </c>
      <c r="O7" s="141">
        <v>1.7</v>
      </c>
      <c r="P7" s="141">
        <v>2.2999999999999998</v>
      </c>
      <c r="Q7" s="141">
        <v>2.5</v>
      </c>
      <c r="R7" s="141">
        <v>1.7</v>
      </c>
      <c r="S7" s="141">
        <v>2.1</v>
      </c>
      <c r="T7" s="133">
        <v>2.8</v>
      </c>
      <c r="V7" s="149"/>
      <c r="W7" s="149"/>
      <c r="X7" s="149"/>
    </row>
    <row r="8" spans="1:24" ht="15.75" thickBot="1" x14ac:dyDescent="0.3">
      <c r="A8" s="142">
        <v>2.2000000000000002</v>
      </c>
      <c r="B8" s="143">
        <v>1.6</v>
      </c>
      <c r="C8" s="143">
        <v>1.3</v>
      </c>
      <c r="D8" s="143">
        <v>2.2000000000000002</v>
      </c>
      <c r="E8" s="143">
        <v>1.3</v>
      </c>
      <c r="F8" s="143">
        <v>2.1</v>
      </c>
      <c r="G8" s="143">
        <v>2.2000000000000002</v>
      </c>
      <c r="H8" s="143">
        <v>1.9</v>
      </c>
      <c r="I8" s="143">
        <v>2.2999999999999998</v>
      </c>
      <c r="J8" s="143">
        <v>2</v>
      </c>
      <c r="K8" s="143">
        <v>2.1</v>
      </c>
      <c r="L8" s="143">
        <v>1.8</v>
      </c>
      <c r="M8" s="143">
        <v>1.3</v>
      </c>
      <c r="N8" s="143">
        <v>2.2000000000000002</v>
      </c>
      <c r="O8" s="143">
        <v>1.3</v>
      </c>
      <c r="P8" s="143">
        <v>2.1</v>
      </c>
      <c r="Q8" s="143">
        <v>2.2000000000000002</v>
      </c>
      <c r="R8" s="143">
        <v>1.7</v>
      </c>
      <c r="S8" s="143">
        <v>2.1</v>
      </c>
      <c r="T8" s="135">
        <v>2</v>
      </c>
      <c r="V8" s="149"/>
      <c r="W8" s="149"/>
      <c r="X8" s="149"/>
    </row>
    <row r="9" spans="1:24" ht="15.75" thickBot="1" x14ac:dyDescent="0.3">
      <c r="A9" s="192" t="s">
        <v>142</v>
      </c>
      <c r="B9" s="193"/>
      <c r="C9" s="193"/>
      <c r="D9" s="193"/>
      <c r="E9" s="193"/>
      <c r="F9" s="194"/>
      <c r="G9" s="113"/>
      <c r="H9" s="113"/>
      <c r="I9" s="113"/>
      <c r="J9" s="113"/>
      <c r="K9" s="113"/>
      <c r="L9" s="113"/>
      <c r="M9" s="113"/>
      <c r="N9" s="113"/>
    </row>
    <row r="10" spans="1:24" x14ac:dyDescent="0.25">
      <c r="A10" s="150" t="s">
        <v>77</v>
      </c>
      <c r="B10" s="151">
        <v>20</v>
      </c>
      <c r="C10" s="113"/>
      <c r="D10" s="113"/>
      <c r="E10" s="113"/>
      <c r="F10" s="113"/>
      <c r="G10" s="173" t="s">
        <v>149</v>
      </c>
      <c r="H10" s="174"/>
      <c r="I10" s="174"/>
      <c r="J10" s="174"/>
      <c r="K10" s="175"/>
      <c r="L10" s="113"/>
      <c r="M10" s="113" t="s">
        <v>71</v>
      </c>
      <c r="N10" s="172" t="s">
        <v>144</v>
      </c>
      <c r="O10" s="172"/>
      <c r="P10" s="172"/>
      <c r="Q10" s="172"/>
    </row>
    <row r="11" spans="1:24" x14ac:dyDescent="0.25">
      <c r="A11" s="144" t="s">
        <v>127</v>
      </c>
      <c r="B11" s="134">
        <v>0.05</v>
      </c>
      <c r="C11" s="113"/>
      <c r="D11" s="172"/>
      <c r="E11" s="172"/>
      <c r="F11" s="172"/>
      <c r="G11" s="176"/>
      <c r="H11" s="177"/>
      <c r="I11" s="177"/>
      <c r="J11" s="177"/>
      <c r="K11" s="178"/>
      <c r="L11" s="113"/>
      <c r="M11" s="113" t="s">
        <v>128</v>
      </c>
      <c r="N11" s="172" t="s">
        <v>143</v>
      </c>
      <c r="O11" s="172"/>
      <c r="P11" s="172"/>
      <c r="Q11" s="172"/>
    </row>
    <row r="12" spans="1:24" ht="15.75" thickBot="1" x14ac:dyDescent="0.3">
      <c r="A12" s="9" t="s">
        <v>23</v>
      </c>
      <c r="B12" s="145">
        <v>5</v>
      </c>
      <c r="G12" s="179"/>
      <c r="H12" s="180"/>
      <c r="I12" s="180"/>
      <c r="J12" s="180"/>
      <c r="K12" s="181"/>
    </row>
    <row r="13" spans="1:24" ht="15.75" thickBot="1" x14ac:dyDescent="0.3">
      <c r="A13" s="146" t="s">
        <v>6</v>
      </c>
      <c r="B13" s="147">
        <v>5</v>
      </c>
    </row>
    <row r="14" spans="1:24" x14ac:dyDescent="0.25">
      <c r="K14" s="6">
        <f>AVERAGE(A23:B23)</f>
        <v>1.5</v>
      </c>
      <c r="L14" s="7">
        <f>AVERAGE(C23:G23)</f>
        <v>5</v>
      </c>
      <c r="M14" s="7">
        <f>AVERAGE(H23:K23)</f>
        <v>9.5</v>
      </c>
      <c r="N14" s="8">
        <f>AVERAGE(L23:P23)</f>
        <v>14</v>
      </c>
      <c r="P14" t="s">
        <v>133</v>
      </c>
    </row>
    <row r="15" spans="1:24" ht="15.75" thickBot="1" x14ac:dyDescent="0.3">
      <c r="K15" s="11">
        <v>2</v>
      </c>
      <c r="L15" s="12">
        <v>3</v>
      </c>
      <c r="M15" s="12">
        <v>4</v>
      </c>
      <c r="N15" s="13">
        <v>5</v>
      </c>
      <c r="P15" t="s">
        <v>134</v>
      </c>
    </row>
    <row r="16" spans="1:24" x14ac:dyDescent="0.25">
      <c r="A16" s="6" t="s">
        <v>129</v>
      </c>
      <c r="B16" s="159">
        <v>4</v>
      </c>
      <c r="C16" s="156">
        <v>2</v>
      </c>
      <c r="D16" s="152">
        <v>5</v>
      </c>
      <c r="E16" s="158">
        <v>4</v>
      </c>
      <c r="F16" s="156">
        <v>2</v>
      </c>
      <c r="G16" s="152">
        <v>5</v>
      </c>
      <c r="H16" s="157">
        <v>3</v>
      </c>
      <c r="I16" s="153">
        <v>5</v>
      </c>
      <c r="K16">
        <v>2</v>
      </c>
      <c r="L16">
        <v>1</v>
      </c>
      <c r="M16">
        <v>2</v>
      </c>
      <c r="N16">
        <v>3</v>
      </c>
      <c r="O16">
        <f>SUM(K16:N16)</f>
        <v>8</v>
      </c>
      <c r="P16" t="s">
        <v>135</v>
      </c>
    </row>
    <row r="17" spans="1:18" ht="15.75" thickBot="1" x14ac:dyDescent="0.3">
      <c r="A17" s="11" t="s">
        <v>130</v>
      </c>
      <c r="B17" s="160">
        <v>4</v>
      </c>
      <c r="C17" s="148">
        <v>3</v>
      </c>
      <c r="D17" s="148">
        <v>3</v>
      </c>
      <c r="E17" s="154">
        <v>5</v>
      </c>
      <c r="F17" s="148">
        <v>3</v>
      </c>
      <c r="G17" s="148">
        <v>3</v>
      </c>
      <c r="H17" s="154">
        <v>5</v>
      </c>
      <c r="I17" s="161">
        <v>4</v>
      </c>
      <c r="K17">
        <v>0</v>
      </c>
      <c r="L17">
        <v>4</v>
      </c>
      <c r="M17">
        <v>2</v>
      </c>
      <c r="N17">
        <v>2</v>
      </c>
      <c r="O17">
        <f>SUM(K17:N17)</f>
        <v>8</v>
      </c>
      <c r="P17" t="s">
        <v>136</v>
      </c>
    </row>
    <row r="19" spans="1:18" ht="15.75" thickBot="1" x14ac:dyDescent="0.3"/>
    <row r="20" spans="1:18" x14ac:dyDescent="0.25">
      <c r="A20" s="6" t="s">
        <v>131</v>
      </c>
      <c r="B20" s="8">
        <v>0.05</v>
      </c>
    </row>
    <row r="21" spans="1:18" ht="15.75" thickBot="1" x14ac:dyDescent="0.3">
      <c r="A21" s="11" t="s">
        <v>77</v>
      </c>
      <c r="B21" s="13">
        <v>8</v>
      </c>
    </row>
    <row r="22" spans="1:18" ht="15.75" thickBot="1" x14ac:dyDescent="0.3"/>
    <row r="23" spans="1:18" x14ac:dyDescent="0.25">
      <c r="A23" s="6">
        <v>1</v>
      </c>
      <c r="B23" s="7">
        <v>2</v>
      </c>
      <c r="C23" s="7">
        <v>3</v>
      </c>
      <c r="D23" s="7">
        <v>4</v>
      </c>
      <c r="E23" s="7">
        <v>5</v>
      </c>
      <c r="F23" s="7">
        <v>6</v>
      </c>
      <c r="G23" s="7">
        <v>7</v>
      </c>
      <c r="H23" s="7">
        <v>8</v>
      </c>
      <c r="I23" s="7">
        <v>9</v>
      </c>
      <c r="J23" s="7">
        <v>10</v>
      </c>
      <c r="K23" s="7">
        <v>11</v>
      </c>
      <c r="L23" s="7">
        <v>12</v>
      </c>
      <c r="M23" s="7">
        <v>13</v>
      </c>
      <c r="N23" s="7">
        <v>14</v>
      </c>
      <c r="O23" s="7">
        <v>15</v>
      </c>
      <c r="P23" s="8">
        <v>16</v>
      </c>
      <c r="R23" t="s">
        <v>132</v>
      </c>
    </row>
    <row r="24" spans="1:18" ht="15.75" thickBot="1" x14ac:dyDescent="0.3">
      <c r="A24" s="162">
        <v>2</v>
      </c>
      <c r="B24" s="163">
        <v>2</v>
      </c>
      <c r="C24" s="148">
        <v>3</v>
      </c>
      <c r="D24" s="148">
        <v>3</v>
      </c>
      <c r="E24" s="148">
        <v>3</v>
      </c>
      <c r="F24" s="148">
        <v>3</v>
      </c>
      <c r="G24" s="148">
        <v>3</v>
      </c>
      <c r="H24" s="164">
        <v>4</v>
      </c>
      <c r="I24" s="164">
        <v>4</v>
      </c>
      <c r="J24" s="164">
        <v>4</v>
      </c>
      <c r="K24" s="164">
        <v>4</v>
      </c>
      <c r="L24" s="154">
        <v>5</v>
      </c>
      <c r="M24" s="154">
        <v>5</v>
      </c>
      <c r="N24" s="154">
        <v>5</v>
      </c>
      <c r="O24" s="154">
        <v>5</v>
      </c>
      <c r="P24" s="155">
        <v>5</v>
      </c>
    </row>
    <row r="27" spans="1:18" ht="15.75" thickBot="1" x14ac:dyDescent="0.3">
      <c r="A27" s="2" t="s">
        <v>137</v>
      </c>
      <c r="B27" s="2">
        <f>(K14*K16)+(L14*L16)+(M14*M16)+(N14*N16)</f>
        <v>69</v>
      </c>
    </row>
    <row r="28" spans="1:18" x14ac:dyDescent="0.25">
      <c r="A28" s="2" t="s">
        <v>138</v>
      </c>
      <c r="B28" s="2">
        <f>(K14*K17)+(L14*L17)+(M14*M17)+(N14*N17)</f>
        <v>67</v>
      </c>
      <c r="I28" s="182" t="s">
        <v>150</v>
      </c>
      <c r="J28" s="183"/>
      <c r="K28" s="183"/>
      <c r="L28" s="183"/>
      <c r="M28" s="183"/>
      <c r="N28" s="183"/>
      <c r="O28" s="184"/>
    </row>
    <row r="29" spans="1:18" x14ac:dyDescent="0.25">
      <c r="A29" s="2" t="s">
        <v>139</v>
      </c>
      <c r="B29" s="2">
        <f>MAX(B27,B28)</f>
        <v>69</v>
      </c>
      <c r="D29" s="191" t="s">
        <v>141</v>
      </c>
      <c r="E29" s="191"/>
      <c r="F29" s="191"/>
      <c r="G29" s="191"/>
      <c r="I29" s="185"/>
      <c r="J29" s="186"/>
      <c r="K29" s="186"/>
      <c r="L29" s="186"/>
      <c r="M29" s="186"/>
      <c r="N29" s="186"/>
      <c r="O29" s="187"/>
    </row>
    <row r="30" spans="1:18" x14ac:dyDescent="0.25">
      <c r="A30" s="2" t="s">
        <v>45</v>
      </c>
      <c r="B30" s="2">
        <v>8</v>
      </c>
      <c r="I30" s="185"/>
      <c r="J30" s="186"/>
      <c r="K30" s="186"/>
      <c r="L30" s="186"/>
      <c r="M30" s="186"/>
      <c r="N30" s="186"/>
      <c r="O30" s="187"/>
    </row>
    <row r="31" spans="1:18" ht="15.75" thickBot="1" x14ac:dyDescent="0.3">
      <c r="A31" s="2" t="s">
        <v>140</v>
      </c>
      <c r="B31" s="2">
        <f>(B21*B21)+(B30*(B30+1)/2)-B29</f>
        <v>31</v>
      </c>
      <c r="I31" s="188"/>
      <c r="J31" s="189"/>
      <c r="K31" s="189"/>
      <c r="L31" s="189"/>
      <c r="M31" s="189"/>
      <c r="N31" s="189"/>
      <c r="O31" s="190"/>
    </row>
    <row r="32" spans="1:18" x14ac:dyDescent="0.25">
      <c r="A32" s="2" t="s">
        <v>6</v>
      </c>
      <c r="B32" s="4">
        <v>15</v>
      </c>
    </row>
  </sheetData>
  <mergeCells count="9">
    <mergeCell ref="C3:G3"/>
    <mergeCell ref="C4:G4"/>
    <mergeCell ref="D11:F11"/>
    <mergeCell ref="G10:K12"/>
    <mergeCell ref="I28:O31"/>
    <mergeCell ref="D29:G29"/>
    <mergeCell ref="A9:F9"/>
    <mergeCell ref="N11:Q11"/>
    <mergeCell ref="N10:Q10"/>
  </mergeCells>
  <pageMargins left="0.7" right="0.7" top="0.75" bottom="0.75" header="0.3" footer="0.3"/>
  <ignoredErrors>
    <ignoredError sqref="K14 L14:N1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workbookViewId="0">
      <selection activeCell="M9" sqref="M9"/>
    </sheetView>
  </sheetViews>
  <sheetFormatPr defaultRowHeight="15" x14ac:dyDescent="0.25"/>
  <sheetData>
    <row r="1" spans="1:9" x14ac:dyDescent="0.25">
      <c r="A1" s="4" t="s">
        <v>0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H1" s="4" t="s">
        <v>4</v>
      </c>
      <c r="I1" s="4">
        <f>SLOPE(B4:F4,B1:F1)</f>
        <v>0.21992048791976182</v>
      </c>
    </row>
    <row r="2" spans="1:9" x14ac:dyDescent="0.25">
      <c r="A2" s="4" t="s">
        <v>1</v>
      </c>
      <c r="B2" s="5">
        <v>20</v>
      </c>
      <c r="C2" s="5">
        <v>21.3</v>
      </c>
      <c r="D2" s="5">
        <v>25</v>
      </c>
      <c r="E2" s="5">
        <v>32</v>
      </c>
      <c r="F2" s="5">
        <v>49</v>
      </c>
      <c r="H2" s="4" t="s">
        <v>89</v>
      </c>
      <c r="I2" s="4">
        <f>INTERCEPT(B4:F4,B1:F1)</f>
        <v>2.4464923227305375</v>
      </c>
    </row>
    <row r="3" spans="1:9" x14ac:dyDescent="0.25">
      <c r="A3" s="4" t="s">
        <v>86</v>
      </c>
      <c r="B3" s="4">
        <f>LN(B1)</f>
        <v>0.69314718055994529</v>
      </c>
      <c r="C3" s="4">
        <f t="shared" ref="C3:F3" si="0">LN(C1)</f>
        <v>1.0986122886681098</v>
      </c>
      <c r="D3" s="4">
        <f t="shared" si="0"/>
        <v>1.3862943611198906</v>
      </c>
      <c r="E3" s="4">
        <f t="shared" si="0"/>
        <v>1.6094379124341003</v>
      </c>
      <c r="F3" s="4">
        <f t="shared" si="0"/>
        <v>1.791759469228055</v>
      </c>
      <c r="H3" s="4" t="s">
        <v>5</v>
      </c>
      <c r="I3" s="4">
        <f>EXP(I2)</f>
        <v>11.547769745913428</v>
      </c>
    </row>
    <row r="4" spans="1:9" x14ac:dyDescent="0.25">
      <c r="A4" s="114" t="s">
        <v>87</v>
      </c>
      <c r="B4" s="4">
        <f>LN(B2)</f>
        <v>2.9957322735539909</v>
      </c>
      <c r="C4" s="4">
        <f t="shared" ref="C4:F4" si="1">LN(C2)</f>
        <v>3.0587070727153796</v>
      </c>
      <c r="D4" s="4">
        <f t="shared" si="1"/>
        <v>3.2188758248682006</v>
      </c>
      <c r="E4" s="4">
        <f t="shared" si="1"/>
        <v>3.4657359027997265</v>
      </c>
      <c r="F4" s="4">
        <f t="shared" si="1"/>
        <v>3.8918202981106265</v>
      </c>
      <c r="H4" s="4" t="s">
        <v>88</v>
      </c>
      <c r="I4" s="4">
        <f>SQRT(((B2-B5)^2+(C2-C5)^2+(D2-D5)^2+(E2-E5)^2+(F2-F5)^2)/5)</f>
        <v>3.2897331598222657</v>
      </c>
    </row>
    <row r="5" spans="1:9" x14ac:dyDescent="0.25">
      <c r="A5" s="114" t="s">
        <v>90</v>
      </c>
      <c r="B5" s="4">
        <f>$I$3*EXP($I$1*B1)</f>
        <v>17.927454317121462</v>
      </c>
      <c r="C5" s="4">
        <f>$I$3*EXP($I$1*C1)</f>
        <v>22.33720751478543</v>
      </c>
      <c r="D5" s="4">
        <f t="shared" ref="D5:F5" si="2">$I$3*EXP($I$1*D1)</f>
        <v>27.831661469195211</v>
      </c>
      <c r="E5" s="4">
        <f t="shared" si="2"/>
        <v>34.677628330361422</v>
      </c>
      <c r="F5" s="4">
        <f t="shared" si="2"/>
        <v>43.207550075646211</v>
      </c>
    </row>
    <row r="6" spans="1:9" x14ac:dyDescent="0.25">
      <c r="A6" s="114" t="s">
        <v>91</v>
      </c>
      <c r="B6" s="4">
        <f>$I$8*(B1^$I$6)</f>
        <v>17.417292206127669</v>
      </c>
      <c r="C6" s="4">
        <f t="shared" ref="C6:F6" si="3">$I$8*(C1^$I$6)</f>
        <v>23.633342018395535</v>
      </c>
      <c r="D6" s="4">
        <f t="shared" si="3"/>
        <v>29.347219538642442</v>
      </c>
      <c r="E6" s="4">
        <f t="shared" si="3"/>
        <v>34.714543945220257</v>
      </c>
      <c r="F6" s="4">
        <f t="shared" si="3"/>
        <v>39.820935908835878</v>
      </c>
      <c r="H6" s="4" t="s">
        <v>4</v>
      </c>
      <c r="I6" s="4">
        <f>SLOPE(B4:F4,B3:F3)</f>
        <v>0.75270347210098087</v>
      </c>
    </row>
    <row r="7" spans="1:9" x14ac:dyDescent="0.25">
      <c r="H7" s="4" t="s">
        <v>89</v>
      </c>
      <c r="I7" s="4">
        <f>INTERCEPT(B4:F4,B3:F3)</f>
        <v>2.3357292281886668</v>
      </c>
    </row>
    <row r="8" spans="1:9" x14ac:dyDescent="0.25">
      <c r="H8" s="4" t="s">
        <v>5</v>
      </c>
      <c r="I8" s="4">
        <f>EXP(I7)</f>
        <v>10.336995209859282</v>
      </c>
    </row>
    <row r="9" spans="1:9" x14ac:dyDescent="0.25">
      <c r="H9" s="4" t="s">
        <v>18</v>
      </c>
      <c r="I9" s="4">
        <f>SQRT(((B2-B6)^2+(C2-C6)^2+(D2-D6)^2+(E2-E6)^2+(F2-F6)^2)/5)</f>
        <v>4.9525175145722447</v>
      </c>
    </row>
    <row r="25" spans="1:8" x14ac:dyDescent="0.25">
      <c r="A25" s="191" t="s">
        <v>92</v>
      </c>
      <c r="B25" s="191"/>
      <c r="C25" s="191"/>
      <c r="D25" s="191"/>
      <c r="E25" s="191"/>
      <c r="F25" s="191"/>
      <c r="G25" s="191"/>
      <c r="H25" s="191"/>
    </row>
  </sheetData>
  <mergeCells count="1">
    <mergeCell ref="A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РГР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2020-11-26T08:54:55Z</dcterms:modified>
</cp:coreProperties>
</file>