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\OneDrive\Desktop\ABCD\"/>
    </mc:Choice>
  </mc:AlternateContent>
  <xr:revisionPtr revIDLastSave="0" documentId="13_ncr:1_{C5CDCF89-4B94-4094-8377-89519FAAC46D}" xr6:coauthVersionLast="47" xr6:coauthVersionMax="47" xr10:uidLastSave="{00000000-0000-0000-0000-000000000000}"/>
  <bookViews>
    <workbookView xWindow="28680" yWindow="-120" windowWidth="29040" windowHeight="15840" tabRatio="708" xr2:uid="{00000000-000D-0000-FFFF-FFFF00000000}"/>
  </bookViews>
  <sheets>
    <sheet name="Sheet1" sheetId="1" r:id="rId1"/>
    <sheet name="Category Stats" sheetId="2" r:id="rId2"/>
    <sheet name="Subcategory Stats" sheetId="3" r:id="rId3"/>
    <sheet name="Outcome by Launchdate" sheetId="4" r:id="rId4"/>
    <sheet name="Bonus %Success vs Amount" sheetId="5" r:id="rId5"/>
    <sheet name="Success Rate vs Backers" sheetId="6" r:id="rId6"/>
  </sheets>
  <definedNames>
    <definedName name="_xlnm._FilterDatabase" localSheetId="0" hidden="1">Sheet1!$A$1:$T$4115</definedName>
    <definedName name="_xlnm._FilterDatabase" localSheetId="5" hidden="1">'Success Rate vs Backers'!$B$1:$B$1048575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" i="6" l="1"/>
  <c r="K17" i="6"/>
  <c r="K16" i="6"/>
  <c r="K15" i="6"/>
  <c r="J6" i="6"/>
  <c r="J5" i="6"/>
  <c r="M6" i="6"/>
  <c r="M5" i="6"/>
  <c r="M1" i="6"/>
  <c r="B4" i="5"/>
  <c r="E4" i="5" s="1"/>
  <c r="M4" i="6"/>
  <c r="M3" i="6"/>
  <c r="M2" i="6"/>
  <c r="D13" i="5"/>
  <c r="D12" i="5"/>
  <c r="D11" i="5"/>
  <c r="D10" i="5"/>
  <c r="D9" i="5"/>
  <c r="D8" i="5"/>
  <c r="D7" i="5"/>
  <c r="D6" i="5"/>
  <c r="D5" i="5"/>
  <c r="D4" i="5"/>
  <c r="D3" i="5"/>
  <c r="C5" i="5"/>
  <c r="C4" i="5"/>
  <c r="C13" i="5"/>
  <c r="B13" i="5"/>
  <c r="C12" i="5"/>
  <c r="B12" i="5"/>
  <c r="C11" i="5"/>
  <c r="C10" i="5"/>
  <c r="C9" i="5"/>
  <c r="B9" i="5"/>
  <c r="C8" i="5"/>
  <c r="B11" i="5"/>
  <c r="B10" i="5"/>
  <c r="B8" i="5"/>
  <c r="E8" i="5" s="1"/>
  <c r="C7" i="5"/>
  <c r="B7" i="5"/>
  <c r="C6" i="5"/>
  <c r="B6" i="5"/>
  <c r="E6" i="5" s="1"/>
  <c r="B5" i="5"/>
  <c r="C3" i="5"/>
  <c r="B3" i="5"/>
  <c r="B2" i="5"/>
  <c r="D2" i="5"/>
  <c r="C2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5" i="5" l="1"/>
  <c r="G6" i="5"/>
  <c r="E7" i="5"/>
  <c r="G7" i="5" s="1"/>
  <c r="E10" i="5"/>
  <c r="H10" i="5" s="1"/>
  <c r="E11" i="5"/>
  <c r="F11" i="5" s="1"/>
  <c r="E9" i="5"/>
  <c r="G9" i="5" s="1"/>
  <c r="E12" i="5"/>
  <c r="F12" i="5" s="1"/>
  <c r="G4" i="5"/>
  <c r="G5" i="5"/>
  <c r="H4" i="5"/>
  <c r="H5" i="5"/>
  <c r="H6" i="5"/>
  <c r="H7" i="5"/>
  <c r="G8" i="5"/>
  <c r="H8" i="5"/>
  <c r="H9" i="5"/>
  <c r="E3" i="5"/>
  <c r="G3" i="5" s="1"/>
  <c r="F8" i="5"/>
  <c r="E13" i="5"/>
  <c r="F13" i="5" s="1"/>
  <c r="F7" i="5"/>
  <c r="F6" i="5"/>
  <c r="F5" i="5"/>
  <c r="F4" i="5"/>
  <c r="E2" i="5"/>
  <c r="F9" i="5" l="1"/>
  <c r="F10" i="5"/>
  <c r="G11" i="5"/>
  <c r="H12" i="5"/>
  <c r="G10" i="5"/>
  <c r="H11" i="5"/>
  <c r="G12" i="5"/>
  <c r="G13" i="5"/>
  <c r="H3" i="5"/>
  <c r="H13" i="5"/>
  <c r="F3" i="5"/>
  <c r="H2" i="5"/>
  <c r="G2" i="5"/>
  <c r="F2" i="5"/>
  <c r="B1048575" i="6"/>
  <c r="J1" i="6" s="1"/>
  <c r="J2" i="6" l="1"/>
  <c r="J4" i="6"/>
  <c r="J3" i="6"/>
</calcChain>
</file>

<file path=xl/sharedStrings.xml><?xml version="1.0" encoding="utf-8"?>
<sst xmlns="http://schemas.openxmlformats.org/spreadsheetml/2006/main" count="36781" uniqueCount="8414">
  <si>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</si>
  <si>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</si>
  <si>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</si>
  <si>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</si>
  <si>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</si>
  <si>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</si>
  <si>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</si>
  <si>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</si>
  <si>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</si>
  <si>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</si>
  <si>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</si>
  <si>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</si>
  <si>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</si>
  <si>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</si>
  <si>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</si>
  <si>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</si>
  <si>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</si>
  <si>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</si>
  <si>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</si>
  <si>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</si>
  <si>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</si>
  <si>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</si>
  <si>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</si>
  <si>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</si>
  <si>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</si>
  <si>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</si>
  <si>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</si>
  <si>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</si>
  <si>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</si>
  <si>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</si>
  <si>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</si>
  <si>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</si>
  <si>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</si>
  <si>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</si>
  <si>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</si>
  <si>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</si>
  <si>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</si>
  <si>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</si>
  <si>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</si>
  <si>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</si>
  <si>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</si>
  <si>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</si>
  <si>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</si>
  <si>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</si>
  <si>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</si>
  <si>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</si>
  <si>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</si>
  <si>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</si>
  <si>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</si>
  <si>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</si>
  <si>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</si>
  <si>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</si>
  <si>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</si>
  <si>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</si>
  <si>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</si>
  <si>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</si>
  <si>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</si>
  <si>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</si>
  <si>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</si>
  <si>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</si>
  <si>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</si>
  <si>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</si>
  <si>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</si>
  <si>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</si>
  <si>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</si>
  <si>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</si>
  <si>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</si>
  <si>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</si>
  <si>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</si>
  <si>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</si>
  <si>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</si>
  <si>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</si>
  <si>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</si>
  <si>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</si>
  <si>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</si>
  <si>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</si>
  <si>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</si>
  <si>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</si>
  <si>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</si>
  <si>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</si>
  <si>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</si>
  <si>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</si>
  <si>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</si>
  <si>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</si>
  <si>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</si>
  <si>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</si>
  <si>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</si>
  <si>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</si>
  <si>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</si>
  <si>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</si>
  <si>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</si>
  <si>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</si>
  <si>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</si>
  <si>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</si>
  <si>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</si>
  <si>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</si>
  <si>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</si>
  <si>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</si>
  <si>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</si>
  <si>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</si>
  <si>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</si>
  <si>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</si>
  <si>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</si>
  <si>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</si>
  <si>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</si>
  <si>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</si>
  <si>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</si>
  <si>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</si>
  <si>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</si>
  <si>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</si>
  <si>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</si>
  <si>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</si>
  <si>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</si>
  <si>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</si>
  <si>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</si>
  <si>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</si>
  <si>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</si>
  <si>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</si>
  <si>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</si>
  <si>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</si>
  <si>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</si>
  <si>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</si>
  <si>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</si>
  <si>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</si>
  <si>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</si>
  <si>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</si>
  <si>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</si>
  <si>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</si>
  <si>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</si>
  <si>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</si>
  <si>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</si>
  <si>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</si>
  <si>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</si>
  <si>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</si>
  <si>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</si>
  <si>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</si>
  <si>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</si>
  <si>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</si>
  <si>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</si>
  <si>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</si>
  <si>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</si>
  <si>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</si>
  <si>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</si>
  <si>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</si>
  <si>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</si>
  <si>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</si>
  <si>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</si>
  <si>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</si>
  <si>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</si>
  <si>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</si>
  <si>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</si>
  <si>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</si>
  <si>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</si>
  <si>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</si>
  <si>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</si>
  <si>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</si>
  <si>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</si>
  <si>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</si>
  <si>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</si>
  <si>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</si>
  <si>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</si>
  <si>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</si>
  <si>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</si>
  <si>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</si>
  <si>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</si>
  <si>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</si>
  <si>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</si>
  <si>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</si>
  <si>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</si>
  <si>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</si>
  <si>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</si>
  <si>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</si>
  <si>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</si>
  <si>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</si>
  <si>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</si>
  <si>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</si>
  <si>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</si>
  <si>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</si>
  <si>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</si>
  <si>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</si>
  <si>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</si>
  <si>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</si>
  <si>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</si>
  <si>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</si>
  <si>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</si>
  <si>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</si>
  <si>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</si>
  <si>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</si>
  <si>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</si>
  <si>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</si>
  <si>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</si>
  <si>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</si>
  <si>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</si>
  <si>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</si>
  <si>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</si>
  <si>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</si>
  <si>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</si>
  <si>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</si>
  <si>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</si>
  <si>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</si>
  <si>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</si>
  <si>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</si>
  <si>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</si>
  <si>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</si>
  <si>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</si>
  <si>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</si>
  <si>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</si>
  <si>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</si>
  <si>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</si>
  <si>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</si>
  <si>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</si>
  <si>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</si>
  <si>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</si>
  <si>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</si>
  <si>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</si>
  <si>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</si>
  <si>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</si>
  <si>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</si>
  <si>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</si>
  <si>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</si>
  <si>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</si>
  <si>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</si>
  <si>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</si>
  <si>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</si>
  <si>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</si>
  <si>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</si>
  <si>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</si>
  <si>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</si>
  <si>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</si>
  <si>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</si>
  <si>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</si>
  <si>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</si>
  <si>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</si>
  <si>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</si>
  <si>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</si>
  <si>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</si>
  <si>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</si>
  <si>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</si>
  <si>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</si>
  <si>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</si>
  <si>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</si>
  <si>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</si>
  <si>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</si>
  <si>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</si>
  <si>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</si>
  <si>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</si>
  <si>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</si>
  <si>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</si>
  <si>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</si>
  <si>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</si>
  <si>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</si>
  <si>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</si>
  <si>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</si>
  <si>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</si>
  <si>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</si>
  <si>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</si>
  <si>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</si>
  <si>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</si>
  <si>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</si>
  <si>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</si>
  <si>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</si>
  <si>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</si>
  <si>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</si>
  <si>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</si>
  <si>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</si>
  <si>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</si>
  <si>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</si>
  <si>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</si>
  <si>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</si>
  <si>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</si>
  <si>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</si>
  <si>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</si>
  <si>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</si>
  <si>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</si>
  <si>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</si>
  <si>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</si>
  <si>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</si>
  <si>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</si>
  <si>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</si>
  <si>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</si>
  <si>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</si>
  <si>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</si>
  <si>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</si>
  <si>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</si>
  <si>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</si>
  <si>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</si>
  <si>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</si>
  <si>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</si>
  <si>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</si>
  <si>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</si>
  <si>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</si>
  <si>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</si>
  <si>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</si>
  <si>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</si>
  <si>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</si>
  <si>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</si>
  <si>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</si>
  <si>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</si>
  <si>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</si>
  <si>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</si>
  <si>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</si>
  <si>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</si>
  <si>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</si>
  <si>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</si>
  <si>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</si>
  <si>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</si>
  <si>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</si>
  <si>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</si>
  <si>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</si>
  <si>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</si>
  <si>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</si>
  <si>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</si>
  <si>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</si>
  <si>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</si>
  <si>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</si>
  <si>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</si>
  <si>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</si>
  <si>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</si>
  <si>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</si>
  <si>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</si>
  <si>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</si>
  <si>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</si>
  <si>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</si>
  <si>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</si>
  <si>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</si>
  <si>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</si>
  <si>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</si>
  <si>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</si>
  <si>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</si>
  <si>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</si>
  <si>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</si>
  <si>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</si>
  <si>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</si>
  <si>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</si>
  <si>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</si>
  <si>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</si>
  <si>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</si>
  <si>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</si>
  <si>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</si>
  <si>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</si>
  <si>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</si>
  <si>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</si>
  <si>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</si>
  <si>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</si>
  <si>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</si>
  <si>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</si>
  <si>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</si>
  <si>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</si>
  <si>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</si>
  <si>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</si>
  <si>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</si>
  <si>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</si>
  <si>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</si>
  <si>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</si>
  <si>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</si>
  <si>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</si>
  <si>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</si>
  <si>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</si>
  <si>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</si>
  <si>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</si>
  <si>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</si>
  <si>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</si>
  <si>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</si>
  <si>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</si>
  <si>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</si>
  <si>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</si>
  <si>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</si>
  <si>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</si>
  <si>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</si>
  <si>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</si>
  <si>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</si>
  <si>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</si>
  <si>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</si>
  <si>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</si>
  <si>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</si>
  <si>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</si>
  <si>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</si>
  <si>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</si>
  <si>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</si>
  <si>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</si>
  <si>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</si>
  <si>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</si>
  <si>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</si>
  <si>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</si>
  <si>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</si>
  <si>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</si>
  <si>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</si>
  <si>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</si>
  <si>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</si>
  <si>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</si>
  <si>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</si>
  <si>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</si>
  <si>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</si>
  <si>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</si>
  <si>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</si>
  <si>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</si>
  <si>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</si>
  <si>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</si>
  <si>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</si>
  <si>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</si>
  <si>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</si>
  <si>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</si>
  <si>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</si>
  <si>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</si>
  <si>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</si>
  <si>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</si>
  <si>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</si>
  <si>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</si>
  <si>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</si>
  <si>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</si>
  <si>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</si>
  <si>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</si>
  <si>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</si>
  <si>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</si>
  <si>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</si>
  <si>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</si>
  <si>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</si>
  <si>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</si>
  <si>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</si>
  <si>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</si>
  <si>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</si>
  <si>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</si>
  <si>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</si>
  <si>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</si>
  <si>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</si>
  <si>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</si>
  <si>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</si>
  <si>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</si>
  <si>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</si>
  <si>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</si>
  <si>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</si>
  <si>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</si>
  <si>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</si>
  <si>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</si>
  <si>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</si>
  <si>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</si>
  <si>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</si>
  <si>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</si>
  <si>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</si>
  <si>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</si>
  <si>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</si>
  <si>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</si>
  <si>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</si>
  <si>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</si>
  <si>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</si>
  <si>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</si>
  <si>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</si>
  <si>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</si>
  <si>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</si>
  <si>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</si>
  <si>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</si>
  <si>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</si>
  <si>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</si>
  <si>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</si>
  <si>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</si>
  <si>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</si>
  <si>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</si>
  <si>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</si>
  <si>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</si>
  <si>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</si>
  <si>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</si>
  <si>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</si>
  <si>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</si>
  <si>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</si>
  <si>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</si>
  <si>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</si>
  <si>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</si>
  <si>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</si>
  <si>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</si>
  <si>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</si>
  <si>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</si>
  <si>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</si>
  <si>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</si>
  <si>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</si>
  <si>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</si>
  <si>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</si>
  <si>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</si>
  <si>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</si>
  <si>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</si>
  <si>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</si>
  <si>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</si>
  <si>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</si>
  <si>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</si>
  <si>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</si>
  <si>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</si>
  <si>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</si>
  <si>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</si>
  <si>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</si>
  <si>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</si>
  <si>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</si>
  <si>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</si>
  <si>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</si>
  <si>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</si>
  <si>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</si>
  <si>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</si>
  <si>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</si>
  <si>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</si>
  <si>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</si>
  <si>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</si>
  <si>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</si>
  <si>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</si>
  <si>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</si>
  <si>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</si>
  <si>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</si>
  <si>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</si>
  <si>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</si>
  <si>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</si>
  <si>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</si>
  <si>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</si>
  <si>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</si>
  <si>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</si>
  <si>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</si>
  <si>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</si>
  <si>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</si>
  <si>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</si>
  <si>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</si>
  <si>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</si>
  <si>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</si>
  <si>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</si>
  <si>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</si>
  <si>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</si>
  <si>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</si>
  <si>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</si>
  <si>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</si>
  <si>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</si>
  <si>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</si>
  <si>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</si>
  <si>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</si>
  <si>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</si>
  <si>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</si>
  <si>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</si>
  <si>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</si>
  <si>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</si>
  <si>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</si>
  <si>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</si>
  <si>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</si>
  <si>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</si>
  <si>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</si>
  <si>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</si>
  <si>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</si>
  <si>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</si>
  <si>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</si>
  <si>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</si>
  <si>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</si>
  <si>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</si>
  <si>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</si>
  <si>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</si>
  <si>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</si>
  <si>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</si>
  <si>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</si>
  <si>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</si>
  <si>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</si>
  <si>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</si>
  <si>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</si>
  <si>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</si>
  <si>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</si>
  <si>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</si>
  <si>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</si>
  <si>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</si>
  <si>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</si>
  <si>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</si>
  <si>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</si>
  <si>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</si>
  <si>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</si>
  <si>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</si>
  <si>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</si>
  <si>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</si>
  <si>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</si>
  <si>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</si>
  <si>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</si>
  <si>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</si>
  <si>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</si>
  <si>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</si>
  <si>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</si>
  <si>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</si>
  <si>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</si>
  <si>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</si>
  <si>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</si>
  <si>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</si>
  <si>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</si>
  <si>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</si>
  <si>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</si>
  <si>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</si>
  <si>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</si>
  <si>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</si>
  <si>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</si>
  <si>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</si>
  <si>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</si>
  <si>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</si>
  <si>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</si>
  <si>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</si>
  <si>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</si>
  <si>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</si>
  <si>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</si>
  <si>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</si>
  <si>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</si>
  <si>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</si>
  <si>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</si>
  <si>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</si>
  <si>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</si>
  <si>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</si>
  <si>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</si>
  <si>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</si>
  <si>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</si>
  <si>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</si>
  <si>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</si>
  <si>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</si>
  <si>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</si>
  <si>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</si>
  <si>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</si>
  <si>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</si>
  <si>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</si>
  <si>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</si>
  <si>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</si>
  <si>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</si>
  <si>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</si>
  <si>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</si>
  <si>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</si>
  <si>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</si>
  <si>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</si>
  <si>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</si>
  <si>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</si>
  <si>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</si>
  <si>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</si>
  <si>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</si>
  <si>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</si>
  <si>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</si>
  <si>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</si>
  <si>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</si>
  <si>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</si>
  <si>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</si>
  <si>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</si>
  <si>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</si>
  <si>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</si>
  <si>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</si>
  <si>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</si>
  <si>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</si>
  <si>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</si>
  <si>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</si>
  <si>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</si>
  <si>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</si>
  <si>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</si>
  <si>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</si>
  <si>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</si>
  <si>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</si>
  <si>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</si>
  <si>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</si>
  <si>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</si>
  <si>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</si>
  <si>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</si>
  <si>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</si>
  <si>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</si>
  <si>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</si>
  <si>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</si>
  <si>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</si>
  <si>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</si>
  <si>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</si>
  <si>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</si>
  <si>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</si>
  <si>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</si>
  <si>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</si>
  <si>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</si>
  <si>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</si>
  <si>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</si>
  <si>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</si>
  <si>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</si>
  <si>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</si>
  <si>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</si>
  <si>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</si>
  <si>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</si>
  <si>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</si>
  <si>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</si>
  <si>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</si>
  <si>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</si>
  <si>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</si>
  <si>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</si>
  <si>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</si>
  <si>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</si>
  <si>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</si>
  <si>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</si>
  <si>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</si>
  <si>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</si>
  <si>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</si>
  <si>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</si>
  <si>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</si>
  <si>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</si>
  <si>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</si>
  <si>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</si>
  <si>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</si>
  <si>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</si>
  <si>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</si>
  <si>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</si>
  <si>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</si>
  <si>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</si>
  <si>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</si>
  <si>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</si>
  <si>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</si>
  <si>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</si>
  <si>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</si>
  <si>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</si>
  <si>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</si>
  <si>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</si>
  <si>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</si>
  <si>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</si>
  <si>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</si>
  <si>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</si>
  <si>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</si>
  <si>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</si>
  <si>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</si>
  <si>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</si>
  <si>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</si>
  <si>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</si>
  <si>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</si>
  <si>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</si>
  <si>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</si>
  <si>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</si>
  <si>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</si>
  <si>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</si>
  <si>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</si>
  <si>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</si>
  <si>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</si>
  <si>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</si>
  <si>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</si>
  <si>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</si>
  <si>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</si>
  <si>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</si>
  <si>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</si>
  <si>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</si>
  <si>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</si>
  <si>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</si>
  <si>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</si>
  <si>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</si>
  <si>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</si>
  <si>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</si>
  <si>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</si>
  <si>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</si>
  <si>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</si>
  <si>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</si>
  <si>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</si>
  <si>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</si>
  <si>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</si>
  <si>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</si>
  <si>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</si>
  <si>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</si>
  <si>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</si>
  <si>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</si>
  <si>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</si>
  <si>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</si>
  <si>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</si>
  <si>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</si>
  <si>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</si>
  <si>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</si>
  <si>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</si>
  <si>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</si>
  <si>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</si>
  <si>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</si>
  <si>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</si>
  <si>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</si>
  <si>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</si>
  <si>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</si>
  <si>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</si>
  <si>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</si>
  <si>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</si>
  <si>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</si>
  <si>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</si>
  <si>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</si>
  <si>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</si>
  <si>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</si>
  <si>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</si>
  <si>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</si>
  <si>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</si>
  <si>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</si>
  <si>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</si>
  <si>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</si>
  <si>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</si>
  <si>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</si>
  <si>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</si>
  <si>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</si>
  <si>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</si>
  <si>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</si>
  <si>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</si>
  <si>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</si>
  <si>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</si>
  <si>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</si>
  <si>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</si>
  <si>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</si>
  <si>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</si>
  <si>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</si>
  <si>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</si>
  <si>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</si>
  <si>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</si>
  <si>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</si>
  <si>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</si>
  <si>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</si>
  <si>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</si>
  <si>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</si>
  <si>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</si>
  <si>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</si>
  <si>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</si>
  <si>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</si>
  <si>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</si>
  <si>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</si>
  <si>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</si>
  <si>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</si>
  <si>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</si>
  <si>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</si>
  <si>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</si>
  <si>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</si>
  <si>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</si>
  <si>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</si>
  <si>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</si>
  <si>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</si>
  <si>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</si>
  <si>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</si>
  <si>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</si>
  <si>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</si>
  <si>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</si>
  <si>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</si>
  <si>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</si>
  <si>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</si>
  <si>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</si>
  <si>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</si>
  <si>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</si>
  <si>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</si>
  <si>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</si>
  <si>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</si>
  <si>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</si>
  <si>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</si>
  <si>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</si>
  <si>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</si>
  <si>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</si>
  <si>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</si>
  <si>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</si>
  <si>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</si>
  <si>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</si>
  <si>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</si>
  <si>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</si>
  <si>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</si>
  <si>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</si>
  <si>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</si>
  <si>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</si>
  <si>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</si>
  <si>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</si>
  <si>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</si>
  <si>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</si>
  <si>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</si>
  <si>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</si>
  <si>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</si>
  <si>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</si>
  <si>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</si>
  <si>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</si>
  <si>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</si>
  <si>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</si>
  <si>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</si>
  <si>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</si>
  <si>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</si>
  <si>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</si>
  <si>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</si>
  <si>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</si>
  <si>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</si>
  <si>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</si>
  <si>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</si>
  <si>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</si>
  <si>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</si>
  <si>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</si>
  <si>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</si>
  <si>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</si>
  <si>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</si>
  <si>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</si>
  <si>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</si>
  <si>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</si>
  <si>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</si>
  <si>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</si>
  <si>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</si>
  <si>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</si>
  <si>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</si>
  <si>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</si>
  <si>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</si>
  <si>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</si>
  <si>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</si>
  <si>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</si>
  <si>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</si>
  <si>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</si>
  <si>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</si>
  <si>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</si>
  <si>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</si>
  <si>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</si>
  <si>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</si>
  <si>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</si>
  <si>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</si>
  <si>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</si>
  <si>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</si>
  <si>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</si>
  <si>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</si>
  <si>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</si>
  <si>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</si>
  <si>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</si>
  <si>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</si>
  <si>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</si>
  <si>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</si>
  <si>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</si>
  <si>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</si>
  <si>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</si>
  <si>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</si>
  <si>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</si>
  <si>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</si>
  <si>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</si>
  <si>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</si>
  <si>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</si>
  <si>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</si>
  <si>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</si>
  <si>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</si>
  <si>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</si>
  <si>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</si>
  <si>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</si>
  <si>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</si>
  <si>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</si>
  <si>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</si>
  <si>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</si>
  <si>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</si>
  <si>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</si>
  <si>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</si>
  <si>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</si>
  <si>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</si>
  <si>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</si>
  <si>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</si>
  <si>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</si>
  <si>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</si>
  <si>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</si>
  <si>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</si>
  <si>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</si>
  <si>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</si>
  <si>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</si>
  <si>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</si>
  <si>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</si>
  <si>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</si>
  <si>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</si>
  <si>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</si>
  <si>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</si>
  <si>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</si>
  <si>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</si>
  <si>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</si>
  <si>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</si>
  <si>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</si>
  <si>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</si>
  <si>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</si>
  <si>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</si>
  <si>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</si>
  <si>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</si>
  <si>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</si>
  <si>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</si>
  <si>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</si>
  <si>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</si>
  <si>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</si>
  <si>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</si>
  <si>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</si>
  <si>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</si>
  <si>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</si>
  <si>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</si>
  <si>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</si>
  <si>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</si>
  <si>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</si>
  <si>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</si>
  <si>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</si>
  <si>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</si>
  <si>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</si>
  <si>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</si>
  <si>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</si>
  <si>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</si>
  <si>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</si>
  <si>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</si>
  <si>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</si>
  <si>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</si>
  <si>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</si>
  <si>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</si>
  <si>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</si>
  <si>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</si>
  <si>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</si>
  <si>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</si>
  <si>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</si>
  <si>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</si>
  <si>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</si>
  <si>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</si>
  <si>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</si>
  <si>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</si>
  <si>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</si>
  <si>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</si>
  <si>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</si>
  <si>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</si>
  <si>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</si>
  <si>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</si>
  <si>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</si>
  <si>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</si>
  <si>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</si>
  <si>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</si>
  <si>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</si>
  <si>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</si>
  <si>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</si>
  <si>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</si>
  <si>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</si>
  <si>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</si>
  <si>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</si>
  <si>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</si>
  <si>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</si>
  <si>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</si>
  <si>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</si>
  <si>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</si>
  <si>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</si>
  <si>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</si>
  <si>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</si>
  <si>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</si>
  <si>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</si>
  <si>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</si>
  <si>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</si>
  <si>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</si>
  <si>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</si>
  <si>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</si>
  <si>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</si>
  <si>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</si>
  <si>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</si>
  <si>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</si>
  <si>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</si>
  <si>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</si>
  <si>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</si>
  <si>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</si>
  <si>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</si>
  <si>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</si>
  <si>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</si>
  <si>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</si>
  <si>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</si>
  <si>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</si>
  <si>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</si>
  <si>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</si>
  <si>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</si>
  <si>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</si>
  <si>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</si>
  <si>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</si>
  <si>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</si>
  <si>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</si>
  <si>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</si>
  <si>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</si>
  <si>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</si>
  <si>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</si>
  <si>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</si>
  <si>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</si>
  <si>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</si>
  <si>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</si>
  <si>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</si>
  <si>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</si>
  <si>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</si>
  <si>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</si>
  <si>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</si>
  <si>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</si>
  <si>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</si>
  <si>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</si>
  <si>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</si>
  <si>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</si>
  <si>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</si>
  <si>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</si>
  <si>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</si>
  <si>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</si>
  <si>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</si>
  <si>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</si>
  <si>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</si>
  <si>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</si>
  <si>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</si>
  <si>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</si>
  <si>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</si>
  <si>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</si>
  <si>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</si>
  <si>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</si>
  <si>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</si>
  <si>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</si>
  <si>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</si>
  <si>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</si>
  <si>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</si>
  <si>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</si>
  <si>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</si>
  <si>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</si>
  <si>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</si>
  <si>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</si>
  <si>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</si>
  <si>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</si>
  <si>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</si>
  <si>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</si>
  <si>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</si>
  <si>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</si>
  <si>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</si>
  <si>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</si>
  <si>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</si>
  <si>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</si>
  <si>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</si>
  <si>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</si>
  <si>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</si>
  <si>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</si>
  <si>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</si>
  <si>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</si>
  <si>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</si>
  <si>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</si>
  <si>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</si>
  <si>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</si>
  <si>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</si>
  <si>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</si>
  <si>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</si>
  <si>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</si>
  <si>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</si>
  <si>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</si>
  <si>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</si>
  <si>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</si>
  <si>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</si>
  <si>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</si>
  <si>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</si>
  <si>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</si>
  <si>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</si>
  <si>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</si>
  <si>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</si>
  <si>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</si>
  <si>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</si>
  <si>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</si>
  <si>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</si>
  <si>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</si>
  <si>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</si>
  <si>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</si>
  <si>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</si>
  <si>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</si>
  <si>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</si>
  <si>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</si>
  <si>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</si>
  <si>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</si>
  <si>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</si>
  <si>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</si>
  <si>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</si>
  <si>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</si>
  <si>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</si>
  <si>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</si>
  <si>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</si>
  <si>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</si>
  <si>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</si>
  <si>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</si>
  <si>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</si>
  <si>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</si>
  <si>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</si>
  <si>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</si>
  <si>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</si>
  <si>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</si>
  <si>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</si>
  <si>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</si>
  <si>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</si>
  <si>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</si>
  <si>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</si>
  <si>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</si>
  <si>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</si>
  <si>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</si>
  <si>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</si>
  <si>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</si>
  <si>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</si>
  <si>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</si>
  <si>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</si>
  <si>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</si>
  <si>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</si>
  <si>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</si>
  <si>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</si>
  <si>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</si>
  <si>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</si>
  <si>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</si>
  <si>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</si>
  <si>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</si>
  <si>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</si>
  <si>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</si>
  <si>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</si>
  <si>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</si>
  <si>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</si>
  <si>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</si>
  <si>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</si>
  <si>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</si>
  <si>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</si>
  <si>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</si>
  <si>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</si>
  <si>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</si>
  <si>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</si>
  <si>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</si>
  <si>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</si>
  <si>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</si>
  <si>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</si>
  <si>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</si>
  <si>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</si>
  <si>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</si>
  <si>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</si>
  <si>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</si>
  <si>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</si>
  <si>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</si>
  <si>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</si>
  <si>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</si>
  <si>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</si>
  <si>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</si>
  <si>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</si>
  <si>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</si>
  <si>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</si>
  <si>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</si>
  <si>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</si>
  <si>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</si>
  <si>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</si>
  <si>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</si>
  <si>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</si>
  <si>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</si>
  <si>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</si>
  <si>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</si>
  <si>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</si>
  <si>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</si>
  <si>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</si>
  <si>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</si>
  <si>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</si>
  <si>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</si>
  <si>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</si>
  <si>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</si>
  <si>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</si>
  <si>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</si>
  <si>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</si>
  <si>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</si>
  <si>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</si>
  <si>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</si>
  <si>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</si>
  <si>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</si>
  <si>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</si>
  <si>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</si>
  <si>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</si>
  <si>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</si>
  <si>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</si>
  <si>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</si>
  <si>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</si>
  <si>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</si>
  <si>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</si>
  <si>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</si>
  <si>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</si>
  <si>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</si>
  <si>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</si>
  <si>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</si>
  <si>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</si>
  <si>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</si>
  <si>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</si>
  <si>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</si>
  <si>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</si>
  <si>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</si>
  <si>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</si>
  <si>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</si>
  <si>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</si>
  <si>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</si>
  <si>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</si>
  <si>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</si>
  <si>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</si>
  <si>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</si>
  <si>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</si>
  <si>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</si>
  <si>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</si>
  <si>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</si>
  <si>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</si>
  <si>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</si>
  <si>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</si>
  <si>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</si>
  <si>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</si>
  <si>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</si>
  <si>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</si>
  <si>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</si>
  <si>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</si>
  <si>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</si>
  <si>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</si>
  <si>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</si>
  <si>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</si>
  <si>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</si>
  <si>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</si>
  <si>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</si>
  <si>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</si>
  <si>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</si>
  <si>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</si>
  <si>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</si>
  <si>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</si>
  <si>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</si>
  <si>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</si>
  <si>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</si>
  <si>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</si>
  <si>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</si>
  <si>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</si>
  <si>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</si>
  <si>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</si>
  <si>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</si>
  <si>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</si>
  <si>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</si>
  <si>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</si>
  <si>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</si>
  <si>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</si>
  <si>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</si>
  <si>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</si>
  <si>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</si>
  <si>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</si>
  <si>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</si>
  <si>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</si>
  <si>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</si>
  <si>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</si>
  <si>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</si>
  <si>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</si>
  <si>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</si>
  <si>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</si>
  <si>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</si>
  <si>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</si>
  <si>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</si>
  <si>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</si>
  <si>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</si>
  <si>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</si>
  <si>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</si>
  <si>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</si>
  <si>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</si>
  <si>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</si>
  <si>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</si>
  <si>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</si>
  <si>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</si>
  <si>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</si>
  <si>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</si>
  <si>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</si>
  <si>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</si>
  <si>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</si>
  <si>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</si>
  <si>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</si>
  <si>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</si>
  <si>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</si>
  <si>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</si>
  <si>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</si>
  <si>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</si>
  <si>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</si>
  <si>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</si>
  <si>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</si>
  <si>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</si>
  <si>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</si>
  <si>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</si>
  <si>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</si>
  <si>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</si>
  <si>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</si>
  <si>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</si>
  <si>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</si>
  <si>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</si>
  <si>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</si>
  <si>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</si>
  <si>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</si>
  <si>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</si>
  <si>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</si>
  <si>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</si>
  <si>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</si>
  <si>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</si>
  <si>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</si>
  <si>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</si>
  <si>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</si>
  <si>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</si>
  <si>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</si>
  <si>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</si>
  <si>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</si>
  <si>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</si>
  <si>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</si>
  <si>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</si>
  <si>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</si>
  <si>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</si>
  <si>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</si>
  <si>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</si>
  <si>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</si>
  <si>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</si>
  <si>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</si>
  <si>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</si>
  <si>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</si>
  <si>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</si>
  <si>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</si>
  <si>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</si>
  <si>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</si>
  <si>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</si>
  <si>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</si>
  <si>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</si>
  <si>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</si>
  <si>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</si>
  <si>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</si>
  <si>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</si>
  <si>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</si>
  <si>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</si>
  <si>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</si>
  <si>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</si>
  <si>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</si>
  <si>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</si>
  <si>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</si>
  <si>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</si>
  <si>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</si>
  <si>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</si>
  <si>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</si>
  <si>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</si>
  <si>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</si>
  <si>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</si>
  <si>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</si>
  <si>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</si>
  <si>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</si>
  <si>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</si>
  <si>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</si>
  <si>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</si>
  <si>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</si>
  <si>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</si>
  <si>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</si>
  <si>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</si>
  <si>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</si>
  <si>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</si>
  <si>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</si>
  <si>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</si>
  <si>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</si>
  <si>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</si>
  <si>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</si>
  <si>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</si>
  <si>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</si>
  <si>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</si>
  <si>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</si>
  <si>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</si>
  <si>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</si>
  <si>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</si>
  <si>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</si>
  <si>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</si>
  <si>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</si>
  <si>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</si>
  <si>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</si>
  <si>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</si>
  <si>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</si>
  <si>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</si>
  <si>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</si>
  <si>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</si>
  <si>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</si>
  <si>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</si>
  <si>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</si>
  <si>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</si>
  <si>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</si>
  <si>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</si>
  <si>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</si>
  <si>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</si>
  <si>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</si>
  <si>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</si>
  <si>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</si>
  <si>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</si>
  <si>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</si>
  <si>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</si>
  <si>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</si>
  <si>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</si>
  <si>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</si>
  <si>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</si>
  <si>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</si>
  <si>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</si>
  <si>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</si>
  <si>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</si>
  <si>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</si>
  <si>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</si>
  <si>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</si>
  <si>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</si>
  <si>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</si>
  <si>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</si>
  <si>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</si>
  <si>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</si>
  <si>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</si>
  <si>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</si>
  <si>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</si>
  <si>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</si>
  <si>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</si>
  <si>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</si>
  <si>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</si>
  <si>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</si>
  <si>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</si>
  <si>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</si>
  <si>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</si>
  <si>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</si>
  <si>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</si>
  <si>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</si>
  <si>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</si>
  <si>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</si>
  <si>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</si>
  <si>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</si>
  <si>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</si>
  <si>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</si>
  <si>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</si>
  <si>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</si>
  <si>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</si>
  <si>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</si>
  <si>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</si>
  <si>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</si>
  <si>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</si>
  <si>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</si>
  <si>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</si>
  <si>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</si>
  <si>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</si>
  <si>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</si>
  <si>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</si>
  <si>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</si>
  <si>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</si>
  <si>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</si>
  <si>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</si>
  <si>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</si>
  <si>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</si>
  <si>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</si>
  <si>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</si>
  <si>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</si>
  <si>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</si>
  <si>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</si>
  <si>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</si>
  <si>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</si>
  <si>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</si>
  <si>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</si>
  <si>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</si>
  <si>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</si>
  <si>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</si>
  <si>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</si>
  <si>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</si>
  <si>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</si>
  <si>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</si>
  <si>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</si>
  <si>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</si>
  <si>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</si>
  <si>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</si>
  <si>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</si>
  <si>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</si>
  <si>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</si>
  <si>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</si>
  <si>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</si>
  <si>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</si>
  <si>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</si>
  <si>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</si>
  <si>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</si>
  <si>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</si>
  <si>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</si>
  <si>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</si>
  <si>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</si>
  <si>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</si>
  <si>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</si>
  <si>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</si>
  <si>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</si>
  <si>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</si>
  <si>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</si>
  <si>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</si>
  <si>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</si>
  <si>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</si>
  <si>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</si>
  <si>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</si>
  <si>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</si>
  <si>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</si>
  <si>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</si>
  <si>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</si>
  <si>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</si>
  <si>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</si>
  <si>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</si>
  <si>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</si>
  <si>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</si>
  <si>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</si>
  <si>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</si>
  <si>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</si>
  <si>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</si>
  <si>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</si>
  <si>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</si>
  <si>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</si>
  <si>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</si>
  <si>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</si>
  <si>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</si>
  <si>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</si>
  <si>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</si>
  <si>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</si>
  <si>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</si>
  <si>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</si>
  <si>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</si>
  <si>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</si>
  <si>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</si>
  <si>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</si>
  <si>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</si>
  <si>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</si>
  <si>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</si>
  <si>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</si>
  <si>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</si>
  <si>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</si>
  <si>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</si>
  <si>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</si>
  <si>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</si>
  <si>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</si>
  <si>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</si>
  <si>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</si>
  <si>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</si>
  <si>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</si>
  <si>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</si>
  <si>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</si>
  <si>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</si>
  <si>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</si>
  <si>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</si>
  <si>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</si>
  <si>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</si>
  <si>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</si>
  <si>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</si>
  <si>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</si>
  <si>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</si>
  <si>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</si>
  <si>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</si>
  <si>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</si>
  <si>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</si>
  <si>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</si>
  <si>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</si>
  <si>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</si>
  <si>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</si>
  <si>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</si>
  <si>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</si>
  <si>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</si>
  <si>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</si>
  <si>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</si>
  <si>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</si>
  <si>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</si>
  <si>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</si>
  <si>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</si>
  <si>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</si>
  <si>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</si>
  <si>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</si>
  <si>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</si>
  <si>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</si>
  <si>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</si>
  <si>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</si>
  <si>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</si>
  <si>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</si>
  <si>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</si>
  <si>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</si>
  <si>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</si>
  <si>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</si>
  <si>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</si>
  <si>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</si>
  <si>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</si>
  <si>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</si>
  <si>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</si>
  <si>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</si>
  <si>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</si>
  <si>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</si>
  <si>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</si>
  <si>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</si>
  <si>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</si>
  <si>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</si>
  <si>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</si>
  <si>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</si>
  <si>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</si>
  <si>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</si>
  <si>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</si>
  <si>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</si>
  <si>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</si>
  <si>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</si>
  <si>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</si>
  <si>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</si>
  <si>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</si>
  <si>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</si>
  <si>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</si>
  <si>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</si>
  <si>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</si>
  <si>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</si>
  <si>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</si>
  <si>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</si>
  <si>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</si>
  <si>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</si>
  <si>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</si>
  <si>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</si>
  <si>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</si>
  <si>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</si>
  <si>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</si>
  <si>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</si>
  <si>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</si>
  <si>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</si>
  <si>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</si>
  <si>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</si>
  <si>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</si>
  <si>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</si>
  <si>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</si>
  <si>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</si>
  <si>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</si>
  <si>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</si>
  <si>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</si>
  <si>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</si>
  <si>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</si>
  <si>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</si>
  <si>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</si>
  <si>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</si>
  <si>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</si>
  <si>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</si>
  <si>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</si>
  <si>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</si>
  <si>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</si>
  <si>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</si>
  <si>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</si>
  <si>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</si>
  <si>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</si>
  <si>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</si>
  <si>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</si>
  <si>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</si>
  <si>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</si>
  <si>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</si>
  <si>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</si>
  <si>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</si>
  <si>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</si>
  <si>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</si>
  <si>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</si>
  <si>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</si>
  <si>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</si>
  <si>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</si>
  <si>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</si>
  <si>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</si>
  <si>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</si>
  <si>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</si>
  <si>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</si>
  <si>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</si>
  <si>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</si>
  <si>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</si>
  <si>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</si>
  <si>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</si>
  <si>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</si>
  <si>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</si>
  <si>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</si>
  <si>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</si>
  <si>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</si>
  <si>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</si>
  <si>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</si>
  <si>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</si>
  <si>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</si>
  <si>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</si>
  <si>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</si>
  <si>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</si>
  <si>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</si>
  <si>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</si>
  <si>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</si>
  <si>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</si>
  <si>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</si>
  <si>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</si>
  <si>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</si>
  <si>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</si>
  <si>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</si>
  <si>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</si>
  <si>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</si>
  <si>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</si>
  <si>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</si>
  <si>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</si>
  <si>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</si>
  <si>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</si>
  <si>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</si>
  <si>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</si>
  <si>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</si>
  <si>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</si>
  <si>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</si>
  <si>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</si>
  <si>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</si>
  <si>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</si>
  <si>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</si>
  <si>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</si>
  <si>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</si>
  <si>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</si>
  <si>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</si>
  <si>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</si>
  <si>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</si>
  <si>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</si>
  <si>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</si>
  <si>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</si>
  <si>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</si>
  <si>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</si>
  <si>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</si>
  <si>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</si>
  <si>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</si>
  <si>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</si>
  <si>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</si>
  <si>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</si>
  <si>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</si>
  <si>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</si>
  <si>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</si>
  <si>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</si>
  <si>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</si>
  <si>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</si>
  <si>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</si>
  <si>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</si>
  <si>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</si>
  <si>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</si>
  <si>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</si>
  <si>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</si>
  <si>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</si>
  <si>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</si>
  <si>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</si>
  <si>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</si>
  <si>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</si>
  <si>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</si>
  <si>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</si>
  <si>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</si>
  <si>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</si>
  <si>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</si>
  <si>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</si>
  <si>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</si>
  <si>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</si>
  <si>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</si>
  <si>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</si>
  <si>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</si>
  <si>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</si>
  <si>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</si>
  <si>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</si>
  <si>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</si>
  <si>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</si>
  <si>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</si>
  <si>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</si>
  <si>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</si>
  <si>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</si>
  <si>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</si>
  <si>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</si>
  <si>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</si>
  <si>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</si>
  <si>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</si>
  <si>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</si>
  <si>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</si>
  <si>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</si>
  <si>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</si>
  <si>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</si>
  <si>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</si>
  <si>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</si>
  <si>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</si>
  <si>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</si>
  <si>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</si>
  <si>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</si>
  <si>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</si>
  <si>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</si>
  <si>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</si>
  <si>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</si>
  <si>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</si>
  <si>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</si>
  <si>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</si>
  <si>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</si>
  <si>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</si>
  <si>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</si>
  <si>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</si>
  <si>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</si>
  <si>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</si>
  <si>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</si>
  <si>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</si>
  <si>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</si>
  <si>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</si>
  <si>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</si>
  <si>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</si>
  <si>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</si>
  <si>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</si>
  <si>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</si>
  <si>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</si>
  <si>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</si>
  <si>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</si>
  <si>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</si>
  <si>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</si>
  <si>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</si>
  <si>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</si>
  <si>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</si>
  <si>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</si>
  <si>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</si>
  <si>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</si>
  <si>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</si>
  <si>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</si>
  <si>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</si>
  <si>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</si>
  <si>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</si>
  <si>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</si>
  <si>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</si>
  <si>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</si>
  <si>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</si>
  <si>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</si>
  <si>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</si>
  <si>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</si>
  <si>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</si>
  <si>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</si>
  <si>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</si>
  <si>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</si>
  <si>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</si>
  <si>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</si>
  <si>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</si>
  <si>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</si>
  <si>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</si>
  <si>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</si>
  <si>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</si>
  <si>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</si>
  <si>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</si>
  <si>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</si>
  <si>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</si>
  <si>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</si>
  <si>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</si>
  <si>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</si>
  <si>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</si>
  <si>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</si>
  <si>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</si>
  <si>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</si>
  <si>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</si>
  <si>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</si>
  <si>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</si>
  <si>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</si>
  <si>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</si>
  <si>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</si>
  <si>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</si>
  <si>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</si>
  <si>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</si>
  <si>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</si>
  <si>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</si>
  <si>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</si>
  <si>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</si>
  <si>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</si>
  <si>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</si>
  <si>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</si>
  <si>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</si>
  <si>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</si>
  <si>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</si>
  <si>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</si>
  <si>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</si>
  <si>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</si>
  <si>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</si>
  <si>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</si>
  <si>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</si>
  <si>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</si>
  <si>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</si>
  <si>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</si>
  <si>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</si>
  <si>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</si>
  <si>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</si>
  <si>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</si>
  <si>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</si>
  <si>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</si>
  <si>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</si>
  <si>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</si>
  <si>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</si>
  <si>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</si>
  <si>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</si>
  <si>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</si>
  <si>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</si>
  <si>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</si>
  <si>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</si>
  <si>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</si>
  <si>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</si>
  <si>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</si>
  <si>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</si>
  <si>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</si>
  <si>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</si>
  <si>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</si>
  <si>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</si>
  <si>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</si>
  <si>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</si>
  <si>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</si>
  <si>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</si>
  <si>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</si>
  <si>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</si>
  <si>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</si>
  <si>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</si>
  <si>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</si>
  <si>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</si>
  <si>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</si>
  <si>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</si>
  <si>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</si>
  <si>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</si>
  <si>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</si>
  <si>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</si>
  <si>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</si>
  <si>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</si>
  <si>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</si>
  <si>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</si>
  <si>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</si>
  <si>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</si>
  <si>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</si>
  <si>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</si>
  <si>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</si>
  <si>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</si>
  <si>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</si>
  <si>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</si>
  <si>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</si>
  <si>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</si>
  <si>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</si>
  <si>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</si>
  <si>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</si>
  <si>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</si>
  <si>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</si>
  <si>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</si>
  <si>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</si>
  <si>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</si>
  <si>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</si>
  <si>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</si>
  <si>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</si>
  <si>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</si>
  <si>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</si>
  <si>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</si>
  <si>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</si>
  <si>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</si>
  <si>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</si>
  <si>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</si>
  <si>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</si>
  <si>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</si>
  <si>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</si>
  <si>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</si>
  <si>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</si>
  <si>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</si>
  <si>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</si>
  <si>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</si>
  <si>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</si>
  <si>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</si>
  <si>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</si>
  <si>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</si>
  <si>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</si>
  <si>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</si>
  <si>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</si>
  <si>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</si>
  <si>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</si>
  <si>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</si>
  <si>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</si>
  <si>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</si>
  <si>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</si>
  <si>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</si>
  <si>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</si>
  <si>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</si>
  <si>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</si>
  <si>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</si>
  <si>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</si>
  <si>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</si>
  <si>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</si>
  <si>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</si>
  <si>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</si>
  <si>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</si>
  <si>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</si>
  <si>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</si>
  <si>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</si>
  <si>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</si>
  <si>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</si>
  <si>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</si>
  <si>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</si>
  <si>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</si>
  <si>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</si>
  <si>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</si>
  <si>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</si>
  <si>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</si>
  <si>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</si>
  <si>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</si>
  <si>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</si>
  <si>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</si>
  <si>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</si>
  <si>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</si>
  <si>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</si>
  <si>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</si>
  <si>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</si>
  <si>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</si>
  <si>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</si>
  <si>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</si>
  <si>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</si>
  <si>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</si>
  <si>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</si>
  <si>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</si>
  <si>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</si>
  <si>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</si>
  <si>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</si>
  <si>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</si>
  <si>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</si>
  <si>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</si>
  <si>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</si>
  <si>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</si>
  <si>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</si>
  <si>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</si>
  <si>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</si>
  <si>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</si>
  <si>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</si>
  <si>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</si>
  <si>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</si>
  <si>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</si>
  <si>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</si>
  <si>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</si>
  <si>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</si>
  <si>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</si>
  <si>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</si>
  <si>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</si>
  <si>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</si>
  <si>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</si>
  <si>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</si>
  <si>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</si>
  <si>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</si>
  <si>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</si>
  <si>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</si>
  <si>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</si>
  <si>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</si>
  <si>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</si>
  <si>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</si>
  <si>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</si>
  <si>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</si>
  <si>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</si>
  <si>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</si>
  <si>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</si>
  <si>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</si>
  <si>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</si>
  <si>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</si>
  <si>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</si>
  <si>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</si>
  <si>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</si>
  <si>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</si>
  <si>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</si>
  <si>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</si>
  <si>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</si>
  <si>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</si>
  <si>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</si>
  <si>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</si>
  <si>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</si>
  <si>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</si>
  <si>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</si>
  <si>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</si>
  <si>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</si>
  <si>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</si>
  <si>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</si>
  <si>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</si>
  <si>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</si>
  <si>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</si>
  <si>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</si>
  <si>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</si>
  <si>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</si>
  <si>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</si>
  <si>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</si>
  <si>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</si>
  <si>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</si>
  <si>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</si>
  <si>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</si>
  <si>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</si>
  <si>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</si>
  <si>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</si>
  <si>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</si>
  <si>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</si>
  <si>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</si>
  <si>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</si>
  <si>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</si>
  <si>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</si>
  <si>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</si>
  <si>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</si>
  <si>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</si>
  <si>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</si>
  <si>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</si>
  <si>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</si>
  <si>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</si>
  <si>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</si>
  <si>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</si>
  <si>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</si>
  <si>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</si>
  <si>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</si>
  <si>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</si>
  <si>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</si>
  <si>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</si>
  <si>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</si>
  <si>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</si>
  <si>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</si>
  <si>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</si>
  <si>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</si>
  <si>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</si>
  <si>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</si>
  <si>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</si>
  <si>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</si>
  <si>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</si>
  <si>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</si>
  <si>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</si>
  <si>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</si>
  <si>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</si>
  <si>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</si>
  <si>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</si>
  <si>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</si>
  <si>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</si>
  <si>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</si>
  <si>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</si>
  <si>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</si>
  <si>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</si>
  <si>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</si>
  <si>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</si>
  <si>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</si>
  <si>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</si>
  <si>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</si>
  <si>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</si>
  <si>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</si>
  <si>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</si>
  <si>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</si>
  <si>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</si>
  <si>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</si>
  <si>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</si>
  <si>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</si>
  <si>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</si>
  <si>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</si>
  <si>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</si>
  <si>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</si>
  <si>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</si>
  <si>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</si>
  <si>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</si>
  <si>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</si>
  <si>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</si>
  <si>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</si>
  <si>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</si>
  <si>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</si>
  <si>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</si>
  <si>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</si>
  <si>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</si>
  <si>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</si>
  <si>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</si>
  <si>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</si>
  <si>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</si>
  <si>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</si>
  <si>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</si>
  <si>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</si>
  <si>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</si>
  <si>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</si>
  <si>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</si>
  <si>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</si>
  <si>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</si>
  <si>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</si>
  <si>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</si>
  <si>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</si>
  <si>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</si>
  <si>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</si>
  <si>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</si>
  <si>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</si>
  <si>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</si>
  <si>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</si>
  <si>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</si>
  <si>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</si>
  <si>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</si>
  <si>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</si>
  <si>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</si>
  <si>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</si>
  <si>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</si>
  <si>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</si>
  <si>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</si>
  <si>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</si>
  <si>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</si>
  <si>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</si>
  <si>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</si>
  <si>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</si>
  <si>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</si>
  <si>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</si>
  <si>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</si>
  <si>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</si>
  <si>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</si>
  <si>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</si>
  <si>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</si>
  <si>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</si>
  <si>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</si>
  <si>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</si>
  <si>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</si>
  <si>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</si>
  <si>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</si>
  <si>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</si>
  <si>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</si>
  <si>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</si>
  <si>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</si>
  <si>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</si>
  <si>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</si>
  <si>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</si>
  <si>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</si>
  <si>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</si>
  <si>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</si>
  <si>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</si>
  <si>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</si>
  <si>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</si>
  <si>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</si>
  <si>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</si>
  <si>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</si>
  <si>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</si>
  <si>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</si>
  <si>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</si>
  <si>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</si>
  <si>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</si>
  <si>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</si>
  <si>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</si>
  <si>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</si>
  <si>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</si>
  <si>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</si>
  <si>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</si>
  <si>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</si>
  <si>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</si>
  <si>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</si>
  <si>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</si>
  <si>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</si>
  <si>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</si>
  <si>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</si>
  <si>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</si>
  <si>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</si>
  <si>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</si>
  <si>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</si>
  <si>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</si>
  <si>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</si>
  <si>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</si>
  <si>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</si>
  <si>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</si>
  <si>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</si>
  <si>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</si>
  <si>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</si>
  <si>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</si>
  <si>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</si>
  <si>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</si>
  <si>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</si>
  <si>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</si>
  <si>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</si>
  <si>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</si>
  <si>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</si>
  <si>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</si>
  <si>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</si>
  <si>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</si>
  <si>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</si>
  <si>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</si>
  <si>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</si>
  <si>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</si>
  <si>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</si>
  <si>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</si>
  <si>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</si>
  <si>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</si>
  <si>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</si>
  <si>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</si>
  <si>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</si>
  <si>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</si>
  <si>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</si>
  <si>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</si>
  <si>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</si>
  <si>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</si>
  <si>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</si>
  <si>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</si>
  <si>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</si>
  <si>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</si>
  <si>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</si>
  <si>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</si>
  <si>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</si>
  <si>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</si>
  <si>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</si>
  <si>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</si>
  <si>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</si>
  <si>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</si>
  <si>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</si>
  <si>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</si>
  <si>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</si>
  <si>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</si>
  <si>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</si>
  <si>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</si>
  <si>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</si>
  <si>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</si>
  <si>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</si>
  <si>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</si>
  <si>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</si>
  <si>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</si>
  <si>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</si>
  <si>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</si>
  <si>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</si>
  <si>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</si>
  <si>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</si>
  <si>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</si>
  <si>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</si>
  <si>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</si>
  <si>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</si>
  <si>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</si>
  <si>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</si>
  <si>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</si>
  <si>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</si>
  <si>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</si>
  <si>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</si>
  <si>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</si>
  <si>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</si>
  <si>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</si>
  <si>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</si>
  <si>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</si>
  <si>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</si>
  <si>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</si>
  <si>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</si>
  <si>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</si>
  <si>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</si>
  <si>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</si>
  <si>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</si>
  <si>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</si>
  <si>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</si>
  <si>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</si>
  <si>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</si>
  <si>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</si>
  <si>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</si>
  <si>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</si>
  <si>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</si>
  <si>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</si>
  <si>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</si>
  <si>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</si>
  <si>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</si>
  <si>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</si>
  <si>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</si>
  <si>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</si>
  <si>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</si>
  <si>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</si>
  <si>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</si>
  <si>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</si>
  <si>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</si>
  <si>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</si>
  <si>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</si>
  <si>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</si>
  <si>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</si>
  <si>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</si>
  <si>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</si>
  <si>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</si>
  <si>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</si>
  <si>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</si>
  <si>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</si>
  <si>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</si>
  <si>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</si>
  <si>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</si>
  <si>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</si>
  <si>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</si>
  <si>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</si>
  <si>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</si>
  <si>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</si>
  <si>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</si>
  <si>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</si>
  <si>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</si>
  <si>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</si>
  <si>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</si>
  <si>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</si>
  <si>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</si>
  <si>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</si>
  <si>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</si>
  <si>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</si>
  <si>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</si>
  <si>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</si>
  <si>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</si>
  <si>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</si>
  <si>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</si>
  <si>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</si>
  <si>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</si>
  <si>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</si>
  <si>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</si>
  <si>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</si>
  <si>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</si>
  <si>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</si>
  <si>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</si>
  <si>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</si>
  <si>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</si>
  <si>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</si>
  <si>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</si>
  <si>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</si>
  <si>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</si>
  <si>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</si>
  <si>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</si>
  <si>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</si>
  <si>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</si>
  <si>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</si>
  <si>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</si>
  <si>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</si>
  <si>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</si>
  <si>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</si>
  <si>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</si>
  <si>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</si>
  <si>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</si>
  <si>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</si>
  <si>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</si>
  <si>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</si>
  <si>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</si>
  <si>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</si>
  <si>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</si>
  <si>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</si>
  <si>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</si>
  <si>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</si>
  <si>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</si>
  <si>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</si>
  <si>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</si>
  <si>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</si>
  <si>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</si>
  <si>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</si>
  <si>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</si>
  <si>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</si>
  <si>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</si>
  <si>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</si>
  <si>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</si>
  <si>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</si>
  <si>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</si>
  <si>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</si>
  <si>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</si>
  <si>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</si>
  <si>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</si>
  <si>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</si>
  <si>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</si>
  <si>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</si>
  <si>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</si>
  <si>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</si>
  <si>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</si>
  <si>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</si>
  <si>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</si>
  <si>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</si>
  <si>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</si>
  <si>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</si>
  <si>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</si>
  <si>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</si>
  <si>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</si>
  <si>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</si>
  <si>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</si>
  <si>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</si>
  <si>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</si>
  <si>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</si>
  <si>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</si>
  <si>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</si>
  <si>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</si>
  <si>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</si>
  <si>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</si>
  <si>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</si>
  <si>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</si>
  <si>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</si>
  <si>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</si>
  <si>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</si>
  <si>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</si>
  <si>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</si>
  <si>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</si>
  <si>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</si>
  <si>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</si>
  <si>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</si>
  <si>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</si>
  <si>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</si>
  <si>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</si>
  <si>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</si>
  <si>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</si>
  <si>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</si>
  <si>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</si>
  <si>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</si>
  <si>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</si>
  <si>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</si>
  <si>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</si>
  <si>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</si>
  <si>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</si>
  <si>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</si>
  <si>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</si>
  <si>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</si>
  <si>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</si>
  <si>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</si>
  <si>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</si>
  <si>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</si>
  <si>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</si>
  <si>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</si>
  <si>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</si>
  <si>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</si>
  <si>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</si>
  <si>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</si>
  <si>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</si>
  <si>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</si>
  <si>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</si>
  <si>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</si>
  <si>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</si>
  <si>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</si>
  <si>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</si>
  <si>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</si>
  <si>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</si>
  <si>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</si>
  <si>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</si>
  <si>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</si>
  <si>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</si>
  <si>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</si>
  <si>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</si>
  <si>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</si>
  <si>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</si>
  <si>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</si>
  <si>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</si>
  <si>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</si>
  <si>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</si>
  <si>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</si>
  <si>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</si>
  <si>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</si>
  <si>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</si>
  <si>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</si>
  <si>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</si>
  <si>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</si>
  <si>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</si>
  <si>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</si>
  <si>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</si>
  <si>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</si>
  <si>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</si>
  <si>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</si>
  <si>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</si>
  <si>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</si>
  <si>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</si>
  <si>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</si>
  <si>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</si>
  <si>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</si>
  <si>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</si>
  <si>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</si>
  <si>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</si>
  <si>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</si>
  <si>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</si>
  <si>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</si>
  <si>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</si>
  <si>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</si>
  <si>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</si>
  <si>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</si>
  <si>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</si>
  <si>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</si>
  <si>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</si>
  <si>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</si>
  <si>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</si>
  <si>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</si>
  <si>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</si>
  <si>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</si>
  <si>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</si>
  <si>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</si>
  <si>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</si>
  <si>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</si>
  <si>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</si>
  <si>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</si>
  <si>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</si>
  <si>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</si>
  <si>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</si>
  <si>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</si>
  <si>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</si>
  <si>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</si>
  <si>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</si>
  <si>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</si>
  <si>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</si>
  <si>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</si>
  <si>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</si>
  <si>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</si>
  <si>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</si>
  <si>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</si>
  <si>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</si>
  <si>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</si>
  <si>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</si>
  <si>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</si>
  <si>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</si>
  <si>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</si>
  <si>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</si>
  <si>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</si>
  <si>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</si>
  <si>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</si>
  <si>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</si>
  <si>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</si>
  <si>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</si>
  <si>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</si>
  <si>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</si>
  <si>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</si>
  <si>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</si>
  <si>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</si>
  <si>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</si>
  <si>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</si>
  <si>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</si>
  <si>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</si>
  <si>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</si>
  <si>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</si>
  <si>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</si>
  <si>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</si>
  <si>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</si>
  <si>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</si>
  <si>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</si>
  <si>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</si>
  <si>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</si>
  <si>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</si>
  <si>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</si>
  <si>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</si>
  <si>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</si>
  <si>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</si>
  <si>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</si>
  <si>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</si>
  <si>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</si>
  <si>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</si>
  <si>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</si>
  <si>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</si>
  <si>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</si>
  <si>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</si>
  <si>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</si>
  <si>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</si>
  <si>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</si>
  <si>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</si>
  <si>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</si>
  <si>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</si>
  <si>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</si>
  <si>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</si>
  <si>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</si>
  <si>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</si>
  <si>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</si>
  <si>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</si>
  <si>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</si>
  <si>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</si>
  <si>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</si>
  <si>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</si>
  <si>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</si>
  <si>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</si>
  <si>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</si>
  <si>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</si>
  <si>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</si>
  <si>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</si>
  <si>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</si>
  <si>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</si>
  <si>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</si>
  <si>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</si>
  <si>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</si>
  <si>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</si>
  <si>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</si>
  <si>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</si>
  <si>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</si>
  <si>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</si>
  <si>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</si>
  <si>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</si>
  <si>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</si>
  <si>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</si>
  <si>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</si>
  <si>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</si>
  <si>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</si>
  <si>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</si>
  <si>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</si>
  <si>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</si>
  <si>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</si>
  <si>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</si>
  <si>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</si>
  <si>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</si>
  <si>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</si>
  <si>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</si>
  <si>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</si>
  <si>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</si>
  <si>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</si>
  <si>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</si>
  <si>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</si>
  <si>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</si>
  <si>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</si>
  <si>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</si>
  <si>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</si>
  <si>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</si>
  <si>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</si>
  <si>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</si>
  <si>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</si>
  <si>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</si>
  <si>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</si>
  <si>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</si>
  <si>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</si>
  <si>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</si>
  <si>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</si>
  <si>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</si>
  <si>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</si>
  <si>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</si>
  <si>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</si>
  <si>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</si>
  <si>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</si>
  <si>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</si>
  <si>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</si>
  <si>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</si>
  <si>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</si>
  <si>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</si>
  <si>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</si>
  <si>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</si>
  <si>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</si>
  <si>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</si>
  <si>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</si>
  <si>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</si>
  <si>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</si>
  <si>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</si>
  <si>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</si>
  <si>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</si>
  <si>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</si>
  <si>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</si>
  <si>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</si>
  <si>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</si>
  <si>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</si>
  <si>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</si>
  <si>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</si>
  <si>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</si>
  <si>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</si>
  <si>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</si>
  <si>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</si>
  <si>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</si>
  <si>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</si>
  <si>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</si>
  <si>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</si>
  <si>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</si>
  <si>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</si>
  <si>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</si>
  <si>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</si>
  <si>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</si>
  <si>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</si>
  <si>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</si>
  <si>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</si>
  <si>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</si>
  <si>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</si>
  <si>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</si>
  <si>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</si>
  <si>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</si>
  <si>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</si>
  <si>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</si>
  <si>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</si>
  <si>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</si>
  <si>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</si>
  <si>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</si>
  <si>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</si>
  <si>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</si>
  <si>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</si>
  <si>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</si>
  <si>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</si>
  <si>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</si>
  <si>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</si>
  <si>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</si>
  <si>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</si>
  <si>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</si>
  <si>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</si>
  <si>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</si>
  <si>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</si>
  <si>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</si>
  <si>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</si>
  <si>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</si>
  <si>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</si>
  <si>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</si>
  <si>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</si>
  <si>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</si>
  <si>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</si>
  <si>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</si>
  <si>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</si>
  <si>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</si>
  <si>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</si>
  <si>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</si>
  <si>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</si>
  <si>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</si>
  <si>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</si>
  <si>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</si>
  <si>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</si>
  <si>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</si>
  <si>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</si>
  <si>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</si>
  <si>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</si>
  <si>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</si>
  <si>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</si>
  <si>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</si>
  <si>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</si>
  <si>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</si>
  <si>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</si>
  <si>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</si>
  <si>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</si>
  <si>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</si>
  <si>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</si>
  <si>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</si>
  <si>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</si>
  <si>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</si>
  <si>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</si>
  <si>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</si>
  <si>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</si>
  <si>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</si>
  <si>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</si>
  <si>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</si>
  <si>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</si>
  <si>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</si>
  <si>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</si>
  <si>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</si>
  <si>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</si>
  <si>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</si>
  <si>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</si>
  <si>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</si>
  <si>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</si>
  <si>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</si>
  <si>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</si>
  <si>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</si>
  <si>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</si>
  <si>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</si>
  <si>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</si>
  <si>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</si>
  <si>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</si>
  <si>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</si>
  <si>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</si>
  <si>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</si>
  <si>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</si>
  <si>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</si>
  <si>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</si>
  <si>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</si>
  <si>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</si>
  <si>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</si>
  <si>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</si>
  <si>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</si>
  <si>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</si>
  <si>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</si>
  <si>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</si>
  <si>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</si>
  <si>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</si>
  <si>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</si>
  <si>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</si>
  <si>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</si>
  <si>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</si>
  <si>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</si>
  <si>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</si>
  <si>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</si>
  <si>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</si>
  <si>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</si>
  <si>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</si>
  <si>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</si>
  <si>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</si>
  <si>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</si>
  <si>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</si>
  <si>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</si>
  <si>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</si>
  <si>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</si>
  <si>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</si>
  <si>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</si>
  <si>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</si>
  <si>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</si>
  <si>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</si>
  <si>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</si>
  <si>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</si>
  <si>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</si>
  <si>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</si>
  <si>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</si>
  <si>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</si>
  <si>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</si>
  <si>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</si>
  <si>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</si>
  <si>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</si>
  <si>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</si>
  <si>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</si>
  <si>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</si>
  <si>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</si>
  <si>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</si>
  <si>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</si>
  <si>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</si>
  <si>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</si>
  <si>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</si>
  <si>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</si>
  <si>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</si>
  <si>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</si>
  <si>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</si>
  <si>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</si>
  <si>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</si>
  <si>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</si>
  <si>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</si>
  <si>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</si>
  <si>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</si>
  <si>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</si>
  <si>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</si>
  <si>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</si>
  <si>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</si>
  <si>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</si>
  <si>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</si>
  <si>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</si>
  <si>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</si>
  <si>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</si>
  <si>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</si>
  <si>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</si>
  <si>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</si>
  <si>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</si>
  <si>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</si>
  <si>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</si>
  <si>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</si>
  <si>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</si>
  <si>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</si>
  <si>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</si>
  <si>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</si>
  <si>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</si>
  <si>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</si>
  <si>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</si>
  <si>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</si>
  <si>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</si>
  <si>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</si>
  <si>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</si>
  <si>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</si>
  <si>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</si>
  <si>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</si>
  <si>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</si>
  <si>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</si>
  <si>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</si>
  <si>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</si>
  <si>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</si>
  <si>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</si>
  <si>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</si>
  <si>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</si>
  <si>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</si>
  <si>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</si>
  <si>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</si>
  <si>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</si>
  <si>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</si>
  <si>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</si>
  <si>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</si>
  <si>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</si>
  <si>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</si>
  <si>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</si>
  <si>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</si>
  <si>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</si>
  <si>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</si>
  <si>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</si>
  <si>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</si>
  <si>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</si>
  <si>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</si>
  <si>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</si>
  <si>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</si>
  <si>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</si>
  <si>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</si>
  <si>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</si>
  <si>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</si>
  <si>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</si>
  <si>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</si>
  <si>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</si>
  <si>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</si>
  <si>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</si>
  <si>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</si>
  <si>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</si>
  <si>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</si>
  <si>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</si>
  <si>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</si>
  <si>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</si>
  <si>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</si>
  <si>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</si>
  <si>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</si>
  <si>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</si>
  <si>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</si>
  <si>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</si>
  <si>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</si>
  <si>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</si>
  <si>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</si>
  <si>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</si>
  <si>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</si>
  <si>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</si>
  <si>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</si>
  <si>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</si>
  <si>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</si>
  <si>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</si>
  <si>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</si>
  <si>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</si>
  <si>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</si>
  <si>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</si>
  <si>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</si>
  <si>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</si>
  <si>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</si>
  <si>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</si>
  <si>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</si>
  <si>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</si>
  <si>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</si>
  <si>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</si>
  <si>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</si>
  <si>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</si>
  <si>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</si>
  <si>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</si>
  <si>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</si>
  <si>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</si>
  <si>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</si>
  <si>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</si>
  <si>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</si>
  <si>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</si>
  <si>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</si>
  <si>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</si>
  <si>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</si>
  <si>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</si>
  <si>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</si>
  <si>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</si>
  <si>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</si>
  <si>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</si>
  <si>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</si>
  <si>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</si>
  <si>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</si>
  <si>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</si>
  <si>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</si>
  <si>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</si>
  <si>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</si>
  <si>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</si>
  <si>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</si>
  <si>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</si>
  <si>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</si>
  <si>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</si>
  <si>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</si>
  <si>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</si>
  <si>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</si>
  <si>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</si>
  <si>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</si>
  <si>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</si>
  <si>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</si>
  <si>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</si>
  <si>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</si>
  <si>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</si>
  <si>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</si>
  <si>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</si>
  <si>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</si>
  <si>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</si>
  <si>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</si>
  <si>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</si>
  <si>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</si>
  <si>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</si>
  <si>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</si>
  <si>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</si>
  <si>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</si>
  <si>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</si>
  <si>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</si>
  <si>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</si>
  <si>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</si>
  <si>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</si>
  <si>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</si>
  <si>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</si>
  <si>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</si>
  <si>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</si>
  <si>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</si>
  <si>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</si>
  <si>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</si>
  <si>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</si>
  <si>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</si>
  <si>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</si>
  <si>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</si>
  <si>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</si>
  <si>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</si>
  <si>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</si>
  <si>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</si>
  <si>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</si>
  <si>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</si>
  <si>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</si>
  <si>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</si>
  <si>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</si>
  <si>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</si>
  <si>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</si>
  <si>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</si>
  <si>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</si>
  <si>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</si>
  <si>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</si>
  <si>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</si>
  <si>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</si>
  <si>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</si>
  <si>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</si>
  <si>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</si>
  <si>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</si>
  <si>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</si>
  <si>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</si>
  <si>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</si>
  <si>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</si>
  <si>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</si>
  <si>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</si>
  <si>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</si>
  <si>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</si>
  <si>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</si>
  <si>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</si>
  <si>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</si>
  <si>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</si>
  <si>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</si>
  <si>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</si>
  <si>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</si>
  <si>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</si>
  <si>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</si>
  <si>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</si>
  <si>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</si>
  <si>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</si>
  <si>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</si>
  <si>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</si>
  <si>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</si>
  <si>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</si>
  <si>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</si>
  <si>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</si>
  <si>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</si>
  <si>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</si>
  <si>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</si>
  <si>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</si>
  <si>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</si>
  <si>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</si>
  <si>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</si>
  <si>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</si>
  <si>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</si>
  <si>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</si>
  <si>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</si>
  <si>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</si>
  <si>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</si>
  <si>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</si>
  <si>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</si>
  <si>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</si>
  <si>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</si>
  <si>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</si>
  <si>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</si>
  <si>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</si>
  <si>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</si>
  <si>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</si>
  <si>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</si>
  <si>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</si>
  <si>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</si>
  <si>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</si>
  <si>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</si>
  <si>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</si>
  <si>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</si>
  <si>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</si>
  <si>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</si>
  <si>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</si>
  <si>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</si>
  <si>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</si>
  <si>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</si>
  <si>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</si>
  <si>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</si>
  <si>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</si>
  <si>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</si>
  <si>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</si>
  <si>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</si>
  <si>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</si>
  <si>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</si>
  <si>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</si>
  <si>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</si>
  <si>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</si>
  <si>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</si>
  <si>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</si>
  <si>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</si>
  <si>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</si>
  <si>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</si>
  <si>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</si>
  <si>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</si>
  <si>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</si>
  <si>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</si>
  <si>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</si>
  <si>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</si>
  <si>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</si>
  <si>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</si>
  <si>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</si>
  <si>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</si>
  <si>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</si>
  <si>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</si>
  <si>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</si>
  <si>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</si>
  <si>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</si>
  <si>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</si>
  <si>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</si>
  <si>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</si>
  <si>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</si>
  <si>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</si>
  <si>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</si>
  <si>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</si>
  <si>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</si>
  <si>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</si>
  <si>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</si>
  <si>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</si>
  <si>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</si>
  <si>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</si>
  <si>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</si>
  <si>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</si>
  <si>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</si>
  <si>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</si>
  <si>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</si>
  <si>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</si>
  <si>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</si>
  <si>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</si>
  <si>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</si>
  <si>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</si>
  <si>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</si>
  <si>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</si>
  <si>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</si>
  <si>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</si>
  <si>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</si>
  <si>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</si>
  <si>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</si>
  <si>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</si>
  <si>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</si>
  <si>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</si>
  <si>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</si>
  <si>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</si>
  <si>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</si>
  <si>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</si>
  <si>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</si>
  <si>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</si>
  <si>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</si>
  <si>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</si>
  <si>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</si>
  <si>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</si>
  <si>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</si>
  <si>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</si>
  <si>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</si>
  <si>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</si>
  <si>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</si>
  <si>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</si>
  <si>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</si>
  <si>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</si>
  <si>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</si>
  <si>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</si>
  <si>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</si>
  <si>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</si>
  <si>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</si>
  <si>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</si>
  <si>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</si>
  <si>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</si>
  <si>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</si>
  <si>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</si>
  <si>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</si>
  <si>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</si>
  <si>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</si>
  <si>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</si>
  <si>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</si>
  <si>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</si>
  <si>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</si>
  <si>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</si>
  <si>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</si>
  <si>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</si>
  <si>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</si>
  <si>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</si>
  <si>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</si>
  <si>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</si>
  <si>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</si>
  <si>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</si>
  <si>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</si>
  <si>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</si>
  <si>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</si>
  <si>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</si>
  <si>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</si>
  <si>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</si>
  <si>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</si>
  <si>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</si>
  <si>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</si>
  <si>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</si>
  <si>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</si>
  <si>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</si>
  <si>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</si>
  <si>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</si>
  <si>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</si>
  <si>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</si>
  <si>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</si>
  <si>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</si>
  <si>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</si>
  <si>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</si>
  <si>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</si>
  <si>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</si>
  <si>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</si>
  <si>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</si>
  <si>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</si>
  <si>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</si>
  <si>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</si>
  <si>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</si>
  <si>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</si>
  <si>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</si>
  <si>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</si>
  <si>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</si>
  <si>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</si>
  <si>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</si>
  <si>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</si>
  <si>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</si>
  <si>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</si>
  <si>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</si>
  <si>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</si>
  <si>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</si>
  <si>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</si>
  <si>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</si>
  <si>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</si>
  <si>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</si>
  <si>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</si>
  <si>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</si>
  <si>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</si>
  <si>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</si>
  <si>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</si>
  <si>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</si>
  <si>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</si>
  <si>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</si>
  <si>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</si>
  <si>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</si>
  <si>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</si>
  <si>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</si>
  <si>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</si>
  <si>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</si>
  <si>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</si>
  <si>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</si>
  <si>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</si>
  <si>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</si>
  <si>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</si>
  <si>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</si>
  <si>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</si>
  <si>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</si>
  <si>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</si>
  <si>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</si>
  <si>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</si>
  <si>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</si>
  <si>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</si>
  <si>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</si>
  <si>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</si>
  <si>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</si>
  <si>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</si>
  <si>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</si>
  <si>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</si>
  <si>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</si>
  <si>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</si>
  <si>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</si>
  <si>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</si>
  <si>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</si>
  <si>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</si>
  <si>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</si>
  <si>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</si>
  <si>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</si>
  <si>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</si>
  <si>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</si>
  <si>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</si>
  <si>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</si>
  <si>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</si>
  <si>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</si>
  <si>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</si>
  <si>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</si>
  <si>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</si>
  <si>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</si>
  <si>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</si>
  <si>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</si>
  <si>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</si>
  <si>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</si>
  <si>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</si>
  <si>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</si>
  <si>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</si>
  <si>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</si>
  <si>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</si>
  <si>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</si>
  <si>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</si>
  <si>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</si>
  <si>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</si>
  <si>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</si>
  <si>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</si>
  <si>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</si>
  <si>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</si>
  <si>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</si>
  <si>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</si>
  <si>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</si>
  <si>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</si>
  <si>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</si>
  <si>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</si>
  <si>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</si>
  <si>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</si>
  <si>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</si>
  <si>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</si>
  <si>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</si>
  <si>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</si>
  <si>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</si>
  <si>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</si>
  <si>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</si>
  <si>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</si>
  <si>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</si>
  <si>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</si>
  <si>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</si>
  <si>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</si>
  <si>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</si>
  <si>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</si>
  <si>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</si>
  <si>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</si>
  <si>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</si>
  <si>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</si>
  <si>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</si>
  <si>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</si>
  <si>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</si>
  <si>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</si>
  <si>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</si>
  <si>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</si>
  <si>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</si>
  <si>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</si>
  <si>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</si>
  <si>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</si>
  <si>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</si>
  <si>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</si>
  <si>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</si>
  <si>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</si>
  <si>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</si>
  <si>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</si>
  <si>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</si>
  <si>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</si>
  <si>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</si>
  <si>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</si>
  <si>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</si>
  <si>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</si>
  <si>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</si>
  <si>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</si>
  <si>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</si>
  <si>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</si>
  <si>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</si>
  <si>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</si>
  <si>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</si>
  <si>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</si>
  <si>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</si>
  <si>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</si>
  <si>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</si>
  <si>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</si>
  <si>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</si>
  <si>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</si>
  <si>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</si>
  <si>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</si>
  <si>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</si>
  <si>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</si>
  <si>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</si>
  <si>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</si>
  <si>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</si>
  <si>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</si>
  <si>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</si>
  <si>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</si>
  <si>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</si>
  <si>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</si>
  <si>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</si>
  <si>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</si>
  <si>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</si>
  <si>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</si>
  <si>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</si>
  <si>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</si>
  <si>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</si>
  <si>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</si>
  <si>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</si>
  <si>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</si>
  <si>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</si>
  <si>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</si>
  <si>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</si>
  <si>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</si>
  <si>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</si>
  <si>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</si>
  <si>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</si>
  <si>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</si>
  <si>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</si>
  <si>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</si>
  <si>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</si>
  <si>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</si>
  <si>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</si>
  <si>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</si>
  <si>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</si>
  <si>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</si>
  <si>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</si>
  <si>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</si>
  <si>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</si>
  <si>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</si>
  <si>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</si>
  <si>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</si>
  <si>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</si>
  <si>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</si>
  <si>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</si>
  <si>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</si>
  <si>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</si>
  <si>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</si>
  <si>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</si>
  <si>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</si>
  <si>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</si>
  <si>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</si>
  <si>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</si>
  <si>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</si>
  <si>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</si>
  <si>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</si>
  <si>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</si>
  <si>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</si>
  <si>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</si>
  <si>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</si>
  <si>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</si>
  <si>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</si>
  <si>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</si>
  <si>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</si>
  <si>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</si>
  <si>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</si>
  <si>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</si>
  <si>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</si>
  <si>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</si>
  <si>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</si>
  <si>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</si>
  <si>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</si>
  <si>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</si>
  <si>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</si>
  <si>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</si>
  <si>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</si>
  <si>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</si>
  <si>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</si>
  <si>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</si>
  <si>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</si>
  <si>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</si>
  <si>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</si>
  <si>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</si>
  <si>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</si>
  <si>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</si>
  <si>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</si>
  <si>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</si>
  <si>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</si>
  <si>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</si>
  <si>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</si>
  <si>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</si>
  <si>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</si>
  <si>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</si>
  <si>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</si>
  <si>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</si>
  <si>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</si>
  <si>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</si>
  <si>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</si>
  <si>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</si>
  <si>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</si>
  <si>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</si>
  <si>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</si>
  <si>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</si>
  <si>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</si>
  <si>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</si>
  <si>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</si>
  <si>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</si>
  <si>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</si>
  <si>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</si>
  <si>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</si>
  <si>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</si>
  <si>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</si>
  <si>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</si>
  <si>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</si>
  <si>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</si>
  <si>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</si>
  <si>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</si>
  <si>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</si>
  <si>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</si>
  <si>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</si>
  <si>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</si>
  <si>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</si>
  <si>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</si>
  <si>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</si>
  <si>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</si>
  <si>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</si>
  <si>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</si>
  <si>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</si>
  <si>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</si>
  <si>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</si>
  <si>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</si>
  <si>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</si>
  <si>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</si>
  <si>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</si>
  <si>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</si>
  <si>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</si>
  <si>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</si>
  <si>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</si>
  <si>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</si>
  <si>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</si>
  <si>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</si>
  <si>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</si>
  <si>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</si>
  <si>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</si>
  <si>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</si>
  <si>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</si>
  <si>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</si>
  <si>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</si>
  <si>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</si>
  <si>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</si>
  <si>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</si>
  <si>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</si>
  <si>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</si>
  <si>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</si>
  <si>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</si>
  <si>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</si>
  <si>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</si>
  <si>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</si>
  <si>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</si>
  <si>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</si>
  <si>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</si>
  <si>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</si>
  <si>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</si>
  <si>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</si>
  <si>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</si>
  <si>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</si>
  <si>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</si>
  <si>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</si>
  <si>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</si>
  <si>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</si>
  <si>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</si>
  <si>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</si>
  <si>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</si>
  <si>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</si>
  <si>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</si>
  <si>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</si>
  <si>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</si>
  <si>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</si>
  <si>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</si>
  <si>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</si>
  <si>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</si>
  <si>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</si>
  <si>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</si>
  <si>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</si>
  <si>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</si>
  <si>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</si>
  <si>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</si>
  <si>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</si>
  <si>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</si>
  <si>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</si>
  <si>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</si>
  <si>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</si>
  <si>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</si>
  <si>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</si>
  <si>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</si>
  <si>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</si>
  <si>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</si>
  <si>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</si>
  <si>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</si>
  <si>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</si>
  <si>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</si>
  <si>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</si>
  <si>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</si>
  <si>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</si>
  <si>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</si>
  <si>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</si>
  <si>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</si>
  <si>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</si>
  <si>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</si>
  <si>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</si>
  <si>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</si>
  <si>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</si>
  <si>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</si>
  <si>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</si>
  <si>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</si>
  <si>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</si>
  <si>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</si>
  <si>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</si>
  <si>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</si>
  <si>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</si>
  <si>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</si>
  <si>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</si>
  <si>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</si>
  <si>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</si>
  <si>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</si>
  <si>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</si>
  <si>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</si>
  <si>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</si>
  <si>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</si>
  <si>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</si>
  <si>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</si>
  <si>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</si>
  <si>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</si>
  <si>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</si>
  <si>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</si>
  <si>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</si>
  <si>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</si>
  <si>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</si>
  <si>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</si>
  <si>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</si>
  <si>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</si>
  <si>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</si>
  <si>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</si>
  <si>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</si>
  <si>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</si>
  <si>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</si>
  <si>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</si>
  <si>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</si>
  <si>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</si>
  <si>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</si>
  <si>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</si>
  <si>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</si>
  <si>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</si>
  <si>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</si>
  <si>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</si>
  <si>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</si>
  <si>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</si>
  <si>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</si>
  <si>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</si>
  <si>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</si>
  <si>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</si>
  <si>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</si>
  <si>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</si>
  <si>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</si>
  <si>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</si>
  <si>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</si>
  <si>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</si>
  <si>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</si>
  <si>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</si>
  <si>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</si>
  <si>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</si>
  <si>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</si>
  <si>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</si>
  <si>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</si>
  <si>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</si>
  <si>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</si>
  <si>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</si>
  <si>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</si>
  <si>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</si>
  <si>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</si>
  <si>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</si>
  <si>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</si>
  <si>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</si>
  <si>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</si>
  <si>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</si>
  <si>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</si>
  <si>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</si>
  <si>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</si>
  <si>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</si>
  <si>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</si>
  <si>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</si>
  <si>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</si>
  <si>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</si>
  <si>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</si>
  <si>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</si>
  <si>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</si>
  <si>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</si>
  <si>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</si>
  <si>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</si>
  <si>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</si>
  <si>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</si>
  <si>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</si>
  <si>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</si>
  <si>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</si>
  <si>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</si>
  <si>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</si>
  <si>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</si>
  <si>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</si>
  <si>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</si>
  <si>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</si>
  <si>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</si>
  <si>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</si>
  <si>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</si>
  <si>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</si>
  <si>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</si>
  <si>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</si>
  <si>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</si>
  <si>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</si>
  <si>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</si>
  <si>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</si>
  <si>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</si>
  <si>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</si>
  <si>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</si>
  <si>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</si>
  <si>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</si>
  <si>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</si>
  <si>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</si>
  <si>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</si>
  <si>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</si>
  <si>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</si>
  <si>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</si>
  <si>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</si>
  <si>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</si>
  <si>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</si>
  <si>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</si>
  <si>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</si>
  <si>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</si>
  <si>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</si>
  <si>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</si>
  <si>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</si>
  <si>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</si>
  <si>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</si>
  <si>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</si>
  <si>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</si>
  <si>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</si>
  <si>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</si>
  <si>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</si>
  <si>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</si>
  <si>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</si>
  <si>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</si>
  <si>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</si>
  <si>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</si>
  <si>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</si>
  <si>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</si>
  <si>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</si>
  <si>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</si>
  <si>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</si>
  <si>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</si>
  <si>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</si>
  <si>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</si>
  <si>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</si>
  <si>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</si>
  <si>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</si>
  <si>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</si>
  <si>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</si>
  <si>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</si>
  <si>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</si>
  <si>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</si>
  <si>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</si>
  <si>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</si>
  <si>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</si>
  <si>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</si>
  <si>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</si>
  <si>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</si>
  <si>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</si>
  <si>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</si>
  <si>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</si>
  <si>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</si>
  <si>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</si>
  <si>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</si>
  <si>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</si>
  <si>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</si>
  <si>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</si>
  <si>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</si>
  <si>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</si>
  <si>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</si>
  <si>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</si>
  <si>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</si>
  <si>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</si>
  <si>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</si>
  <si>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</si>
  <si>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</si>
  <si>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</si>
  <si>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</si>
  <si>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</si>
  <si>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</si>
  <si>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</si>
  <si>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</si>
  <si>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</si>
  <si>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</si>
  <si>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</si>
  <si>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</si>
  <si>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</si>
  <si>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</si>
  <si>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</si>
  <si>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</si>
  <si>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</si>
  <si>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</si>
  <si>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</si>
  <si>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</si>
  <si>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</si>
  <si>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</si>
  <si>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</si>
  <si>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</si>
  <si>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</si>
  <si>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</si>
  <si>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</si>
  <si>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</si>
  <si>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</si>
  <si>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</si>
  <si>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</si>
  <si>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</si>
  <si>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</si>
  <si>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</si>
  <si>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</si>
  <si>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</si>
  <si>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</si>
  <si>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</si>
  <si>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</si>
  <si>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</si>
  <si>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</si>
  <si>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</si>
  <si>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</si>
  <si>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</si>
  <si>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</si>
  <si>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</si>
  <si>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</si>
  <si>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</si>
  <si>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</si>
  <si>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</si>
  <si>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</si>
  <si>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</si>
  <si>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</si>
  <si>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</si>
  <si>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</si>
  <si>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</si>
  <si>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</si>
  <si>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</si>
  <si>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</si>
  <si>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</si>
  <si>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</si>
  <si>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</si>
  <si>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</si>
  <si>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</si>
  <si>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</si>
  <si>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</si>
  <si>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</si>
  <si>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</si>
  <si>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</si>
  <si>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</si>
  <si>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</si>
  <si>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</si>
  <si>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</si>
  <si>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</si>
  <si>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</si>
  <si>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</si>
  <si>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</si>
  <si>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</si>
  <si>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</si>
  <si>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</si>
  <si>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</si>
  <si>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</si>
  <si>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</si>
  <si>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</si>
  <si>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</si>
  <si>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</si>
  <si>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</si>
  <si>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</si>
  <si>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</si>
  <si>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</si>
  <si>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</si>
  <si>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</si>
  <si>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</si>
  <si>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</si>
  <si>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</si>
  <si>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</si>
  <si>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</si>
  <si>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</si>
  <si>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</si>
  <si>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</si>
  <si>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</si>
  <si>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</si>
  <si>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</si>
  <si>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</si>
  <si>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</si>
  <si>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</si>
  <si>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</si>
  <si>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</si>
  <si>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</si>
  <si>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</si>
  <si>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</si>
  <si>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</si>
  <si>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</si>
  <si>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</si>
  <si>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</si>
  <si>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</si>
  <si>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</si>
  <si>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</si>
  <si>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</si>
  <si>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</si>
  <si>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</si>
  <si>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</si>
  <si>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</si>
  <si>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</si>
  <si>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</si>
  <si>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</si>
  <si>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</si>
  <si>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</si>
  <si>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</si>
  <si>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</si>
  <si>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</si>
  <si>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</si>
  <si>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</si>
  <si>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</si>
  <si>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</si>
  <si>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</si>
  <si>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</si>
  <si>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</si>
  <si>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</si>
  <si>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</si>
  <si>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</si>
  <si>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</si>
  <si>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</si>
  <si>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</si>
  <si>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</si>
  <si>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</si>
  <si>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</si>
  <si>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</si>
  <si>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</si>
  <si>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</si>
  <si>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</si>
  <si>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</si>
  <si>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</si>
  <si>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</si>
  <si>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</si>
  <si>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</si>
  <si>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</si>
  <si>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</si>
  <si>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</si>
  <si>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</si>
  <si>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</si>
  <si>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</si>
  <si>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</si>
  <si>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</si>
  <si>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</si>
  <si>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</si>
  <si>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</si>
  <si>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</si>
  <si>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</si>
  <si>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</si>
  <si>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</si>
  <si>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</si>
  <si>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</si>
  <si>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</si>
  <si>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</si>
  <si>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</si>
  <si>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</si>
  <si>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</si>
  <si>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</si>
  <si>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</si>
  <si>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</si>
  <si>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</si>
  <si>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</si>
  <si>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</si>
  <si>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</si>
  <si>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</si>
  <si>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</si>
  <si>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</si>
  <si>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</si>
  <si>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</si>
  <si>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</si>
  <si>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</si>
  <si>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</si>
  <si>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</si>
  <si>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</si>
  <si>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</si>
  <si>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</si>
  <si>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</si>
  <si>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</si>
  <si>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</si>
  <si>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</si>
  <si>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</si>
  <si>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</si>
  <si>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</si>
  <si>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</si>
  <si>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</si>
  <si>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</si>
  <si>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</si>
  <si>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</si>
  <si>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</si>
  <si>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</si>
  <si>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</si>
  <si>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</si>
  <si>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</si>
  <si>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</si>
  <si>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</si>
  <si>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</si>
  <si>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</si>
  <si>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</si>
  <si>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</si>
  <si>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</si>
  <si>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</si>
  <si>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</si>
  <si>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</si>
  <si>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</si>
  <si>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</si>
  <si>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</si>
  <si>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</si>
  <si>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</si>
  <si>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</si>
  <si>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</si>
  <si>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</si>
  <si>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</si>
  <si>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</si>
  <si>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</si>
  <si>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</si>
  <si>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</si>
  <si>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</si>
  <si>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</si>
  <si>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</si>
  <si>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</si>
  <si>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</si>
  <si>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</si>
  <si>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</si>
  <si>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</si>
  <si>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</si>
  <si>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</si>
  <si>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</si>
  <si>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</si>
  <si>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</si>
  <si>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</si>
  <si>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</si>
  <si>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</si>
  <si>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</si>
  <si>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</si>
  <si>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</si>
  <si>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</si>
  <si>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</si>
  <si>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</si>
  <si>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</si>
  <si>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</si>
  <si>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</si>
  <si>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</si>
  <si>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</si>
  <si>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</si>
  <si>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</si>
  <si>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</si>
  <si>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</si>
  <si>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</si>
  <si>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</si>
  <si>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</si>
  <si>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</si>
  <si>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</si>
  <si>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</si>
  <si>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</si>
  <si>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</si>
  <si>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</si>
  <si>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</si>
  <si>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</si>
  <si>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</si>
  <si>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</si>
  <si>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</si>
  <si>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</si>
  <si>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</si>
  <si>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</si>
  <si>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</si>
  <si>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</si>
  <si>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</si>
  <si>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</si>
  <si>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</si>
  <si>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</si>
  <si>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</si>
  <si>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</si>
  <si>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</si>
  <si>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</si>
  <si>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</si>
  <si>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</si>
  <si>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</si>
  <si>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</si>
  <si>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</si>
  <si>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</si>
  <si>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</si>
  <si>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</si>
  <si>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</si>
  <si>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</si>
  <si>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</si>
  <si>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</si>
  <si>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</si>
  <si>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</si>
  <si>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</si>
  <si>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</si>
  <si>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</si>
  <si>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</si>
  <si>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</si>
  <si>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</si>
  <si>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</si>
  <si>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</si>
  <si>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</si>
  <si>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</si>
  <si>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</si>
  <si>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</si>
  <si>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</si>
  <si>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</si>
  <si>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</si>
  <si>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</si>
  <si>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</si>
  <si>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</si>
  <si>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</si>
  <si>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</si>
  <si>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</si>
  <si>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</si>
  <si>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</si>
  <si>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</si>
  <si>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</si>
  <si>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</si>
  <si>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</si>
  <si>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</si>
  <si>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</si>
  <si>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</si>
  <si>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</si>
  <si>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</si>
  <si>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</si>
  <si>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</si>
  <si>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</si>
  <si>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</si>
  <si>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</si>
  <si>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</si>
  <si>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</si>
  <si>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</si>
  <si>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</si>
  <si>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</si>
  <si>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</si>
  <si>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</si>
  <si>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</si>
  <si>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</si>
  <si>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</si>
  <si>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</si>
  <si>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</si>
  <si>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</si>
  <si>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</si>
  <si>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</si>
  <si>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</si>
  <si>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</si>
  <si>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</si>
  <si>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</si>
  <si>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</si>
  <si>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</si>
  <si>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</si>
  <si>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</si>
  <si>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</si>
  <si>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</si>
  <si>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</si>
  <si>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</si>
  <si>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</si>
  <si>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</si>
  <si>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</si>
  <si>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</si>
  <si>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</si>
  <si>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</si>
  <si>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</si>
  <si>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</si>
  <si>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</si>
  <si>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</si>
  <si>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</si>
  <si>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</si>
  <si>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</si>
  <si>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</si>
  <si>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</si>
  <si>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</si>
  <si>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</si>
  <si>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</si>
  <si>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</si>
  <si>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</si>
  <si>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</si>
  <si>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</si>
  <si>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</si>
  <si>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</si>
  <si>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</si>
  <si>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</si>
  <si>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</si>
  <si>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</si>
  <si>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</si>
  <si>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</si>
  <si>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</si>
  <si>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</si>
  <si>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</si>
  <si>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</si>
  <si>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</si>
  <si>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</si>
  <si>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</si>
  <si>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</si>
  <si>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</si>
  <si>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</si>
  <si>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</si>
  <si>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</si>
  <si>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</si>
  <si>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</si>
  <si>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</si>
  <si>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</si>
  <si>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</si>
  <si>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</si>
  <si>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</si>
  <si>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</si>
  <si>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</si>
  <si>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</si>
  <si>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</si>
  <si>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</si>
  <si>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</si>
  <si>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</si>
  <si>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</si>
  <si>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</si>
  <si>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</si>
  <si>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</si>
  <si>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</si>
  <si>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</si>
  <si>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</si>
  <si>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</si>
  <si>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</si>
  <si>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</si>
  <si>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</si>
  <si>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</si>
  <si>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</si>
  <si>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</si>
  <si>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</si>
  <si>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</si>
  <si>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</si>
  <si>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</si>
  <si>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</si>
  <si>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</si>
  <si>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</si>
  <si>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</si>
  <si>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</si>
  <si>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</si>
  <si>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</si>
  <si>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</si>
  <si>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</si>
  <si>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</si>
  <si>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</si>
  <si>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</si>
  <si>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</si>
  <si>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</si>
  <si>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</si>
  <si>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</si>
  <si>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</si>
  <si>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</si>
  <si>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</si>
  <si>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</si>
  <si>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</si>
  <si>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</si>
  <si>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</si>
  <si>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</si>
  <si>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</si>
  <si>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</si>
  <si>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</si>
  <si>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</si>
  <si>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</si>
  <si>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</si>
  <si>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</si>
  <si>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</si>
  <si>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</si>
  <si>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</si>
  <si>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</si>
  <si>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</si>
  <si>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</si>
  <si>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</si>
  <si>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</si>
  <si>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</si>
  <si>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</si>
  <si>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</si>
  <si>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</si>
  <si>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</si>
  <si>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</si>
  <si>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</si>
  <si>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</si>
  <si>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</si>
  <si>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</si>
  <si>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</si>
  <si>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</si>
  <si>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</si>
  <si>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</si>
  <si>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</si>
  <si>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</si>
  <si>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</si>
  <si>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</si>
  <si>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</si>
  <si>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</si>
  <si>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</si>
  <si>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</si>
  <si>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</si>
  <si>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</si>
  <si>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</si>
  <si>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</si>
  <si>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</si>
  <si>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</si>
  <si>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</si>
  <si>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</si>
  <si>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</si>
  <si>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</si>
  <si>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</si>
  <si>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</si>
  <si>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</si>
  <si>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</si>
  <si>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</si>
  <si>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</si>
  <si>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</si>
  <si>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</si>
  <si>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</si>
  <si>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</si>
  <si>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</si>
  <si>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</si>
  <si>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</si>
  <si>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</si>
  <si>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</si>
  <si>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</si>
  <si>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</si>
  <si>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</si>
  <si>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</si>
  <si>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</si>
  <si>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</si>
  <si>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</si>
  <si>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</si>
  <si>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</si>
  <si>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</si>
  <si>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</si>
  <si>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</si>
  <si>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</si>
  <si>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</si>
  <si>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</si>
  <si>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</si>
  <si>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</si>
  <si>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</si>
  <si>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</si>
  <si>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</si>
  <si>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</si>
  <si>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</si>
  <si>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</si>
  <si>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</si>
  <si>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</si>
  <si>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</si>
  <si>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</si>
  <si>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</si>
  <si>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</si>
  <si>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</si>
  <si>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</si>
  <si>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</si>
  <si>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</si>
  <si>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</si>
  <si>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</si>
  <si>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</si>
  <si>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</si>
  <si>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</si>
  <si>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</si>
  <si>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</si>
  <si>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</si>
  <si>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</si>
  <si>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</si>
  <si>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</si>
  <si>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</si>
  <si>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</si>
  <si>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</si>
  <si>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</si>
  <si>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</si>
  <si>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</si>
  <si>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</si>
  <si>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</si>
  <si>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</si>
  <si>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</si>
  <si>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</si>
  <si>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</si>
  <si>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</si>
  <si>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</si>
  <si>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</si>
  <si>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</si>
  <si>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</si>
  <si>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</si>
  <si>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</si>
  <si>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</si>
  <si>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</si>
  <si>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</si>
  <si>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</si>
  <si>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</si>
  <si>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</si>
  <si>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</si>
  <si>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</si>
  <si>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</si>
  <si>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</si>
  <si>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</si>
  <si>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</si>
  <si>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</si>
  <si>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</si>
  <si>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</si>
  <si>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</si>
  <si>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</si>
  <si>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</si>
  <si>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</si>
  <si>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</si>
  <si>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</si>
  <si>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</si>
  <si>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</si>
  <si>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</si>
  <si>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</si>
  <si>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</si>
  <si>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</si>
  <si>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</si>
  <si>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</si>
  <si>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</si>
  <si>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</si>
  <si>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</si>
  <si>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</si>
  <si>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</si>
  <si>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</si>
  <si>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</si>
  <si>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</si>
  <si>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</si>
  <si>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</si>
  <si>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</si>
  <si>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</si>
  <si>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</si>
  <si>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</si>
  <si>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</si>
  <si>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</si>
  <si>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</si>
  <si>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</si>
  <si>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</si>
  <si>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</si>
  <si>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</si>
  <si>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</si>
  <si>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</si>
  <si>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</si>
  <si>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</si>
  <si>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</si>
  <si>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</si>
  <si>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</si>
  <si>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</si>
  <si>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</si>
  <si>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</si>
  <si>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</si>
  <si>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</si>
  <si>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</si>
  <si>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</si>
  <si>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</si>
  <si>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</si>
  <si>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</si>
  <si>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</si>
  <si>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</si>
  <si>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</si>
  <si>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</si>
  <si>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</si>
  <si>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</si>
  <si>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</si>
  <si>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</si>
  <si>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</si>
  <si>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</si>
  <si>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</si>
  <si>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</si>
  <si>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</si>
  <si>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</si>
  <si>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</si>
  <si>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</si>
  <si>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</si>
  <si>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</si>
  <si>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</si>
  <si>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</si>
  <si>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</si>
  <si>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</si>
  <si>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</si>
  <si>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</si>
  <si>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</si>
  <si>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</si>
  <si>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</si>
  <si>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</si>
  <si>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</si>
  <si>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</si>
  <si>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</si>
  <si>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</si>
  <si>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</si>
  <si>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</si>
  <si>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</si>
  <si>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</si>
  <si>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</si>
  <si>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</si>
  <si>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</si>
  <si>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</si>
  <si>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</si>
  <si>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</si>
  <si>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</si>
  <si>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</si>
  <si>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</si>
  <si>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</si>
  <si>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</si>
  <si>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</si>
  <si>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</si>
  <si>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</si>
  <si>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</si>
  <si>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</si>
  <si>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</si>
  <si>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</si>
  <si>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</si>
  <si>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</si>
  <si>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</si>
  <si>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</si>
  <si>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</si>
  <si>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</si>
  <si>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</si>
  <si>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</si>
  <si>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</si>
  <si>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</si>
  <si>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</si>
  <si>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</si>
  <si>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</si>
  <si>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</si>
  <si>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</si>
  <si>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</si>
  <si>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</si>
  <si>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</si>
  <si>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</si>
  <si>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</si>
  <si>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</si>
  <si>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</si>
  <si>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</si>
  <si>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</si>
  <si>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</si>
  <si>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</si>
  <si>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</si>
  <si>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</si>
  <si>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</si>
  <si>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</si>
  <si>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</si>
  <si>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</si>
  <si>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</si>
  <si>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</si>
  <si>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</si>
  <si>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</si>
  <si>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</si>
  <si>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</si>
  <si>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</si>
  <si>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</si>
  <si>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</si>
  <si>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</si>
  <si>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</si>
  <si>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</si>
  <si>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</si>
  <si>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</si>
  <si>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</si>
  <si>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</si>
  <si>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</si>
  <si>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</si>
  <si>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</si>
  <si>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</si>
  <si>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</si>
  <si>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</si>
  <si>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</si>
  <si>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</si>
  <si>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</si>
  <si>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</si>
  <si>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</si>
  <si>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</si>
  <si>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</si>
  <si>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</si>
  <si>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</si>
  <si>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</si>
  <si>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</si>
  <si>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</si>
  <si>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</si>
  <si>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</si>
  <si>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</si>
  <si>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</si>
  <si>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</si>
  <si>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</si>
  <si>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</si>
  <si>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</si>
  <si>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</si>
  <si>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</si>
  <si>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</si>
  <si>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</si>
  <si>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</si>
  <si>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</si>
  <si>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</si>
  <si>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</si>
  <si>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</si>
  <si>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</si>
  <si>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</si>
  <si>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</si>
  <si>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</si>
  <si>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</si>
  <si>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</si>
  <si>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</si>
  <si>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</si>
  <si>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</si>
  <si>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</si>
  <si>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</si>
  <si>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</si>
  <si>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</si>
  <si>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</si>
  <si>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</si>
  <si>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</si>
  <si>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</si>
  <si>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</si>
  <si>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</si>
  <si>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</si>
  <si>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</si>
  <si>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</si>
  <si>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</si>
  <si>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</si>
  <si>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</si>
  <si>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</si>
  <si>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</si>
  <si>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</si>
  <si>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</si>
  <si>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</si>
  <si>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</si>
  <si>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</si>
  <si>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</si>
  <si>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</si>
  <si>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</si>
  <si>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</si>
  <si>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</si>
  <si>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</si>
  <si>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</si>
  <si>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</si>
  <si>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</si>
  <si>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</si>
  <si>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</si>
  <si>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</si>
  <si>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</si>
  <si>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</si>
  <si>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</si>
  <si>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</si>
  <si>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</si>
  <si>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</si>
  <si>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</si>
  <si>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</si>
  <si>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</si>
  <si>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</si>
  <si>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</si>
  <si>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</si>
  <si>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</si>
  <si>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</si>
  <si>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</si>
  <si>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</si>
  <si>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</si>
  <si>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</si>
  <si>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</si>
  <si>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</si>
  <si>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</si>
  <si>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</si>
  <si>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</si>
  <si>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</si>
  <si>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</si>
  <si>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</si>
  <si>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</si>
  <si>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</si>
  <si>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</si>
  <si>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</si>
  <si>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</si>
  <si>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</si>
  <si>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</si>
  <si>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</si>
  <si>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</si>
  <si>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</si>
  <si>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</si>
  <si>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</si>
  <si>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</si>
  <si>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</si>
  <si>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</si>
  <si>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</si>
  <si>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</si>
  <si>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</si>
  <si>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</si>
  <si>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</si>
  <si>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</si>
  <si>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</si>
  <si>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</si>
  <si>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</si>
  <si>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</si>
  <si>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</si>
  <si>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</si>
  <si>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</si>
  <si>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</si>
  <si>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</si>
  <si>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</si>
  <si>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</si>
  <si>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</si>
  <si>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</si>
  <si>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</si>
  <si>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</si>
  <si>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</si>
  <si>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</si>
  <si>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</si>
  <si>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</si>
  <si>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</si>
  <si>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</si>
  <si>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</si>
  <si>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</si>
  <si>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</si>
  <si>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</si>
  <si>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</si>
  <si>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</si>
  <si>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</si>
  <si>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</si>
  <si>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</si>
  <si>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</si>
  <si>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</si>
  <si>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</si>
  <si>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</si>
  <si>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</si>
  <si>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</si>
  <si>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</si>
  <si>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</si>
  <si>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</si>
  <si>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</si>
  <si>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</si>
  <si>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</si>
  <si>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</si>
  <si>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</si>
  <si>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</si>
  <si>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</si>
  <si>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</si>
  <si>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</si>
  <si>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</si>
  <si>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</si>
  <si>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</si>
  <si>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</si>
  <si>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</si>
  <si>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</si>
  <si>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</si>
  <si>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</si>
  <si>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</si>
  <si>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</si>
  <si>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</si>
  <si>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</si>
  <si>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</si>
  <si>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</si>
  <si>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</si>
  <si>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</si>
  <si>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</si>
  <si>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</si>
  <si>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</si>
  <si>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</si>
  <si>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</si>
  <si>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</si>
  <si>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</si>
  <si>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</si>
  <si>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</si>
  <si>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</si>
  <si>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</si>
  <si>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</si>
  <si>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</si>
  <si>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</si>
  <si>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</si>
  <si>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</si>
  <si>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</si>
  <si>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</si>
  <si>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</si>
  <si>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</si>
  <si>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</si>
  <si>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</si>
  <si>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</si>
  <si>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</si>
  <si>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</si>
  <si>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</si>
  <si>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</si>
  <si>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</si>
  <si>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</si>
  <si>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</si>
  <si>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</si>
  <si>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</si>
  <si>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</si>
  <si>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</si>
  <si>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</si>
  <si>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</si>
  <si>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</si>
  <si>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</si>
  <si>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</si>
  <si>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</si>
  <si>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</si>
  <si>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</si>
  <si>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</si>
  <si>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</si>
  <si>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</si>
  <si>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</si>
  <si>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</si>
  <si>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</si>
  <si>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</si>
  <si>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</si>
  <si>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</si>
  <si>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</si>
  <si>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</si>
  <si>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</si>
  <si>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</si>
  <si>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</si>
  <si>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</si>
  <si>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</si>
  <si>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</si>
  <si>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</si>
  <si>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</si>
  <si>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</si>
  <si>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</si>
  <si>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</si>
  <si>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</si>
  <si>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</si>
  <si>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</si>
  <si>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</si>
  <si>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</si>
  <si>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</si>
  <si>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</si>
  <si>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</si>
  <si>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</si>
  <si>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</si>
  <si>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</si>
  <si>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</si>
  <si>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</si>
  <si>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</si>
  <si>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</si>
  <si>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</si>
  <si>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</si>
  <si>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</si>
  <si>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</si>
  <si>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</si>
  <si>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</si>
  <si>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</si>
  <si>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</si>
  <si>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</si>
  <si>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</si>
  <si>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</si>
  <si>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</si>
  <si>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</si>
  <si>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</si>
  <si>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</si>
  <si>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</si>
  <si>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</si>
  <si>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</si>
  <si>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</si>
  <si>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</si>
  <si>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</si>
  <si>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</si>
  <si>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</si>
  <si>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</si>
  <si>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</si>
  <si>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</si>
  <si>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</si>
  <si>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</si>
  <si>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</si>
  <si>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</si>
  <si>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</si>
  <si>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</si>
  <si>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</si>
  <si>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</si>
  <si>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</si>
  <si>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</si>
  <si>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</si>
  <si>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</si>
  <si>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</si>
  <si>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</si>
  <si>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</si>
  <si>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</si>
  <si>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</si>
  <si>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</si>
  <si>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</si>
  <si>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</si>
  <si>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</si>
  <si>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</si>
  <si>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</si>
  <si>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</si>
  <si>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</si>
  <si>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</si>
  <si>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</si>
  <si>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</si>
  <si>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</si>
  <si>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</si>
  <si>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</si>
  <si>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</si>
  <si>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</si>
  <si>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</si>
  <si>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</si>
  <si>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</si>
  <si>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</si>
  <si>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</si>
  <si>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</si>
  <si>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</si>
  <si>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</si>
  <si>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</si>
  <si>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</si>
  <si>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</si>
  <si>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</si>
  <si>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</si>
  <si>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</si>
  <si>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</si>
  <si>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</si>
  <si>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</si>
  <si>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</si>
  <si>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</si>
  <si>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</si>
  <si>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</si>
  <si>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</si>
  <si>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</si>
  <si>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</si>
  <si>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</si>
  <si>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</si>
  <si>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</si>
  <si>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</si>
  <si>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</si>
  <si>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</si>
  <si>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</si>
  <si>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</si>
  <si>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</si>
  <si>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</si>
  <si>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</si>
  <si>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</si>
  <si>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</si>
  <si>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</si>
  <si>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</si>
  <si>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</si>
  <si>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</si>
  <si>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</si>
  <si>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</si>
  <si>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</si>
  <si>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</si>
  <si>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</si>
  <si>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</si>
  <si>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</si>
  <si>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</si>
  <si>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</si>
  <si>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</si>
  <si>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</si>
  <si>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</si>
  <si>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</si>
  <si>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</si>
  <si>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</si>
  <si>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</si>
  <si>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</si>
  <si>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</si>
  <si>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</si>
  <si>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</si>
  <si>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</si>
  <si>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</si>
  <si>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</si>
  <si>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</si>
  <si>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</si>
  <si>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</si>
  <si>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</si>
  <si>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</si>
  <si>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</si>
  <si>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</si>
  <si>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</si>
  <si>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</si>
  <si>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</si>
  <si>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</si>
  <si>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</si>
  <si>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</si>
  <si>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</si>
  <si>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</si>
  <si>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</si>
  <si>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</si>
  <si>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</si>
  <si>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</si>
  <si>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</si>
  <si>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</si>
  <si>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</si>
  <si>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</si>
  <si>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</si>
  <si>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</si>
  <si>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</si>
  <si>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</si>
  <si>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</si>
  <si>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</si>
  <si>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</si>
  <si>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</si>
  <si>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</si>
  <si>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</si>
  <si>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</si>
  <si>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</si>
  <si>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</si>
  <si>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</si>
  <si>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</si>
  <si>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</si>
  <si>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</si>
  <si>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</si>
  <si>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</si>
  <si>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</si>
  <si>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</si>
  <si>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</si>
  <si>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</si>
  <si>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</si>
  <si>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</si>
  <si>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</si>
  <si>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</si>
  <si>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</si>
  <si>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</si>
  <si>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</si>
  <si>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</si>
  <si>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</si>
  <si>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</si>
  <si>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</si>
  <si>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</si>
  <si>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</si>
  <si>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</si>
  <si>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</si>
  <si>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</si>
  <si>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</si>
  <si>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</si>
  <si>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</si>
  <si>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</si>
  <si>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</si>
  <si>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</si>
  <si>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</si>
  <si>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</si>
  <si>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</si>
  <si>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</si>
  <si>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</si>
  <si>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</si>
  <si>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</si>
  <si>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</si>
  <si>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</si>
  <si>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</si>
  <si>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</si>
  <si>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</si>
  <si>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</si>
  <si>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</si>
  <si>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</si>
  <si>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</si>
  <si>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</si>
  <si>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</si>
  <si>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</si>
  <si>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</si>
  <si>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</si>
  <si>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</si>
  <si>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</si>
  <si>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</si>
  <si>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</si>
  <si>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</si>
  <si>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</si>
  <si>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</si>
  <si>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</si>
  <si>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</si>
  <si>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</si>
  <si>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</si>
  <si>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</si>
  <si>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</si>
  <si>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</si>
  <si>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</si>
  <si>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</si>
  <si>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</si>
  <si>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</si>
  <si>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</si>
  <si>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</si>
  <si>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</si>
  <si>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</si>
  <si>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</si>
  <si>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</si>
  <si>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</si>
  <si>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</si>
  <si>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</si>
  <si>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</si>
  <si>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</si>
  <si>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</si>
  <si>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</si>
  <si>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</si>
  <si>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</si>
  <si>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</si>
  <si>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</si>
  <si>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</si>
  <si>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</si>
  <si>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</si>
  <si>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</si>
  <si>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</si>
  <si>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</si>
  <si>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</si>
  <si>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</si>
  <si>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</si>
  <si>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</si>
  <si>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</si>
  <si>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</si>
  <si>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</si>
  <si>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</si>
  <si>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</si>
  <si>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</si>
  <si>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</si>
  <si>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</si>
  <si>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</si>
  <si>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</si>
  <si>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</si>
  <si>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</si>
  <si>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</si>
  <si>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</si>
  <si>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</si>
  <si>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</si>
  <si>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</si>
  <si>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</si>
  <si>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</si>
  <si>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</si>
  <si>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</si>
  <si>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</si>
  <si>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</si>
  <si>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</si>
  <si>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</si>
  <si>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</si>
  <si>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</si>
  <si>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</si>
  <si>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</si>
  <si>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</si>
  <si>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</si>
  <si>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</si>
  <si>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</si>
  <si>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</si>
  <si>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</si>
  <si>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</si>
  <si>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</si>
  <si>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</si>
  <si>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</si>
  <si>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</si>
  <si>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</si>
  <si>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</si>
  <si>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</si>
  <si>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</si>
  <si>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</si>
  <si>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</si>
  <si>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</si>
  <si>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</si>
  <si>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</si>
  <si>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</si>
  <si>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</si>
  <si>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</si>
  <si>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</si>
  <si>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</si>
  <si>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</si>
  <si>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</si>
  <si>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</si>
  <si>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</si>
  <si>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</si>
  <si>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</si>
  <si>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</si>
  <si>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</si>
  <si>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</si>
  <si>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</si>
  <si>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</si>
  <si>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</si>
  <si>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</si>
  <si>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</si>
  <si>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</si>
  <si>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</si>
  <si>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</si>
  <si>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</si>
  <si>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</si>
  <si>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</si>
  <si>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</si>
  <si>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</si>
  <si>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</si>
  <si>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</si>
  <si>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</si>
  <si>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</si>
  <si>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</si>
  <si>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</si>
  <si>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</si>
  <si>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</si>
  <si>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</si>
  <si>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</si>
  <si>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</si>
  <si>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</si>
  <si>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</si>
  <si>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</si>
  <si>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</si>
  <si>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</si>
  <si>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</si>
  <si>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</si>
  <si>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</si>
  <si>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</si>
  <si>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</si>
  <si>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</si>
  <si>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</si>
  <si>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</si>
  <si>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</si>
  <si>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</si>
  <si>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</si>
  <si>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</si>
  <si>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</si>
  <si>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</si>
  <si>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</si>
  <si>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</si>
  <si>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</si>
  <si>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</si>
  <si>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</si>
  <si>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</si>
  <si>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</si>
  <si>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</si>
  <si>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</si>
  <si>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</si>
  <si>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</si>
  <si>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</si>
  <si>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</si>
  <si>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</si>
  <si>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</si>
  <si>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</si>
  <si>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</si>
  <si>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</si>
  <si>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</si>
  <si>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</si>
  <si>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</si>
  <si>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</si>
  <si>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</si>
  <si>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</si>
  <si>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</si>
  <si>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</si>
  <si>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</si>
  <si>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</si>
  <si>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</si>
  <si>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</si>
  <si>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</si>
  <si>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</si>
  <si>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</si>
  <si>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</si>
  <si>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</si>
  <si>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</si>
  <si>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</si>
  <si>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</si>
  <si>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</si>
  <si>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</si>
  <si>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</si>
  <si>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</si>
  <si>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</si>
  <si>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</si>
  <si>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</si>
  <si>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</si>
  <si>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</si>
  <si>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</si>
  <si>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</si>
  <si>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</si>
  <si>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</si>
  <si>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</si>
  <si>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</si>
  <si>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</si>
  <si>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</si>
  <si>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</si>
  <si>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</si>
  <si>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</si>
  <si>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</si>
  <si>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</si>
  <si>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</si>
  <si>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</si>
  <si>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</si>
  <si>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</si>
  <si>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</si>
  <si>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</si>
  <si>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</si>
  <si>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</si>
  <si>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</si>
  <si>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</si>
  <si>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</si>
  <si>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</si>
  <si>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</si>
  <si>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</si>
  <si>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</si>
  <si>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</si>
  <si>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</si>
  <si>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</si>
  <si>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</si>
  <si>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</si>
  <si>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</si>
  <si>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</si>
  <si>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</si>
  <si>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</si>
  <si>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</si>
  <si>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</si>
  <si>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</si>
  <si>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</si>
  <si>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</si>
  <si>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</si>
  <si>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</si>
  <si>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</si>
  <si>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</si>
  <si>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</si>
  <si>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</si>
  <si>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</si>
  <si>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</si>
  <si>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</si>
  <si>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</si>
  <si>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</si>
  <si>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</si>
  <si>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</si>
  <si>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</si>
  <si>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</si>
  <si>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</si>
  <si>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</si>
  <si>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</si>
  <si>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</si>
  <si>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</si>
  <si>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</si>
  <si>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</si>
  <si>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</si>
  <si>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</si>
  <si>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</si>
  <si>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</si>
  <si>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</si>
  <si>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</si>
  <si>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</si>
  <si>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</si>
  <si>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</si>
  <si>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</si>
  <si>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</si>
  <si>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</si>
  <si>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</si>
  <si>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</si>
  <si>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</si>
  <si>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</si>
  <si>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</si>
  <si>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</si>
  <si>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</si>
  <si>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</si>
  <si>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</si>
  <si>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</si>
  <si>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</si>
  <si>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</si>
  <si>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</si>
  <si>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</si>
  <si>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</si>
  <si>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</si>
  <si>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</si>
  <si>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</si>
  <si>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</si>
  <si>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</si>
  <si>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</si>
  <si>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</si>
  <si>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</si>
  <si>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</si>
  <si>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</si>
  <si>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</si>
  <si>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</si>
  <si>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</si>
  <si>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</si>
  <si>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</si>
  <si>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</si>
  <si>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</si>
  <si>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</si>
  <si>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</si>
  <si>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</si>
  <si>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</si>
  <si>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</si>
  <si>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</si>
  <si>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</si>
  <si>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</si>
  <si>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</si>
  <si>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</si>
  <si>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</si>
  <si>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</si>
  <si>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</si>
  <si>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</si>
  <si>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</si>
  <si>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</si>
  <si>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</si>
  <si>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</si>
  <si>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</si>
  <si>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</si>
  <si>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</si>
  <si>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</si>
  <si>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</si>
  <si>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</si>
  <si>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</si>
  <si>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</si>
  <si>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</si>
  <si>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</si>
  <si>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</si>
  <si>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</si>
  <si>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</si>
  <si>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</si>
  <si>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</si>
  <si>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</si>
  <si>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</si>
  <si>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</si>
  <si>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</si>
  <si>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</si>
  <si>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</si>
  <si>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</si>
  <si>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</si>
  <si>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</si>
  <si>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</si>
  <si>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</si>
  <si>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</si>
  <si>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</si>
  <si>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</si>
  <si>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</si>
  <si>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</si>
  <si>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</si>
  <si>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</si>
  <si>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</si>
  <si>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</si>
  <si>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</si>
  <si>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</si>
  <si>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</si>
  <si>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</si>
  <si>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</si>
  <si>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</si>
  <si>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</si>
  <si>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</si>
  <si>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</si>
  <si>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</si>
  <si>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</si>
  <si>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</si>
  <si>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</si>
  <si>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</si>
  <si>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</si>
  <si>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</si>
  <si>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</si>
  <si>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</si>
  <si>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</si>
  <si>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</si>
  <si>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</si>
  <si>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</si>
  <si>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</si>
  <si>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</si>
  <si>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</si>
  <si>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</si>
  <si>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</si>
  <si>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</si>
  <si>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</si>
  <si>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</si>
  <si>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</si>
  <si>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</si>
  <si>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</si>
  <si>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</si>
  <si>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</si>
  <si>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</si>
  <si>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</si>
  <si>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</si>
  <si>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</si>
  <si>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</si>
  <si>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</si>
  <si>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</si>
  <si>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</si>
  <si>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</si>
  <si>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</si>
  <si>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</si>
  <si>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</si>
  <si>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</si>
  <si>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</si>
  <si>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</si>
  <si>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</si>
  <si>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</si>
  <si>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</si>
  <si>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</si>
  <si>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</si>
  <si>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</si>
  <si>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</si>
  <si>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</si>
  <si>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</si>
  <si>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</si>
  <si>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</si>
  <si>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</si>
  <si>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</si>
  <si>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</si>
  <si>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</si>
  <si>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</si>
  <si>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</si>
  <si>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</si>
  <si>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</si>
  <si>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</si>
  <si>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</si>
  <si>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</si>
  <si>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</si>
  <si>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</si>
  <si>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</si>
  <si>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</si>
  <si>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</si>
  <si>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</si>
  <si>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</si>
  <si>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</si>
  <si>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</si>
  <si>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</si>
  <si>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</si>
  <si>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</si>
  <si>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</si>
  <si>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</si>
  <si>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</si>
  <si>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</si>
  <si>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</si>
  <si>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</si>
  <si>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</si>
  <si>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</si>
  <si>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</si>
  <si>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</si>
  <si>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</si>
  <si>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</si>
  <si>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</si>
  <si>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</si>
  <si>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</si>
  <si>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</si>
  <si>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</si>
  <si>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</si>
  <si>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</si>
  <si>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</si>
  <si>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</si>
  <si>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</si>
  <si>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</si>
  <si>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</si>
  <si>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</si>
  <si>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</si>
  <si>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</si>
  <si>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</si>
  <si>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</si>
  <si>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</si>
  <si>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</si>
  <si>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</si>
  <si>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</si>
  <si>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</si>
  <si>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</si>
  <si>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</si>
  <si>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</si>
  <si>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</si>
  <si>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</si>
  <si>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</si>
  <si>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</si>
  <si>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</si>
  <si>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</si>
  <si>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</si>
  <si>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</si>
  <si>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</si>
  <si>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</si>
  <si>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</si>
  <si>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</si>
  <si>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</si>
  <si>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</si>
  <si>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</si>
  <si>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</si>
  <si>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</si>
  <si>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</si>
  <si>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</si>
  <si>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</si>
  <si>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</si>
  <si>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</si>
  <si>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</si>
  <si>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</si>
  <si>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</si>
  <si>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</si>
  <si>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</si>
  <si>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</si>
  <si>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</si>
  <si>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</si>
  <si>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</si>
  <si>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</si>
  <si>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</si>
  <si>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</si>
  <si>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</si>
  <si>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</si>
  <si>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</si>
  <si>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</si>
  <si>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</si>
  <si>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</si>
  <si>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</si>
  <si>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</si>
  <si>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</si>
  <si>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</si>
  <si>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</si>
  <si>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</si>
  <si>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</si>
  <si>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</si>
  <si>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</si>
  <si>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</si>
  <si>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</si>
  <si>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</si>
  <si>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</si>
  <si>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</si>
  <si>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</si>
  <si>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</si>
  <si>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</si>
  <si>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</si>
  <si>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</si>
  <si>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</si>
  <si>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</si>
  <si>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</si>
  <si>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</si>
  <si>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</si>
  <si>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</si>
  <si>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</si>
  <si>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</si>
  <si>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</si>
  <si>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</si>
  <si>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</si>
  <si>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</si>
  <si>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</si>
  <si>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</si>
  <si>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</si>
  <si>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</si>
  <si>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</si>
  <si>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</si>
  <si>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</si>
  <si>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</si>
  <si>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</si>
  <si>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</si>
  <si>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</si>
  <si>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</si>
  <si>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</si>
  <si>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</si>
  <si>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</si>
  <si>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</si>
  <si>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</si>
  <si>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</si>
  <si>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</si>
  <si>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</si>
  <si>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</si>
  <si>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</si>
  <si>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</si>
  <si>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</si>
  <si>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</si>
  <si>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</si>
  <si>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</si>
  <si>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</si>
  <si>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</si>
  <si>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</si>
  <si>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</si>
  <si>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</si>
  <si>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</si>
  <si>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</si>
  <si>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</si>
  <si>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</si>
  <si>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</si>
  <si>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</si>
  <si>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</si>
  <si>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</si>
  <si>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</si>
  <si>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</si>
  <si>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</si>
  <si>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</si>
  <si>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</si>
  <si>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</si>
  <si>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</si>
  <si>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</si>
  <si>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</si>
  <si>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</si>
  <si>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</si>
  <si>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</si>
  <si>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</si>
  <si>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</si>
  <si>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</si>
  <si>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</si>
  <si>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</si>
  <si>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</si>
  <si>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</si>
  <si>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</si>
  <si>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</si>
  <si>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</si>
  <si>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</si>
  <si>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</si>
  <si>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</si>
  <si>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</si>
  <si>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</si>
  <si>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</si>
  <si>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</si>
  <si>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</si>
  <si>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</si>
  <si>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</si>
  <si>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</si>
  <si>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</si>
  <si>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</si>
  <si>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</si>
  <si>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</si>
  <si>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</si>
  <si>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</si>
  <si>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</si>
  <si>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</si>
  <si>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</si>
  <si>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</si>
  <si>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</si>
  <si>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</si>
  <si>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</si>
  <si>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</si>
  <si>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</si>
  <si>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</si>
  <si>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</si>
  <si>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</si>
  <si>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</si>
  <si>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</si>
  <si>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</si>
  <si>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</si>
  <si>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</si>
  <si>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</si>
  <si>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</si>
  <si>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</si>
  <si>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</si>
  <si>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</si>
  <si>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</si>
  <si>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</si>
  <si>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</si>
  <si>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</si>
  <si>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</si>
  <si>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</si>
  <si>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</si>
  <si>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</si>
  <si>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</si>
  <si>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</si>
  <si>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</si>
  <si>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</si>
  <si>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</si>
  <si>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</si>
  <si>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</si>
  <si>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</si>
  <si>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</si>
  <si>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</si>
  <si>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</si>
  <si>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</si>
  <si>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</si>
  <si>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</si>
  <si>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</si>
  <si>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</si>
  <si>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</si>
  <si>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</si>
  <si>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</si>
  <si>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</si>
  <si>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</si>
  <si>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</si>
  <si>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</si>
  <si>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</si>
  <si>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</si>
  <si>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</si>
  <si>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</si>
  <si>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</si>
  <si>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</si>
  <si>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</si>
  <si>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</si>
  <si>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</si>
  <si>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</si>
  <si>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</si>
  <si>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</si>
  <si>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</si>
  <si>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</si>
  <si>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</si>
  <si>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</si>
  <si>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</si>
  <si>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</si>
  <si>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</si>
  <si>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</si>
  <si>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</si>
  <si>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</si>
  <si>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</si>
  <si>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</si>
  <si>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</si>
  <si>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</si>
  <si>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</si>
  <si>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</si>
  <si>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</si>
  <si>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</si>
  <si>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</si>
  <si>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</si>
  <si>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</si>
  <si>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</si>
  <si>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</si>
  <si>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</si>
  <si>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</si>
  <si>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</si>
  <si>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</si>
  <si>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</si>
  <si>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</si>
  <si>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</si>
  <si>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</si>
  <si>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</si>
  <si>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</si>
  <si>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</si>
  <si>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</si>
  <si>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</si>
  <si>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</si>
  <si>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</si>
  <si>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</si>
  <si>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</si>
  <si>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</si>
  <si>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</si>
  <si>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</si>
  <si>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</si>
  <si>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</si>
  <si>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</si>
  <si>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</si>
  <si>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</si>
  <si>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</si>
  <si>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</si>
  <si>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</si>
  <si>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</si>
  <si>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</si>
  <si>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</si>
  <si>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</si>
  <si>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</si>
  <si>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</si>
  <si>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</si>
  <si>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</si>
  <si>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</si>
  <si>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</si>
  <si>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</si>
  <si>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</si>
  <si>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</si>
  <si>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</si>
  <si>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</si>
  <si>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</si>
  <si>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</si>
  <si>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</si>
  <si>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</si>
  <si>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</si>
  <si>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</si>
  <si>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</si>
  <si>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</si>
  <si>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</si>
  <si>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</si>
  <si>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</si>
  <si>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</si>
  <si>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</si>
  <si>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</si>
  <si>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</si>
  <si>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</si>
  <si>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</si>
  <si>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</si>
  <si>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</si>
  <si>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</si>
  <si>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</si>
  <si>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</si>
  <si>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</si>
  <si>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</si>
  <si>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</si>
  <si>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</si>
  <si>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</si>
  <si>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</si>
  <si>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</si>
  <si>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</si>
  <si>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</si>
  <si>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</si>
  <si>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</si>
  <si>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</si>
  <si>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</si>
  <si>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</si>
  <si>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</si>
  <si>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</si>
  <si>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</si>
  <si>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</si>
  <si>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</si>
  <si>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</si>
  <si>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</si>
  <si>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</si>
  <si>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</si>
  <si>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</si>
  <si>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</si>
  <si>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</si>
  <si>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</si>
  <si>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</si>
  <si>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</si>
  <si>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</si>
  <si>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</si>
  <si>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</si>
  <si>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</si>
  <si>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</si>
  <si>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</si>
  <si>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</si>
  <si>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</si>
  <si>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</si>
  <si>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</si>
  <si>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</si>
  <si>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</si>
  <si>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</si>
  <si>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</si>
  <si>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</si>
  <si>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</si>
  <si>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</si>
  <si>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</si>
  <si>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</si>
  <si>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</si>
  <si>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</si>
  <si>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</si>
  <si>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</si>
  <si>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</si>
  <si>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</si>
  <si>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</si>
  <si>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</si>
  <si>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</si>
  <si>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</si>
  <si>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</si>
  <si>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</si>
  <si>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</si>
  <si>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</si>
  <si>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</si>
  <si>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</si>
  <si>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</si>
  <si>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</si>
  <si>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</si>
  <si>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</si>
  <si>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</si>
  <si>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</si>
  <si>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</si>
  <si>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</si>
  <si>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</si>
  <si>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</si>
  <si>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</si>
  <si>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</si>
  <si>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</si>
  <si>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</si>
  <si>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</si>
  <si>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</si>
  <si>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</si>
  <si>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</si>
  <si>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</si>
  <si>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</si>
  <si>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</si>
  <si>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</si>
  <si>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</si>
  <si>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</si>
  <si>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</si>
  <si>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</si>
  <si>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</si>
  <si>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</si>
  <si>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</si>
  <si>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</si>
  <si>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</si>
  <si>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</si>
  <si>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</si>
  <si>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</si>
  <si>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</si>
  <si>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</si>
  <si>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</si>
  <si>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</si>
  <si>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</si>
  <si>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</si>
  <si>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</si>
  <si>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</si>
  <si>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</si>
  <si>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</si>
  <si>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</si>
  <si>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</si>
  <si>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</si>
  <si>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</si>
  <si>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</si>
  <si>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</si>
  <si>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</si>
  <si>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</si>
  <si>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</si>
  <si>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</si>
  <si>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</si>
  <si>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</si>
  <si>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</si>
  <si>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</si>
  <si>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</si>
  <si>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</si>
  <si>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</si>
  <si>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</si>
  <si>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</si>
  <si>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</si>
  <si>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</si>
  <si>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</si>
  <si>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</si>
  <si>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</si>
  <si>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</si>
  <si>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</si>
  <si>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</si>
  <si>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</si>
  <si>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</si>
  <si>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</si>
  <si>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</si>
  <si>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</si>
  <si>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</si>
  <si>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</si>
  <si>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</si>
  <si>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</si>
  <si>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</si>
  <si>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</si>
  <si>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</si>
  <si>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</si>
  <si>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</si>
  <si>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</si>
  <si>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</si>
  <si>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</si>
  <si>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</si>
  <si>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</si>
  <si>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</si>
  <si>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</si>
  <si>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</si>
  <si>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</si>
  <si>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</si>
  <si>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</si>
  <si>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</si>
  <si>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</si>
  <si>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</si>
  <si>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</si>
  <si>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</si>
  <si>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</si>
  <si>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</si>
  <si>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</si>
  <si>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</si>
  <si>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</si>
  <si>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</si>
  <si>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</si>
  <si>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</si>
  <si>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</si>
  <si>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</si>
  <si>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</si>
  <si>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</si>
  <si>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</si>
  <si>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</si>
  <si>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</si>
  <si>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</si>
  <si>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</si>
  <si>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</si>
  <si>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</si>
  <si>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</si>
  <si>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</si>
  <si>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</si>
  <si>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</si>
  <si>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</si>
  <si>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</si>
  <si>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</si>
  <si>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</si>
  <si>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</si>
  <si>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</si>
  <si>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</si>
  <si>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</si>
  <si>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</si>
  <si>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</si>
  <si>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</si>
  <si>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</si>
  <si>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</si>
  <si>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</si>
  <si>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</si>
  <si>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</si>
  <si>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</si>
  <si>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</si>
  <si>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</si>
  <si>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</si>
  <si>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</si>
  <si>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</si>
  <si>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</si>
  <si>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</si>
  <si>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</si>
  <si>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</si>
  <si>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</si>
  <si>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</si>
  <si>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</si>
  <si>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</si>
  <si>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</si>
  <si>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</si>
  <si>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</si>
  <si>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</si>
  <si>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</si>
  <si>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</si>
  <si>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</si>
  <si>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</si>
  <si>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</si>
  <si>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</si>
  <si>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</si>
  <si>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</si>
  <si>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</si>
  <si>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</si>
  <si>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</si>
  <si>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</si>
  <si>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</si>
  <si>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</si>
  <si>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</si>
  <si>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</si>
  <si>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</si>
  <si>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</si>
  <si>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</si>
  <si>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</si>
  <si>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</si>
  <si>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</si>
  <si>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</si>
  <si>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</si>
  <si>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</si>
  <si>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</si>
  <si>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</si>
  <si>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</si>
  <si>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</si>
  <si>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</si>
  <si>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</si>
  <si>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</si>
  <si>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</si>
  <si>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</si>
  <si>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</si>
  <si>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</si>
  <si>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</si>
  <si>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</si>
  <si>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</si>
  <si>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</si>
  <si>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</si>
  <si>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</si>
  <si>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</si>
  <si>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</si>
  <si>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</si>
  <si>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</si>
  <si>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</si>
  <si>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</si>
  <si>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</si>
  <si>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</si>
  <si>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</si>
  <si>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</si>
  <si>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</si>
  <si>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</si>
  <si>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</si>
  <si>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</si>
  <si>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</si>
  <si>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</si>
  <si>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</si>
  <si>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</si>
  <si>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</si>
  <si>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</si>
  <si>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</si>
  <si>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</si>
  <si>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</si>
  <si>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</si>
  <si>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</si>
  <si>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</si>
  <si>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</si>
  <si>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</si>
  <si>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</si>
  <si>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</si>
  <si>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</si>
  <si>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</si>
  <si>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</si>
  <si>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</si>
  <si>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</si>
  <si>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</si>
  <si>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</si>
  <si>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</si>
  <si>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</si>
  <si>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</si>
  <si>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</si>
  <si>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</si>
  <si>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</si>
  <si>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</si>
  <si>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</si>
  <si>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</si>
  <si>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</si>
  <si>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</si>
  <si>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</si>
  <si>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</si>
  <si>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</si>
  <si>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</si>
  <si>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</si>
  <si>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</si>
  <si>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</si>
  <si>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</si>
  <si>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</si>
  <si>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</si>
  <si>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</si>
  <si>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</si>
  <si>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</si>
  <si>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</si>
  <si>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</si>
  <si>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</si>
  <si>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</si>
  <si>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</si>
  <si>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</si>
  <si>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</si>
  <si>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</si>
  <si>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</si>
  <si>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</si>
  <si>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</si>
  <si>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</si>
  <si>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</si>
  <si>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</si>
  <si>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</si>
  <si>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</si>
  <si>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</si>
  <si>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</si>
  <si>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</si>
  <si>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</si>
  <si>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</si>
  <si>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</si>
  <si>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</si>
  <si>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</si>
  <si>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</si>
  <si>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</si>
  <si>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</si>
  <si>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</si>
  <si>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</si>
  <si>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</si>
  <si>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</si>
  <si>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</si>
  <si>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</si>
  <si>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</si>
  <si>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</si>
  <si>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</si>
  <si>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</si>
  <si>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</si>
  <si>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</si>
  <si>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</si>
  <si>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</si>
  <si>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</si>
  <si>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</si>
  <si>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</si>
  <si>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</si>
  <si>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</si>
  <si>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</si>
  <si>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</si>
  <si>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</si>
  <si>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</si>
  <si>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</si>
  <si>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</si>
  <si>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</si>
  <si>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</si>
  <si>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</si>
  <si>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</si>
  <si>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</si>
  <si>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</si>
  <si>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</si>
  <si>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</si>
  <si>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</si>
  <si>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</si>
  <si>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</si>
  <si>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</si>
  <si>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</si>
  <si>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</si>
  <si>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</si>
  <si>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</si>
  <si>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</si>
  <si>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</si>
  <si>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</si>
  <si>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</si>
  <si>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</si>
  <si>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</si>
  <si>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</si>
  <si>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</si>
  <si>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</si>
  <si>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</si>
  <si>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</si>
  <si>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</si>
  <si>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</si>
  <si>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</si>
  <si>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</si>
  <si>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</si>
  <si>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</si>
  <si>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</si>
  <si>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</si>
  <si>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</si>
  <si>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</si>
  <si>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</si>
  <si>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</si>
  <si>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</si>
  <si>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</si>
  <si>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</si>
  <si>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</si>
  <si>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</si>
  <si>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</si>
  <si>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</si>
  <si>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</si>
  <si>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</si>
  <si>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</si>
  <si>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</si>
  <si>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</si>
  <si>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</si>
  <si>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</si>
  <si>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</si>
  <si>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</si>
  <si>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</si>
  <si>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</si>
  <si>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</si>
  <si>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</si>
  <si>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</si>
  <si>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</si>
  <si>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</si>
  <si>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</si>
  <si>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</si>
  <si>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</si>
  <si>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</si>
  <si>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</si>
  <si>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</si>
  <si>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</si>
  <si>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</si>
  <si>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</si>
  <si>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</si>
  <si>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</si>
  <si>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</si>
  <si>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</si>
  <si>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</si>
  <si>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</si>
  <si>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</si>
  <si>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</si>
  <si>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</si>
  <si>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</si>
  <si>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</si>
  <si>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</si>
  <si>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</si>
  <si>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</si>
  <si>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</si>
  <si>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</si>
  <si>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</si>
  <si>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</si>
  <si>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</si>
  <si>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</si>
  <si>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</si>
  <si>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</si>
  <si>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</si>
  <si>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</si>
  <si>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</si>
  <si>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</si>
  <si>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</si>
  <si>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</si>
  <si>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</si>
  <si>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</si>
  <si>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</si>
  <si>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</si>
  <si>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</si>
  <si>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</si>
  <si>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</si>
  <si>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</si>
  <si>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</si>
  <si>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</si>
  <si>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</si>
  <si>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</si>
  <si>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</si>
  <si>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</si>
  <si>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</si>
  <si>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</si>
  <si>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</si>
  <si>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</si>
  <si>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</si>
  <si>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</si>
  <si>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</si>
  <si>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</si>
  <si>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</si>
  <si>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</si>
  <si>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</si>
  <si>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</si>
  <si>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</si>
  <si>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</si>
  <si>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</si>
  <si>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</si>
  <si>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</si>
  <si>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</si>
  <si>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</si>
  <si>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</si>
  <si>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</si>
  <si>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</si>
  <si>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</si>
  <si>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</si>
  <si>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</si>
  <si>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</si>
  <si>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</si>
  <si>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</si>
  <si>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</si>
  <si>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</si>
  <si>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</si>
  <si>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</si>
  <si>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</si>
  <si>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</si>
  <si>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</si>
  <si>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</si>
  <si>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</si>
  <si>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</si>
  <si>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</si>
  <si>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</si>
  <si>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</si>
  <si>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</si>
  <si>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</si>
  <si>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</si>
  <si>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</si>
  <si>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</si>
  <si>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</si>
  <si>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</si>
  <si>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</si>
  <si>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</si>
  <si>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</si>
  <si>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</si>
  <si>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</si>
  <si>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</si>
  <si>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</si>
  <si>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</si>
  <si>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</si>
  <si>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</si>
  <si>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</si>
  <si>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</si>
  <si>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</si>
  <si>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</si>
  <si>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</si>
  <si>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</si>
  <si>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</si>
  <si>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</si>
  <si>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</si>
  <si>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</si>
  <si>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</si>
  <si>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</si>
  <si>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</si>
  <si>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</si>
  <si>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</si>
  <si>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</si>
  <si>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</si>
  <si>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</si>
  <si>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</si>
  <si>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</si>
  <si>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</si>
  <si>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</si>
  <si>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</si>
  <si>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</si>
  <si>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</si>
  <si>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</si>
  <si>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</si>
  <si>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</si>
  <si>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</si>
  <si>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</si>
  <si>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</si>
  <si>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</si>
  <si>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</si>
  <si>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</si>
  <si>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</si>
  <si>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</si>
  <si>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</si>
  <si>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</si>
  <si>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</si>
  <si>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</si>
  <si>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</si>
  <si>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</si>
  <si>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</si>
  <si>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</si>
  <si>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</si>
  <si>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</si>
  <si>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</si>
  <si>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</si>
  <si>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</si>
  <si>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</si>
  <si>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</si>
  <si>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</si>
  <si>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</si>
  <si>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</si>
  <si>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</si>
  <si>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</si>
  <si>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</si>
  <si>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</si>
  <si>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</si>
  <si>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</si>
  <si>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</si>
  <si>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</si>
  <si>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</si>
  <si>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</si>
  <si>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</si>
  <si>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</si>
  <si>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</si>
  <si>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</si>
  <si>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</si>
  <si>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</si>
  <si>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</si>
  <si>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</si>
  <si>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</si>
  <si>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</si>
  <si>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</si>
  <si>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</si>
  <si>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</si>
  <si>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</si>
  <si>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</si>
  <si>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</si>
  <si>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</si>
  <si>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</si>
  <si>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</si>
  <si>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</si>
  <si>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</si>
  <si>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</si>
  <si>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</si>
  <si>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</si>
  <si>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</si>
  <si>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</si>
  <si>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</si>
  <si>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</si>
  <si>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</si>
  <si>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</si>
  <si>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</si>
  <si>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</si>
  <si>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</si>
  <si>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</si>
  <si>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</si>
  <si>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</si>
  <si>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</si>
  <si>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</si>
  <si>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</si>
  <si>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</si>
  <si>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</si>
  <si>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</si>
  <si>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</si>
  <si>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</si>
  <si>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</si>
  <si>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</si>
  <si>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</si>
  <si>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</si>
  <si>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</si>
  <si>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</si>
  <si>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</si>
  <si>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</si>
  <si>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</si>
  <si>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</si>
  <si>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</si>
  <si>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</si>
  <si>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</si>
  <si>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</si>
  <si>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</si>
  <si>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</si>
  <si>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</si>
  <si>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</si>
  <si>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</si>
  <si>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</si>
  <si>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</si>
  <si>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</si>
  <si>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</si>
  <si>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</si>
  <si>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</si>
  <si>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</si>
  <si>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</si>
  <si>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</si>
  <si>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</si>
  <si>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</si>
  <si>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</si>
  <si>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</si>
  <si>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</si>
  <si>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</si>
  <si>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</si>
  <si>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</si>
  <si>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</si>
  <si>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</si>
  <si>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</si>
  <si>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</si>
  <si>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</si>
  <si>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</si>
  <si>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</si>
  <si>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</si>
  <si>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</si>
  <si>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</si>
  <si>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</si>
  <si>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</si>
  <si>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</si>
  <si>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</si>
  <si>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</si>
  <si>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</si>
  <si>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</si>
  <si>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</si>
  <si>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</si>
  <si>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</si>
  <si>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</si>
  <si>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</si>
  <si>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</si>
  <si>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</si>
  <si>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</si>
  <si>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</si>
  <si>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</si>
  <si>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</si>
  <si>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</si>
  <si>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</si>
  <si>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</si>
  <si>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</si>
  <si>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</si>
  <si>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</si>
  <si>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</si>
  <si>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</si>
  <si>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</si>
  <si>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</si>
  <si>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</si>
  <si>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</si>
  <si>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</si>
  <si>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</si>
  <si>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</si>
  <si>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</si>
  <si>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</si>
  <si>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</si>
  <si>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</si>
  <si>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</si>
  <si>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</si>
  <si>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</si>
  <si>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</si>
  <si>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</si>
  <si>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</si>
  <si>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</si>
  <si>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</si>
  <si>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</si>
  <si>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</si>
  <si>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</si>
  <si>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</si>
  <si>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</si>
  <si>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</si>
  <si>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</si>
  <si>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</si>
  <si>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</si>
  <si>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</si>
  <si>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</si>
  <si>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</si>
  <si>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</si>
  <si>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</si>
  <si>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</si>
  <si>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</si>
  <si>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</si>
  <si>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</si>
  <si>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</si>
  <si>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</si>
  <si>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</si>
  <si>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</si>
  <si>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</si>
  <si>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</si>
  <si>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</si>
  <si>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</si>
  <si>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</si>
  <si>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</si>
  <si>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</si>
  <si>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</si>
  <si>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</si>
  <si>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</si>
  <si>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</si>
  <si>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</si>
  <si>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</si>
  <si>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</si>
  <si>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</si>
  <si>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</si>
  <si>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</si>
  <si>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</si>
  <si>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</si>
  <si>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</si>
  <si>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</si>
  <si>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</si>
  <si>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</si>
  <si>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</si>
  <si>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</si>
  <si>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</si>
  <si>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</si>
  <si>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</si>
  <si>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</si>
  <si>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</si>
  <si>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</si>
  <si>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</si>
  <si>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</si>
  <si>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</si>
  <si>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</si>
  <si>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</si>
  <si>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</si>
  <si>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</si>
  <si>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</si>
  <si>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</si>
  <si>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</si>
  <si>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</si>
  <si>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</si>
  <si>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</si>
  <si>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</si>
  <si>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</si>
  <si>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</si>
  <si>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</si>
  <si>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</si>
  <si>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</si>
  <si>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</si>
  <si>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</si>
  <si>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</si>
  <si>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</si>
  <si>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</si>
  <si>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</si>
  <si>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</si>
  <si>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</si>
  <si>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</si>
  <si>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</si>
  <si>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</si>
  <si>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</si>
  <si>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</si>
  <si>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</si>
  <si>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</si>
  <si>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</si>
  <si>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</si>
  <si>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</si>
  <si>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</si>
  <si>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</si>
  <si>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</si>
  <si>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</si>
  <si>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</si>
  <si>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</si>
  <si>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</si>
  <si>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</si>
  <si>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</si>
  <si>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</si>
  <si>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</si>
  <si>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</si>
  <si>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</si>
  <si>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</si>
  <si>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</si>
  <si>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</si>
  <si>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</si>
  <si>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</si>
  <si>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</si>
  <si>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</si>
  <si>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</si>
  <si>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</si>
  <si>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</si>
  <si>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</si>
  <si>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</si>
  <si>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</si>
  <si>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</si>
  <si>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</si>
  <si>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</si>
  <si>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</si>
  <si>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</si>
  <si>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</si>
  <si>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</si>
  <si>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</si>
  <si>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</si>
  <si>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</si>
  <si>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</si>
  <si>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</si>
  <si>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</si>
  <si>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</si>
  <si>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</si>
  <si>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</si>
  <si>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</si>
  <si>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</si>
  <si>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</si>
  <si>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</si>
  <si>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</si>
  <si>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</si>
  <si>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</si>
  <si>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</si>
  <si>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</si>
  <si>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</si>
  <si>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</si>
  <si>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</si>
  <si>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</si>
  <si>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</si>
  <si>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</si>
  <si>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</si>
  <si>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</si>
  <si>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</si>
  <si>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</si>
  <si>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</si>
  <si>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</si>
  <si>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</si>
  <si>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</si>
  <si>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</si>
  <si>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</si>
  <si>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</si>
  <si>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</si>
  <si>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</si>
  <si>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</si>
  <si>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</si>
  <si>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</si>
  <si>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</si>
  <si>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</si>
  <si>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</si>
  <si>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</si>
  <si>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</si>
  <si>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</si>
  <si>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</si>
  <si>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</si>
  <si>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</si>
  <si>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</si>
  <si>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</si>
  <si>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</si>
  <si>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</si>
  <si>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</si>
  <si>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</si>
  <si>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</si>
  <si>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</si>
  <si>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</si>
  <si>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</si>
  <si>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</si>
  <si>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</si>
  <si>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</si>
  <si>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</si>
  <si>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</si>
  <si>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</si>
  <si>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</si>
  <si>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</si>
  <si>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</si>
  <si>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</si>
  <si>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</si>
  <si>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</si>
  <si>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</si>
  <si>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</si>
  <si>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</si>
  <si>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</si>
  <si>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</si>
  <si>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</si>
  <si>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</si>
  <si>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</si>
  <si>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</si>
  <si>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</si>
  <si>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</si>
  <si>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</si>
  <si>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</si>
  <si>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</si>
  <si>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</si>
  <si>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</si>
  <si>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</si>
  <si>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</si>
  <si>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</si>
  <si>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</si>
  <si>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</si>
  <si>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</si>
  <si>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</si>
  <si>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</si>
  <si>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</si>
  <si>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</si>
  <si>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</si>
  <si>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</si>
  <si>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</si>
  <si>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</si>
  <si>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</si>
  <si>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</si>
  <si>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</si>
  <si>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</si>
  <si>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</si>
  <si>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</si>
  <si>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</si>
  <si>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</si>
  <si>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</si>
  <si>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</si>
  <si>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</si>
  <si>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</si>
  <si>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</si>
  <si>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</si>
  <si>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</si>
  <si>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</si>
  <si>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</si>
  <si>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</si>
  <si>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</si>
  <si>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</si>
  <si>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</si>
  <si>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</si>
  <si>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</si>
  <si>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</si>
  <si>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</si>
  <si>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</si>
  <si>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</si>
  <si>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</si>
  <si>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</si>
  <si>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</si>
  <si>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</si>
  <si>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</si>
  <si>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</si>
  <si>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</si>
  <si>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</si>
  <si>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</si>
  <si>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</si>
  <si>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</si>
  <si>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</si>
  <si>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</si>
  <si>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</si>
  <si>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</si>
  <si>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</si>
  <si>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</si>
  <si>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</si>
  <si>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</si>
  <si>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</si>
  <si>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</si>
  <si>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</si>
  <si>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</si>
  <si>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</si>
  <si>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</si>
  <si>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</si>
  <si>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</si>
  <si>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</si>
  <si>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</si>
  <si>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</si>
  <si>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</si>
  <si>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</si>
  <si>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</si>
  <si>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</si>
  <si>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</si>
  <si>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</si>
  <si>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</si>
  <si>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</si>
  <si>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</si>
  <si>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</si>
  <si>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</si>
  <si>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</si>
  <si>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</si>
  <si>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</si>
  <si>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</si>
  <si>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</si>
  <si>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</si>
  <si>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</si>
  <si>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</si>
  <si>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</si>
  <si>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</si>
  <si>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</si>
  <si>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</si>
  <si>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</si>
  <si>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</si>
  <si>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</si>
  <si>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</si>
  <si>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</si>
  <si>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</si>
  <si>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</si>
  <si>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</si>
  <si>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</si>
  <si>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</si>
  <si>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</si>
  <si>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</si>
  <si>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</si>
  <si>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</si>
  <si>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</si>
  <si>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</si>
  <si>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</si>
  <si>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</si>
  <si>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</si>
  <si>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</si>
  <si>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</si>
  <si>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</si>
  <si>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</si>
  <si>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</si>
  <si>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</si>
  <si>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</si>
  <si>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</si>
  <si>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</si>
  <si>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</si>
  <si>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</si>
  <si>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</si>
  <si>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</si>
  <si>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</si>
  <si>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</si>
  <si>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</si>
  <si>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</si>
  <si>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</si>
  <si>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</si>
  <si>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</si>
  <si>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</si>
  <si>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</si>
  <si>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</si>
  <si>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</si>
  <si>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</si>
  <si>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</si>
  <si>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</si>
  <si>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</si>
  <si>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</si>
  <si>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</si>
  <si>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</si>
  <si>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</si>
  <si>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</si>
  <si>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</si>
  <si>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</si>
  <si>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</si>
  <si>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</si>
  <si>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</si>
  <si>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</si>
  <si>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</si>
  <si>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</si>
  <si>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</si>
  <si>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</si>
  <si>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</si>
  <si>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</si>
  <si>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</si>
  <si>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</si>
  <si>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</si>
  <si>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</si>
  <si>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</si>
  <si>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</si>
  <si>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</si>
  <si>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</si>
  <si>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</si>
  <si>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</si>
  <si>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</si>
  <si>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</si>
  <si>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</si>
  <si>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</si>
  <si>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</si>
  <si>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</si>
  <si>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</si>
  <si>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</si>
  <si>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</si>
  <si>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</si>
  <si>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</si>
  <si>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</si>
  <si>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</si>
  <si>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</si>
  <si>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</si>
  <si>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</si>
  <si>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</si>
  <si>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</si>
  <si>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</si>
  <si>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</si>
  <si>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</si>
  <si>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</si>
  <si>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</si>
  <si>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</si>
  <si>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</si>
  <si>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</si>
  <si>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</si>
  <si>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</si>
  <si>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</si>
  <si>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</si>
  <si>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</si>
  <si>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</si>
  <si>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</si>
  <si>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</si>
  <si>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</si>
  <si>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</si>
  <si>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</si>
  <si>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</si>
  <si>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</si>
  <si>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</si>
  <si>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</si>
  <si>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</si>
  <si>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</si>
  <si>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</si>
  <si>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</si>
  <si>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</si>
  <si>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</si>
  <si>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</si>
  <si>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</si>
  <si>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</si>
  <si>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</si>
  <si>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</si>
  <si>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</si>
  <si>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</si>
  <si>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</si>
  <si>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</si>
  <si>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</si>
  <si>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</si>
  <si>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</si>
  <si>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</si>
  <si>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</si>
  <si>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</si>
  <si>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</si>
  <si>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</si>
  <si>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</si>
  <si>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</si>
  <si>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</si>
  <si>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</si>
  <si>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</si>
  <si>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</si>
  <si>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</si>
  <si>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</si>
  <si>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</si>
  <si>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</si>
  <si>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</si>
  <si>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</si>
  <si>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</si>
  <si>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</si>
  <si>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</si>
  <si>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</si>
  <si>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</si>
  <si>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</si>
  <si>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</si>
  <si>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</si>
  <si>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</si>
  <si>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</si>
  <si>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</si>
  <si>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</si>
  <si>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</si>
  <si>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</si>
  <si>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</si>
  <si>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</si>
  <si>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</si>
  <si>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</si>
  <si>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</si>
  <si>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</si>
  <si>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</si>
  <si>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</si>
  <si>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</si>
  <si>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</si>
  <si>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</si>
  <si>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</si>
  <si>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</si>
  <si>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</si>
  <si>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</si>
  <si>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</si>
  <si>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</si>
  <si>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</si>
  <si>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</si>
  <si>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</si>
  <si>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</si>
  <si>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</si>
  <si>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</si>
  <si>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</si>
  <si>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</si>
  <si>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</si>
  <si>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</si>
  <si>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</si>
  <si>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</si>
  <si>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</si>
  <si>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</si>
  <si>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</si>
  <si>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</si>
  <si>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</si>
  <si>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</si>
  <si>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</si>
  <si>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</si>
  <si>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</si>
  <si>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</si>
  <si>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</si>
  <si>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</si>
  <si>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</si>
  <si>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</si>
  <si>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</si>
  <si>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</si>
  <si>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</si>
  <si>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</si>
  <si>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</si>
  <si>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</si>
  <si>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</si>
  <si>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</si>
  <si>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</si>
  <si>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</si>
  <si>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</si>
  <si>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</si>
  <si>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</si>
  <si>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</si>
  <si>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</si>
  <si>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</si>
  <si>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</si>
  <si>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</si>
  <si>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</si>
  <si>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</si>
  <si>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</si>
  <si>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</si>
  <si>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</si>
  <si>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</si>
  <si>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</si>
  <si>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</si>
  <si>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</si>
  <si>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</si>
  <si>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</si>
  <si>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</si>
  <si>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</si>
  <si>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</si>
  <si>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</si>
  <si>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</si>
  <si>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</si>
  <si>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</si>
  <si>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</si>
  <si>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</si>
  <si>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</si>
  <si>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</si>
  <si>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</si>
  <si>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</si>
  <si>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</si>
  <si>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</si>
  <si>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</si>
  <si>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</si>
  <si>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</si>
  <si>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</si>
  <si>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</si>
  <si>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</si>
  <si>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</si>
  <si>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</si>
  <si>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</si>
  <si>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</si>
  <si>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</si>
  <si>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</si>
  <si>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</si>
  <si>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</si>
  <si>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</si>
  <si>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</si>
  <si>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</si>
  <si>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</si>
  <si>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</si>
  <si>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</si>
  <si>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</si>
  <si>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</si>
  <si>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</si>
  <si>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</si>
  <si>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</si>
  <si>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</si>
  <si>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</si>
  <si>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</si>
  <si>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</si>
  <si>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</si>
  <si>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</si>
  <si>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</si>
  <si>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</si>
  <si>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</si>
  <si>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</si>
  <si>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</si>
  <si>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</si>
  <si>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</si>
  <si>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</si>
  <si>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</si>
  <si>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</si>
  <si>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</si>
  <si>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</si>
  <si>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</si>
  <si>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</si>
  <si>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</si>
  <si>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</si>
  <si>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</si>
  <si>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</si>
  <si>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</si>
  <si>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</si>
  <si>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</si>
  <si>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</si>
  <si>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</si>
  <si>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</si>
  <si>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</si>
  <si>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</si>
  <si>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</si>
  <si>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</si>
  <si>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</si>
  <si>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</si>
  <si>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</si>
  <si>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</si>
  <si>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</si>
  <si>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</si>
  <si>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</si>
  <si>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</si>
  <si>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</si>
  <si>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</si>
  <si>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</si>
  <si>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</si>
  <si>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</si>
  <si>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</si>
  <si>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</si>
  <si>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</si>
  <si>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</si>
  <si>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</si>
  <si>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</si>
  <si>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</si>
  <si>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</si>
  <si>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</si>
  <si>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</si>
  <si>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</si>
  <si>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</si>
  <si>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</si>
  <si>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</si>
  <si>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</si>
  <si>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</si>
  <si>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</si>
  <si>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</si>
  <si>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</si>
  <si>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</si>
  <si>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</si>
  <si>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</si>
  <si>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</si>
  <si>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</si>
  <si>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</si>
  <si>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</si>
  <si>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</si>
  <si>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</si>
  <si>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</si>
  <si>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</si>
  <si>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</si>
  <si>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</si>
  <si>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</si>
  <si>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</si>
  <si>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</si>
  <si>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</si>
  <si>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</si>
  <si>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</si>
  <si>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</si>
  <si>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</si>
  <si>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</si>
  <si>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</si>
  <si>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</si>
  <si>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</si>
  <si>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</si>
  <si>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</si>
  <si>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</si>
  <si>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</si>
  <si>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</si>
  <si>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</si>
  <si>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</si>
  <si>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</si>
  <si>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</si>
  <si>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</si>
  <si>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</si>
  <si>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</si>
  <si>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</si>
  <si>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</si>
  <si>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</si>
  <si>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</si>
  <si>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</si>
  <si>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</si>
  <si>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</si>
  <si>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</si>
  <si>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</si>
  <si>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</si>
  <si>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</si>
  <si>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</si>
  <si>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</si>
  <si>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</si>
  <si>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</si>
  <si>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</si>
  <si>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</si>
  <si>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</si>
  <si>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</si>
  <si>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</si>
  <si>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</si>
  <si>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</si>
  <si>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</si>
  <si>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</si>
  <si>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</si>
  <si>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</si>
  <si>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</si>
  <si>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</si>
  <si>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</si>
  <si>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</si>
  <si>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</si>
  <si>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</si>
  <si>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</si>
  <si>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</si>
  <si>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</si>
  <si>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</si>
  <si>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</si>
  <si>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</si>
  <si>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</si>
  <si>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</si>
  <si>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</si>
  <si>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</si>
  <si>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</si>
  <si>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</si>
  <si>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</si>
  <si>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</si>
  <si>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</si>
  <si>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</si>
  <si>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</si>
  <si>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</si>
  <si>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</si>
  <si>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</si>
  <si>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</si>
  <si>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</si>
  <si>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</si>
  <si>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</si>
  <si>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</si>
  <si>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</si>
  <si>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</si>
  <si>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</si>
  <si>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</si>
  <si>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</si>
  <si>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</si>
  <si>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</si>
  <si>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</si>
  <si>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</si>
  <si>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</si>
  <si>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</si>
  <si>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</si>
  <si>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</si>
  <si>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</si>
  <si>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</si>
  <si>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</si>
  <si>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</si>
  <si>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</si>
  <si>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</si>
  <si>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</si>
  <si>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</si>
  <si>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</si>
  <si>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</si>
  <si>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</si>
  <si>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</si>
  <si>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</si>
  <si>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</si>
  <si>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</si>
  <si>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</si>
  <si>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</si>
  <si>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</si>
  <si>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</si>
  <si>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</si>
  <si>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</si>
  <si>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</si>
  <si>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</si>
  <si>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</si>
  <si>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</si>
  <si>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</si>
  <si>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</si>
  <si>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</si>
  <si>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</si>
  <si>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</si>
  <si>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</si>
  <si>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</si>
  <si>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</si>
  <si>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</si>
  <si>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</si>
  <si>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</si>
  <si>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</si>
  <si>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</si>
  <si>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</si>
  <si>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</si>
  <si>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</si>
  <si>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</si>
  <si>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</si>
  <si>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</si>
  <si>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</si>
  <si>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</si>
  <si>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</si>
  <si>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</si>
  <si>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</si>
  <si>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</si>
  <si>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</si>
  <si>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</si>
  <si>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</si>
  <si>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</si>
  <si>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</si>
  <si>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</si>
  <si>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</si>
  <si>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</si>
  <si>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</si>
  <si>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</si>
  <si>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</si>
  <si>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</si>
  <si>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</si>
  <si>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</si>
  <si>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</si>
  <si>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</si>
  <si>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</si>
  <si>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</si>
  <si>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</si>
  <si>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</si>
  <si>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</si>
  <si>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</si>
  <si>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</si>
  <si>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</si>
  <si>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</si>
  <si>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</si>
  <si>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</si>
  <si>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</si>
  <si>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</si>
  <si>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</si>
  <si>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</si>
  <si>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</si>
  <si>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</si>
  <si>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</si>
  <si>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</si>
  <si>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</si>
  <si>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</si>
  <si>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</si>
  <si>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</si>
  <si>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</si>
  <si>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</si>
  <si>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</si>
  <si>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</si>
  <si>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</si>
  <si>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</si>
  <si>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</si>
  <si>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</si>
  <si>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</si>
  <si>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</si>
  <si>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</si>
  <si>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</si>
  <si>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</si>
  <si>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</si>
  <si>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</si>
  <si>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</si>
  <si>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</si>
  <si>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</si>
  <si>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</si>
  <si>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</si>
  <si>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</si>
  <si>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</si>
  <si>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</si>
  <si>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</si>
  <si>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</si>
  <si>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</si>
  <si>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</si>
  <si>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</si>
  <si>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</si>
  <si>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</si>
  <si>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</si>
  <si>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</si>
  <si>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</si>
  <si>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</si>
  <si>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</si>
  <si>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</si>
  <si>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</si>
  <si>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</si>
  <si>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</si>
  <si>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</si>
  <si>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</si>
  <si>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</si>
  <si>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</si>
  <si>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</si>
  <si>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</si>
  <si>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</si>
  <si>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</si>
  <si>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</si>
  <si>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</si>
  <si>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</si>
  <si>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</si>
  <si>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</si>
  <si>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</si>
  <si>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</si>
  <si>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</si>
  <si>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</si>
  <si>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</si>
  <si>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</si>
  <si>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</si>
  <si>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</si>
  <si>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</si>
  <si>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</si>
  <si>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</si>
  <si>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</si>
  <si>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</si>
  <si>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</si>
  <si>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</si>
  <si>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</si>
  <si>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</si>
  <si>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</si>
  <si>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</si>
  <si>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</si>
  <si>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</si>
  <si>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</si>
  <si>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</si>
  <si>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</si>
  <si>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</si>
  <si>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</si>
  <si>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</si>
  <si>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</si>
  <si>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</si>
  <si>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</si>
  <si>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</si>
  <si>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</si>
  <si>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</si>
  <si>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</si>
  <si>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</si>
  <si>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</si>
  <si>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</si>
  <si>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</si>
  <si>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</si>
  <si>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</si>
  <si>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</si>
  <si>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</si>
  <si>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</si>
  <si>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</si>
  <si>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</si>
  <si>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</si>
  <si>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</si>
  <si>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</si>
  <si>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</si>
  <si>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</si>
  <si>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</si>
  <si>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</si>
  <si>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</si>
  <si>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</si>
  <si>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</si>
  <si>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</si>
  <si>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</si>
  <si>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</si>
  <si>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</si>
  <si>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</si>
  <si>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</si>
  <si>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</si>
  <si>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</si>
  <si>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</si>
  <si>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</si>
  <si>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</si>
  <si>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</si>
  <si>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</si>
  <si>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</si>
  <si>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</si>
  <si>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</si>
  <si>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</si>
  <si>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</si>
  <si>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</si>
  <si>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</si>
  <si>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</si>
  <si>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</si>
  <si>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</si>
  <si>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</si>
  <si>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</si>
  <si>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</si>
  <si>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</si>
  <si>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</si>
  <si>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</si>
  <si>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</si>
  <si>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</si>
  <si>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</si>
  <si>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</si>
  <si>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</si>
  <si>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</si>
  <si>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</si>
  <si>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</si>
  <si>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</si>
  <si>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</si>
  <si>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</si>
  <si>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</si>
  <si>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</si>
  <si>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</si>
  <si>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</si>
  <si>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</si>
  <si>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</si>
  <si>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</si>
  <si>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</si>
  <si>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</si>
  <si>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</si>
  <si>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</si>
  <si>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</si>
  <si>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</si>
  <si>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</si>
  <si>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</si>
  <si>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</si>
  <si>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</si>
  <si>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</si>
  <si>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</si>
  <si>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</si>
  <si>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</si>
  <si>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</si>
  <si>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</si>
  <si>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</si>
  <si>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</si>
  <si>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</si>
  <si>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</si>
  <si>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</si>
  <si>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</si>
  <si>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</si>
  <si>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</si>
  <si>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</si>
  <si>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</si>
  <si>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</si>
  <si>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</si>
  <si>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</si>
  <si>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</si>
  <si>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</si>
  <si>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</si>
  <si>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</si>
  <si>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</si>
  <si>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</si>
  <si>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</si>
  <si>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</si>
  <si>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</si>
  <si>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</si>
  <si>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</si>
  <si>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</si>
  <si>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</si>
  <si>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</si>
  <si>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</si>
  <si>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</si>
  <si>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</si>
  <si>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</si>
  <si>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</si>
  <si>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</si>
  <si>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</si>
  <si>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</si>
  <si>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</si>
  <si>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</si>
  <si>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</si>
  <si>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</si>
  <si>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</si>
  <si>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</si>
  <si>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</si>
  <si>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</si>
  <si>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</si>
  <si>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</si>
  <si>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</si>
  <si>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</si>
  <si>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</si>
  <si>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</si>
  <si>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</si>
  <si>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</si>
  <si>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</si>
  <si>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</si>
  <si>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</si>
  <si>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</si>
  <si>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</si>
  <si>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</si>
  <si>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</si>
  <si>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</si>
  <si>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</si>
  <si>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</si>
  <si>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</si>
  <si>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</si>
  <si>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</si>
  <si>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</si>
  <si>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</si>
  <si>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</si>
  <si>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</si>
  <si>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</si>
  <si>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</si>
  <si>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</si>
  <si>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</si>
  <si>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</si>
  <si>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</si>
  <si>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</si>
  <si>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</si>
  <si>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</si>
  <si>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</si>
  <si>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</si>
  <si>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</si>
  <si>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</si>
  <si>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</si>
  <si>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</si>
  <si>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</si>
  <si>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</si>
  <si>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</si>
  <si>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</si>
  <si>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</si>
  <si>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</si>
  <si>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</si>
  <si>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</si>
  <si>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</si>
  <si>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</si>
  <si>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</si>
  <si>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</si>
  <si>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</si>
  <si>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</si>
  <si>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</si>
  <si>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</si>
  <si>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</si>
  <si>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</si>
  <si>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</si>
  <si>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</si>
  <si>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</si>
  <si>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</si>
  <si>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</si>
  <si>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</si>
  <si>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</si>
  <si>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</si>
  <si>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</si>
  <si>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</si>
  <si>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</si>
  <si>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</si>
  <si>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</si>
  <si>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</si>
  <si>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</si>
  <si>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</si>
  <si>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</si>
  <si>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</si>
  <si>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</si>
  <si>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</si>
  <si>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</si>
  <si>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</si>
  <si>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</si>
  <si>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</si>
  <si>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</si>
  <si>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</si>
  <si>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</si>
  <si>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</si>
  <si>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</si>
  <si>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</si>
  <si>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</si>
  <si>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</si>
  <si>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</si>
  <si>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</si>
  <si>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</si>
  <si>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</si>
  <si>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</si>
  <si>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</si>
  <si>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</si>
  <si>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</si>
  <si>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</si>
  <si>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</si>
  <si>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</si>
  <si>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</si>
  <si>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</si>
  <si>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</si>
  <si>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</si>
  <si>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</si>
  <si>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</si>
  <si>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</si>
  <si>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</si>
  <si>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</si>
  <si>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</si>
  <si>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</si>
  <si>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</si>
  <si>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</si>
  <si>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</si>
  <si>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</si>
  <si>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</si>
  <si>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</si>
  <si>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</si>
  <si>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</si>
  <si>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</si>
  <si>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</si>
  <si>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</si>
  <si>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</si>
  <si>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</si>
  <si>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</si>
  <si>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</si>
  <si>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</si>
  <si>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</si>
  <si>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</si>
  <si>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</si>
  <si>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</si>
  <si>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</si>
  <si>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</si>
  <si>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</si>
  <si>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</si>
  <si>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</si>
  <si>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</si>
  <si>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</si>
  <si>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</si>
  <si>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</si>
  <si>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</si>
  <si>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</si>
  <si>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</si>
  <si>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</si>
  <si>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</si>
  <si>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</si>
  <si>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</si>
  <si>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</si>
  <si>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</si>
  <si>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</si>
  <si>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</si>
  <si>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</si>
  <si>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</si>
  <si>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</si>
  <si>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</si>
  <si>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</si>
  <si>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</si>
  <si>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</si>
  <si>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</si>
  <si>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</si>
  <si>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</si>
  <si>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</si>
  <si>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</si>
  <si>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</si>
  <si>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</si>
  <si>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</si>
  <si>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</si>
  <si>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</si>
  <si>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</si>
  <si>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</si>
  <si>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</si>
  <si>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</si>
  <si>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</si>
  <si>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</si>
  <si>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</si>
  <si>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</si>
  <si>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</si>
  <si>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</si>
  <si>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</si>
  <si>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</si>
  <si>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</si>
  <si>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</si>
  <si>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</si>
  <si>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</si>
  <si>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</si>
  <si>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</si>
  <si>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</si>
  <si>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</si>
  <si>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</si>
  <si>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</si>
  <si>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</si>
  <si>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</si>
  <si>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</si>
  <si>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</si>
  <si>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</si>
  <si>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</si>
  <si>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</si>
  <si>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</si>
  <si>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</si>
  <si>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</si>
  <si>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</si>
  <si>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</si>
  <si>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</si>
  <si>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</si>
  <si>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</si>
  <si>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</si>
  <si>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</si>
  <si>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</si>
  <si>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</si>
  <si>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</si>
  <si>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</si>
  <si>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</si>
  <si>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</si>
  <si>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</si>
  <si>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</si>
  <si>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</si>
  <si>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</si>
  <si>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</si>
  <si>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</si>
  <si>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</si>
  <si>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</si>
  <si>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</si>
  <si>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</si>
  <si>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</si>
  <si>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</si>
  <si>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</si>
  <si>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</si>
  <si>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</si>
  <si>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</si>
  <si>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</si>
  <si>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</si>
  <si>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</si>
  <si>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</si>
  <si>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</si>
  <si>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</si>
  <si>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</si>
  <si>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</si>
  <si>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</si>
  <si>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</si>
  <si>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</si>
  <si>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</si>
  <si>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</si>
  <si>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</si>
  <si>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</si>
  <si>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</si>
  <si>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</si>
  <si>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</si>
  <si>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</si>
  <si>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</si>
  <si>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</si>
  <si>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</si>
  <si>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</si>
  <si>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</si>
  <si>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</si>
  <si>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</si>
  <si>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</si>
  <si>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</si>
  <si>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</si>
  <si>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</si>
  <si>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</si>
  <si>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</si>
  <si>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</si>
  <si>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</si>
  <si>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</si>
  <si>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</si>
  <si>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</si>
  <si>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</si>
  <si>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</si>
  <si>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</si>
  <si>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</si>
  <si>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</si>
  <si>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</si>
  <si>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</si>
  <si>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</si>
  <si>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</si>
  <si>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</si>
  <si>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</si>
  <si>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</si>
  <si>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</si>
  <si>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</si>
  <si>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</si>
  <si>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</si>
  <si>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</si>
  <si>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</si>
  <si>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</si>
  <si>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</si>
  <si>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</si>
  <si>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</si>
  <si>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</si>
  <si>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</si>
  <si>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</si>
  <si>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</si>
  <si>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</si>
  <si>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</si>
  <si>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</si>
  <si>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</si>
  <si>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</si>
  <si>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</si>
  <si>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</si>
  <si>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</si>
  <si>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</si>
  <si>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</si>
  <si>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</si>
  <si>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</si>
  <si>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</si>
  <si>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</si>
  <si>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</si>
  <si>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</si>
  <si>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</si>
  <si>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</si>
  <si>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</si>
  <si>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</si>
  <si>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</si>
  <si>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</si>
  <si>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</si>
  <si>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</si>
  <si>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</si>
  <si>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</si>
  <si>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</si>
  <si>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</si>
  <si>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</si>
  <si>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</si>
  <si>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</si>
  <si>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</si>
  <si>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</si>
  <si>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</si>
  <si>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</si>
  <si>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</si>
  <si>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</si>
  <si>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</si>
  <si>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</si>
  <si>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</si>
  <si>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</si>
  <si>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</si>
  <si>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</si>
  <si>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</si>
  <si>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</si>
  <si>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</si>
  <si>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</si>
  <si>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</si>
  <si>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</si>
  <si>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</si>
  <si>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</si>
  <si>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</si>
  <si>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</si>
  <si>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</si>
  <si>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</si>
  <si>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</si>
  <si>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</si>
  <si>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</si>
  <si>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</si>
  <si>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</si>
  <si>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</si>
  <si>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</si>
  <si>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</si>
  <si>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</si>
  <si>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</si>
  <si>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</si>
  <si>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</si>
  <si>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</si>
  <si>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</si>
  <si>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</si>
  <si>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</si>
  <si>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</si>
  <si>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</si>
  <si>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</si>
  <si>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</si>
  <si>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</si>
  <si>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</si>
  <si>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</si>
  <si>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</si>
  <si>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</si>
  <si>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</si>
  <si>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</si>
  <si>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</si>
  <si>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</si>
  <si>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</si>
  <si>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</si>
  <si>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</si>
  <si>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</si>
  <si>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</si>
  <si>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</si>
  <si>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</si>
  <si>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</si>
  <si>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</si>
  <si>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</si>
  <si>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</si>
  <si>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</si>
  <si>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</si>
  <si>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</si>
  <si>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</si>
  <si>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</si>
  <si>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</si>
  <si>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</si>
  <si>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</si>
  <si>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</si>
  <si>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</si>
  <si>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</si>
  <si>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</si>
  <si>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</si>
  <si>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</si>
  <si>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</si>
  <si>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</si>
  <si>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</si>
  <si>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</si>
  <si>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</si>
  <si>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</si>
  <si>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</si>
  <si>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</si>
  <si>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</si>
  <si>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</si>
  <si>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</si>
  <si>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</si>
  <si>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</si>
  <si>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</si>
  <si>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</si>
  <si>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</si>
  <si>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</si>
  <si>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</si>
  <si>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</si>
  <si>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</si>
  <si>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</si>
  <si>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</si>
  <si>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</si>
  <si>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</si>
  <si>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</si>
  <si>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</si>
  <si>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</si>
  <si>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</si>
  <si>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</si>
  <si>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</si>
  <si>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</si>
  <si>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</si>
  <si>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</si>
  <si>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</si>
  <si>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</si>
  <si>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</si>
  <si>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</si>
  <si>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</si>
  <si>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</si>
  <si>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</si>
  <si>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</si>
  <si>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</si>
  <si>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</si>
  <si>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</si>
  <si>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</si>
  <si>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</si>
  <si>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</si>
  <si>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</si>
  <si>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</si>
  <si>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</si>
  <si>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</si>
  <si>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</si>
  <si>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</si>
  <si>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</si>
  <si>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</si>
  <si>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</si>
  <si>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</si>
  <si>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</si>
  <si>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</si>
  <si>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</si>
  <si>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</si>
  <si>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</si>
  <si>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</si>
  <si>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</si>
  <si>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</si>
  <si>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</si>
  <si>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</si>
  <si>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</si>
  <si>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</si>
  <si>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</si>
  <si>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</si>
  <si>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</si>
  <si>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</si>
  <si>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</si>
  <si>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</si>
  <si>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</si>
  <si>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</si>
  <si>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</si>
  <si>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</si>
  <si>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</si>
  <si>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</si>
  <si>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</si>
  <si>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</si>
  <si>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</si>
  <si>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</si>
  <si>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</si>
  <si>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</si>
  <si>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</si>
  <si>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</si>
  <si>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</si>
  <si>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</si>
  <si>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</si>
  <si>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</si>
  <si>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</si>
  <si>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</si>
  <si>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</si>
  <si>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</si>
  <si>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</si>
  <si>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</si>
  <si>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</si>
  <si>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</si>
  <si>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</si>
  <si>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</si>
  <si>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</si>
  <si>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</si>
  <si>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</si>
  <si>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</si>
  <si>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</si>
  <si>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</si>
  <si>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</si>
  <si>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</si>
  <si>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</si>
  <si>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</si>
  <si>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</si>
  <si>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</si>
  <si>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</si>
  <si>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</si>
  <si>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</si>
  <si>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</si>
  <si>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</si>
  <si>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</si>
  <si>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</si>
  <si>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</si>
  <si>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</si>
  <si>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</si>
  <si>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</si>
  <si>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</si>
  <si>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</si>
  <si>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</si>
  <si>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</si>
  <si>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</si>
  <si>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</si>
  <si>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</si>
  <si>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</si>
  <si>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</si>
  <si>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</si>
  <si>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</si>
  <si>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</si>
  <si>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</si>
  <si>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</si>
  <si>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</si>
  <si>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</si>
  <si>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</si>
  <si>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</si>
  <si>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</si>
  <si>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</si>
  <si>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</si>
  <si>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</si>
  <si>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</si>
  <si>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</si>
  <si>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</si>
  <si>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</si>
  <si>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</si>
  <si>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</si>
  <si>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</si>
  <si>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</si>
  <si>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</si>
  <si>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</si>
  <si>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</si>
  <si>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</si>
  <si>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</si>
  <si>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</si>
  <si>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</si>
  <si>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</si>
  <si>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</si>
  <si>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</si>
  <si>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</si>
  <si>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</si>
  <si>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</si>
  <si>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</si>
  <si>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</si>
  <si>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</si>
  <si>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</si>
  <si>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</si>
  <si>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</si>
  <si>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</si>
  <si>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</si>
  <si>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</si>
  <si>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</si>
  <si>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</si>
  <si>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</si>
  <si>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</si>
  <si>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</si>
  <si>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</si>
  <si>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</si>
  <si>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</si>
  <si>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</si>
  <si>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</si>
  <si>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</si>
  <si>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</si>
  <si>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</si>
  <si>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</si>
  <si>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</si>
  <si>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</si>
  <si>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</si>
  <si>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</si>
  <si>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</si>
  <si>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</si>
  <si>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</si>
  <si>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</si>
  <si>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</si>
  <si>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</si>
  <si>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</si>
  <si>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</si>
  <si>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</si>
  <si>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</si>
  <si>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</si>
  <si>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</si>
  <si>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</si>
  <si>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</si>
  <si>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</si>
  <si>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</si>
  <si>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</si>
  <si>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</si>
  <si>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</si>
  <si>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</si>
  <si>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</si>
  <si>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</si>
  <si>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</si>
  <si>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</si>
  <si>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</si>
  <si>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</si>
  <si>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</si>
  <si>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</si>
  <si>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</si>
  <si>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</si>
  <si>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</si>
  <si>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</si>
  <si>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</si>
  <si>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</si>
  <si>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</si>
  <si>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</si>
  <si>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</si>
  <si>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</si>
  <si>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</si>
  <si>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</si>
  <si>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</si>
  <si>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</si>
  <si>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</si>
  <si>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</si>
  <si>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</si>
  <si>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</si>
  <si>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</si>
  <si>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</si>
  <si>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</si>
  <si>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</si>
  <si>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</si>
  <si>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</si>
  <si>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</si>
  <si>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</si>
  <si>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</si>
  <si>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</si>
  <si>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</si>
  <si>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</si>
  <si>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</si>
  <si>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</si>
  <si>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</si>
  <si>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</si>
  <si>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</si>
  <si>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</si>
  <si>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</si>
  <si>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</si>
  <si>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</si>
  <si>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</si>
  <si>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</si>
  <si>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</si>
  <si>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</si>
  <si>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</si>
  <si>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</si>
  <si>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</si>
  <si>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</si>
  <si>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</si>
  <si>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</si>
  <si>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</si>
  <si>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</si>
  <si>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</si>
  <si>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</si>
  <si>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</si>
  <si>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</si>
  <si>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</si>
  <si>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</si>
  <si>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</si>
  <si>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</si>
  <si>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</si>
  <si>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</si>
  <si>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</si>
  <si>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</si>
  <si>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</si>
  <si>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</si>
  <si>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</si>
  <si>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</si>
  <si>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</si>
  <si>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</si>
  <si>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</si>
  <si>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</si>
  <si>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</si>
  <si>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</si>
  <si>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</si>
  <si>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</si>
  <si>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</si>
  <si>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</si>
  <si>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</si>
  <si>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</si>
  <si>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</si>
  <si>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Count of Sub-Category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</si>
  <si>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</si>
  <si>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</si>
  <si>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</si>
  <si>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</si>
  <si>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</si>
  <si>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</si>
  <si>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</si>
  <si>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</si>
  <si>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</si>
  <si>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</si>
  <si>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</si>
  <si>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</si>
  <si>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</si>
  <si>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</si>
  <si>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</si>
  <si>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</si>
  <si>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</si>
  <si>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</si>
  <si>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</si>
  <si>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</si>
  <si>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</si>
  <si>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</si>
  <si>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</si>
  <si>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</si>
  <si>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</si>
  <si>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</si>
  <si>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</si>
  <si>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</si>
  <si>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</si>
  <si>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</si>
  <si>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</si>
  <si>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</si>
  <si>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</si>
  <si>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</si>
  <si>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</si>
  <si>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Average Successful</t>
  </si>
  <si>
    <t>Median Successful</t>
  </si>
  <si>
    <t>Minimum Successful</t>
  </si>
  <si>
    <t>Maximum Number Successful</t>
  </si>
  <si>
    <t>Standard Deviation of Successful</t>
  </si>
  <si>
    <t>Varience of Successful</t>
  </si>
  <si>
    <t>Average Failed</t>
  </si>
  <si>
    <t>Median Failed</t>
  </si>
  <si>
    <t>Minimum Failed</t>
  </si>
  <si>
    <t>Maximum Number Failed</t>
  </si>
  <si>
    <t>Varience of Failed</t>
  </si>
  <si>
    <t>Standard Deviation of Failed</t>
  </si>
  <si>
    <t>Z-Scores (to check for validation)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</si>
</sst>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9" fontId="1" fillId="0" borderId="0" xfId="2" applyFont="1"/>
    <xf numFmtId="1" fontId="0" fillId="0" borderId="0" xfId="2" applyNumberFormat="1" applyFont="1"/>
    <xf numFmtId="16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[ExcelHomework.xlsx]Category Stats!PivotTable1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5D-448F-B834-659578B80A81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5D-448F-B834-659578B80A81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5D-448F-B834-659578B80A81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5D-448F-B834-659578B80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2699712"/>
        <c:axId val="542700128"/>
      </c:barChart>
      <c:catAx>
        <c:axId val="54269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00128"/>
        <c:crosses val="autoZero"/>
        <c:auto val="1"/>
        <c:lblAlgn val="ctr"/>
        <c:lblOffset val="100"/>
        <c:noMultiLvlLbl val="0"/>
      </c:catAx>
      <c:valAx>
        <c:axId val="54270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9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[ExcelHomework.xlsx]Subcategory Stats!PivotTable2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DF-4DA3-A2E8-7CE06C2DABB2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DF-4DA3-A2E8-7CE06C2DABB2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DF-4DA3-A2E8-7CE06C2DABB2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DF-4DA3-A2E8-7CE06C2DA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2173264"/>
        <c:axId val="562172432"/>
      </c:barChart>
      <c:catAx>
        <c:axId val="56217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172432"/>
        <c:crosses val="autoZero"/>
        <c:auto val="1"/>
        <c:lblAlgn val="ctr"/>
        <c:lblOffset val="100"/>
        <c:noMultiLvlLbl val="0"/>
      </c:catAx>
      <c:valAx>
        <c:axId val="56217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17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[ExcelHomework.xlsx]Outcome by Launchdate!PivotTable3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Launchdate'!$B$4:$B$5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E7-447E-9229-82384465AD33}"/>
            </c:ext>
          </c:extLst>
        </c:ser>
        <c:ser>
          <c:idx val="1"/>
          <c:order val="1"/>
          <c:tx>
            <c:strRef>
              <c:f>'Outcome by Launchdate'!$C$4:$C$5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E7-447E-9229-82384465AD33}"/>
            </c:ext>
          </c:extLst>
        </c:ser>
        <c:ser>
          <c:idx val="2"/>
          <c:order val="2"/>
          <c:tx>
            <c:strRef>
              <c:f>'Outcome by Launchdate'!$D$4:$D$5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E7-447E-9229-82384465AD33}"/>
            </c:ext>
          </c:extLst>
        </c:ser>
        <c:ser>
          <c:idx val="3"/>
          <c:order val="3"/>
          <c:tx>
            <c:strRef>
              <c:f>'Outcome by Launchdate'!$E$4:$E$5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E7-447E-9229-82384465A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558896"/>
        <c:axId val="431560976"/>
      </c:lineChart>
      <c:catAx>
        <c:axId val="43155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60976"/>
        <c:crosses val="autoZero"/>
        <c:auto val="1"/>
        <c:lblAlgn val="ctr"/>
        <c:lblOffset val="100"/>
        <c:noMultiLvlLbl val="0"/>
      </c:catAx>
      <c:valAx>
        <c:axId val="43156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5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vs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%Success vs Amount'!$F$1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%Success vs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%Success vs Amount'!$F$2:$F$13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82-409B-A687-4FB6CE298E78}"/>
            </c:ext>
          </c:extLst>
        </c:ser>
        <c:ser>
          <c:idx val="5"/>
          <c:order val="5"/>
          <c:tx>
            <c:strRef>
              <c:f>'Bonus %Success vs Amount'!$G$1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%Success vs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%Success vs Amount'!$G$2:$G$13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82-409B-A687-4FB6CE298E78}"/>
            </c:ext>
          </c:extLst>
        </c:ser>
        <c:ser>
          <c:idx val="6"/>
          <c:order val="6"/>
          <c:tx>
            <c:strRef>
              <c:f>'Bonus %Success vs Amount'!$H$1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%Success vs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%Success vs Amount'!$H$2:$H$13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82-409B-A687-4FB6CE298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280192"/>
        <c:axId val="6312826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%Success vs Amount'!$B$1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%Success vs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%Success vs Amount'!$B$2:$B$13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F82-409B-A687-4FB6CE298E7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%Success vs Amount'!$C$1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%Success vs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%Success vs Amount'!$C$2:$C$13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F82-409B-A687-4FB6CE298E7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%Success vs Amount'!$D$1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%Success vs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%Success vs Amount'!$D$2:$D$13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F82-409B-A687-4FB6CE298E7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%Success vs Amount'!$E$1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%Success vs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%Success vs Amount'!$E$2:$E$13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F82-409B-A687-4FB6CE298E78}"/>
                  </c:ext>
                </c:extLst>
              </c15:ser>
            </c15:filteredLineSeries>
          </c:ext>
        </c:extLst>
      </c:lineChart>
      <c:catAx>
        <c:axId val="631280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282688"/>
        <c:crosses val="autoZero"/>
        <c:auto val="1"/>
        <c:lblAlgn val="ctr"/>
        <c:lblOffset val="100"/>
        <c:noMultiLvlLbl val="0"/>
      </c:catAx>
      <c:valAx>
        <c:axId val="63128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Chances</a:t>
                </a:r>
                <a:r>
                  <a:rPr lang="en-US" baseline="0"/>
                  <a:t> of Success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28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3</xdr:row>
      <xdr:rowOff>9525</xdr:rowOff>
    </xdr:from>
    <xdr:to>
      <xdr:col>20</xdr:col>
      <xdr:colOff>390525</xdr:colOff>
      <xdr:row>29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CD4CD6-49BD-4EAE-9C16-40ACB711D2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528637</xdr:colOff>
      <xdr:row>0</xdr:row>
      <xdr:rowOff>114300</xdr:rowOff>
    </xdr:from>
    <xdr:to>
      <xdr:col>21</xdr:col>
      <xdr:colOff>466725</xdr:colOff>
      <xdr:row>26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3DF341-745F-4C91-B769-200A401EC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</xdr:colOff>
      <xdr:row>1</xdr:row>
      <xdr:rowOff>123825</xdr:rowOff>
    </xdr:from>
    <xdr:to>
      <xdr:col>31</xdr:col>
      <xdr:colOff>695325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77BF29-6007-463E-A571-14D2F9D303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957261</xdr:colOff>
      <xdr:row>13</xdr:row>
      <xdr:rowOff>142875</xdr:rowOff>
    </xdr:from>
    <xdr:to>
      <xdr:col>13</xdr:col>
      <xdr:colOff>28574</xdr:colOff>
      <xdr:row>32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146973-64AD-4183-8BA2-72E0A41A9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Vallejo" refreshedDate="44549.602559606479" createdVersion="7" refreshedVersion="7" minRefreshableVersion="3" recordCount="4114" xr:uid="{D606ACE6-04D9-40C6-A52A-71EB91E5652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Vallejo" refreshedDate="44549.632144907409" createdVersion="7" refreshedVersion="7" minRefreshableVersion="3" recordCount="4114" xr:uid="{204FE1F7-7F6D-43F2-A5DD-3CAFB6F57A9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3DA330-DD1E-4CB4-9C9F-76A4B652C9F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F267A1-1C9A-4FFD-9EC7-39DB79B93BE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9DBA10-C9A2-4E3D-9E62-E279D2F8B34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F2" sqref="F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28515625" style="6" customWidth="1"/>
    <col min="16" max="16" width="20.5703125" customWidth="1"/>
    <col min="17" max="17" width="17.42578125" customWidth="1"/>
    <col min="18" max="18" width="18.7109375" customWidth="1"/>
    <col min="19" max="19" width="24.1406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>(E2/D2)*100</f>
        <v>136.85882352941178</v>
      </c>
      <c r="P2" s="5">
        <f>(E2/L2)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ref="O3:O66" si="0">(E3/D3)*100</f>
        <v>142.60827250608273</v>
      </c>
      <c r="P3" s="5">
        <f t="shared" ref="P3:P66" si="1">(E3/L3)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0"/>
        <v>105</v>
      </c>
      <c r="P4" s="5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2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0"/>
        <v>100</v>
      </c>
      <c r="P33" s="5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ref="O67:O130" si="4">(E67/D67)*100</f>
        <v>107.52857142857141</v>
      </c>
      <c r="P67" s="5">
        <f t="shared" ref="P67:P130" si="5">(E67/L67)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4"/>
        <v>100</v>
      </c>
      <c r="P75" s="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ref="O131:O194" si="8">(E131/D131)*100</f>
        <v>0</v>
      </c>
      <c r="P131" s="5" t="e">
        <f t="shared" ref="P131:P194" si="9">(E131/L131)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ref="O195:O258" si="12">(E195/D195)*100</f>
        <v>0</v>
      </c>
      <c r="P195" s="5" t="e">
        <f t="shared" ref="P195:P258" si="13">(E195/L195)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ref="O259:O322" si="16">(E259/D259)*100</f>
        <v>106.72648571428572</v>
      </c>
      <c r="P259" s="5">
        <f t="shared" ref="P259:P322" si="17">(E259/L259)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ref="O323:O386" si="20">(E323/D323)*100</f>
        <v>102.66285714285715</v>
      </c>
      <c r="P323" s="5">
        <f t="shared" ref="P323:P386" si="21">(E323/L323)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ref="O387:O450" si="24">(E387/D387)*100</f>
        <v>105.982</v>
      </c>
      <c r="P387" s="5">
        <f t="shared" ref="P387:P450" si="25">(E387/L387)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ref="O451:O514" si="28">(E451/D451)*100</f>
        <v>2.25</v>
      </c>
      <c r="P451" s="5">
        <f t="shared" ref="P451:P514" si="29">(E451/L451)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ref="O515:O578" si="32">(E515/D515)*100</f>
        <v>13.923999999999999</v>
      </c>
      <c r="P515" s="5">
        <f t="shared" ref="P515:P578" si="33">(E515/L515)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ref="O579:O642" si="36">(E579/D579)*100</f>
        <v>0.2</v>
      </c>
      <c r="P579" s="5">
        <f t="shared" ref="P579:P642" si="37">(E579/L579)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ref="O643:O706" si="40">(E643/D643)*100</f>
        <v>119.16249999999999</v>
      </c>
      <c r="P643" s="5">
        <f t="shared" ref="P643:P706" si="41">(E643/L643)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ref="O707:O770" si="44">(E707/D707)*100</f>
        <v>0.97699999999999987</v>
      </c>
      <c r="P707" s="5">
        <f t="shared" ref="P707:P770" si="45">(E707/L707)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ref="O771:O834" si="48">(E771/D771)*100</f>
        <v>41.4</v>
      </c>
      <c r="P771" s="5">
        <f t="shared" ref="P771:P834" si="49">(E771/L771)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ref="O835:O898" si="52">(E835/D835)*100</f>
        <v>101.66666666666666</v>
      </c>
      <c r="P835" s="5">
        <f t="shared" ref="P835:P898" si="53">(E835/L835)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ref="O899:O962" si="56">(E899/D899)*100</f>
        <v>0</v>
      </c>
      <c r="P899" s="5" t="e">
        <f t="shared" ref="P899:P962" si="57">(E899/L899)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ref="O963:O1026" si="60">(E963/D963)*100</f>
        <v>42.188421052631583</v>
      </c>
      <c r="P963" s="5">
        <f t="shared" ref="P963:P1026" si="61">(E963/L963)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ref="O1027:O1090" si="64">(E1027/D1027)*100</f>
        <v>109.92831428571431</v>
      </c>
      <c r="P1027" s="5">
        <f t="shared" ref="P1027:P1090" si="65">(E1027/L1027)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ref="O1091:O1154" si="68">(E1091/D1091)*100</f>
        <v>7.8266666666666662</v>
      </c>
      <c r="P1091" s="5">
        <f t="shared" ref="P1091:P1154" si="69">(E1091/L1091)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ref="O1155:O1218" si="72">(E1155/D1155)*100</f>
        <v>0.625</v>
      </c>
      <c r="P1155" s="5">
        <f t="shared" ref="P1155:P1218" si="73">(E1155/L1155)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ref="O1219:O1282" si="76">(E1219/D1219)*100</f>
        <v>102.60000000000001</v>
      </c>
      <c r="P1219" s="5">
        <f t="shared" ref="P1219:P1282" si="77">(E1219/L1219)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ref="O1283:O1346" si="80">(E1283/D1283)*100</f>
        <v>110.71428571428572</v>
      </c>
      <c r="P1283" s="5">
        <f t="shared" ref="P1283:P1346" si="81">(E1283/L1283)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ref="O1347:O1410" si="84">(E1347/D1347)*100</f>
        <v>125</v>
      </c>
      <c r="P1347" s="5">
        <f t="shared" ref="P1347:P1410" si="85">(E1347/L1347)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ref="O1411:O1474" si="88">(E1411/D1411)*100</f>
        <v>0</v>
      </c>
      <c r="P1411" s="5" t="e">
        <f t="shared" ref="P1411:P1474" si="89">(E1411/L1411)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ref="O1475:O1538" si="92">(E1475/D1475)*100</f>
        <v>120.51600000000001</v>
      </c>
      <c r="P1475" s="5">
        <f t="shared" ref="P1475:P1538" si="93">(E1475/L1475)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ref="O1539:O1602" si="96">(E1539/D1539)*100</f>
        <v>179.9</v>
      </c>
      <c r="P1539" s="5">
        <f t="shared" ref="P1539:P1602" si="97">(E1539/L1539)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ref="O1603:O1666" si="100">(E1603/D1603)*100</f>
        <v>108.2492</v>
      </c>
      <c r="P1603" s="5">
        <f t="shared" ref="P1603:P1666" si="101">(E1603/L1603)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ref="O1667:O1730" si="104">(E1667/D1667)*100</f>
        <v>119.45714285714286</v>
      </c>
      <c r="P1667" s="5">
        <f t="shared" ref="P1667:P1730" si="105">(E1667/L1667)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ref="O1731:O1794" si="108">(E1731/D1731)*100</f>
        <v>0</v>
      </c>
      <c r="P1731" s="5" t="e">
        <f t="shared" ref="P1731:P1794" si="109">(E1731/L1731)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ref="O1795:O1858" si="112">(E1795/D1795)*100</f>
        <v>1.3333333333333335</v>
      </c>
      <c r="P1795" s="5">
        <f t="shared" ref="P1795:P1858" si="113">(E1795/L1795)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ref="O1859:O1922" si="116">(E1859/D1859)*100</f>
        <v>100</v>
      </c>
      <c r="P1859" s="5">
        <f t="shared" ref="P1859:P1922" si="117">(E1859/L1859)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ref="O1923:O1986" si="120">(E1923/D1923)*100</f>
        <v>136.80000000000001</v>
      </c>
      <c r="P1923" s="5">
        <f t="shared" ref="P1923:P1986" si="121">(E1923/L1923)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ref="O1987:O2050" si="124">(E1987/D1987)*100</f>
        <v>3.1875</v>
      </c>
      <c r="P1987" s="5">
        <f t="shared" ref="P1987:P2050" si="125">(E1987/L1987)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ref="O2051:O2114" si="128">(E2051/D2051)*100</f>
        <v>120.19070000000001</v>
      </c>
      <c r="P2051" s="5">
        <f t="shared" ref="P2051:P2114" si="129">(E2051/L2051)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ref="O2115:O2178" si="132">(E2115/D2115)*100</f>
        <v>104.85714285714285</v>
      </c>
      <c r="P2115" s="5">
        <f t="shared" ref="P2115:P2178" si="133">(E2115/L2115)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ref="O2179:O2242" si="136">(E2179/D2179)*100</f>
        <v>100.12</v>
      </c>
      <c r="P2179" s="5">
        <f t="shared" ref="P2179:P2242" si="137">(E2179/L2179)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ref="O2243:O2306" si="140">(E2243/D2243)*100</f>
        <v>806.4</v>
      </c>
      <c r="P2243" s="5">
        <f t="shared" ref="P2243:P2306" si="141">(E2243/L2243)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ref="O2307:O2370" si="144">(E2307/D2307)*100</f>
        <v>101.22777777777779</v>
      </c>
      <c r="P2307" s="5">
        <f t="shared" ref="P2307:P2370" si="145">(E2307/L2307)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ref="O2371:O2434" si="148">(E2371/D2371)*100</f>
        <v>0</v>
      </c>
      <c r="P2371" s="5" t="e">
        <f t="shared" ref="P2371:P2434" si="149">(E2371/L2371)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ref="O2435:O2498" si="152">(E2435/D2435)*100</f>
        <v>0</v>
      </c>
      <c r="P2435" s="5" t="e">
        <f t="shared" ref="P2435:P2498" si="153">(E2435/L2435)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ref="O2499:O2562" si="156">(E2499/D2499)*100</f>
        <v>112.7715</v>
      </c>
      <c r="P2499" s="5">
        <f t="shared" ref="P2499:P2562" si="157">(E2499/L2499)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ref="O2563:O2626" si="160">(E2563/D2563)*100</f>
        <v>0</v>
      </c>
      <c r="P2563" s="5" t="e">
        <f t="shared" ref="P2563:P2626" si="161">(E2563/L2563)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ref="O2627:O2690" si="164">(E2627/D2627)*100</f>
        <v>956</v>
      </c>
      <c r="P2627" s="5">
        <f t="shared" ref="P2627:P2690" si="165">(E2627/L2627)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ref="O2691:O2754" si="168">(E2691/D2691)*100</f>
        <v>2.8571428571428571E-3</v>
      </c>
      <c r="P2691" s="5">
        <f t="shared" ref="P2691:P2754" si="169">(E2691/L2691)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ref="O2755:O2818" si="172">(E2755/D2755)*100</f>
        <v>19</v>
      </c>
      <c r="P2755" s="5">
        <f t="shared" ref="P2755:P2818" si="173">(E2755/L2755)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ref="O2819:O2882" si="176">(E2819/D2819)*100</f>
        <v>130</v>
      </c>
      <c r="P2819" s="5">
        <f t="shared" ref="P2819:P2882" si="177">(E2819/L2819)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ref="O2883:O2946" si="180">(E2883/D2883)*100</f>
        <v>0</v>
      </c>
      <c r="P2883" s="5" t="e">
        <f t="shared" ref="P2883:P2946" si="181">(E2883/L2883)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ref="O2947:O3010" si="184">(E2947/D2947)*100</f>
        <v>0</v>
      </c>
      <c r="P2947" s="5" t="e">
        <f t="shared" ref="P2947:P3010" si="185">(E2947/L2947)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ref="O3011:O3074" si="188">(E3011/D3011)*100</f>
        <v>119.756</v>
      </c>
      <c r="P3011" s="5">
        <f t="shared" ref="P3011:P3074" si="189">(E3011/L3011)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ref="O3075:O3138" si="192">(E3075/D3075)*100</f>
        <v>2.3035714285714284E-2</v>
      </c>
      <c r="P3075" s="5">
        <f t="shared" ref="P3075:P3138" si="193">(E3075/L3075)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ref="O3139:O3202" si="196">(E3139/D3139)*100</f>
        <v>3.3333333333333335</v>
      </c>
      <c r="P3139" s="5">
        <f t="shared" ref="P3139:P3202" si="197">(E3139/L3139)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ref="O3203:O3266" si="200">(E3203/D3203)*100</f>
        <v>1.25</v>
      </c>
      <c r="P3203" s="5">
        <f t="shared" ref="P3203:P3266" si="201">(E3203/L3203)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ref="O3267:O3330" si="204">(E3267/D3267)*100</f>
        <v>164</v>
      </c>
      <c r="P3267" s="5">
        <f t="shared" ref="P3267:P3330" si="205">(E3267/L3267)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ref="O3331:O3394" si="208">(E3331/D3331)*100</f>
        <v>116.8</v>
      </c>
      <c r="P3331" s="5">
        <f t="shared" ref="P3331:P3394" si="209">(E3331/L3331)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ref="O3395:O3458" si="212">(E3395/D3395)*100</f>
        <v>105.80000000000001</v>
      </c>
      <c r="P3395" s="5">
        <f t="shared" ref="P3395:P3458" si="213">(E3395/L3395)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ref="O3459:O3522" si="216">(E3459/D3459)*100</f>
        <v>140.19999999999999</v>
      </c>
      <c r="P3459" s="5">
        <f t="shared" ref="P3459:P3522" si="217">(E3459/L3459)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ref="O3523:O3586" si="220">(E3523/D3523)*100</f>
        <v>169.42857142857144</v>
      </c>
      <c r="P3523" s="5">
        <f t="shared" ref="P3523:P3586" si="221">(E3523/L3523)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ref="O3587:O3650" si="224">(E3587/D3587)*100</f>
        <v>119.11764705882352</v>
      </c>
      <c r="P3587" s="5">
        <f t="shared" ref="P3587:P3650" si="225">(E3587/L3587)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ref="O3651:O3714" si="228">(E3651/D3651)*100</f>
        <v>104</v>
      </c>
      <c r="P3651" s="5">
        <f t="shared" ref="P3651:P3714" si="229">(E3651/L3651)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ref="O3715:O3778" si="232">(E3715/D3715)*100</f>
        <v>101.49999999999999</v>
      </c>
      <c r="P3715" s="5">
        <f t="shared" ref="P3715:P3778" si="233">(E3715/L3715)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ref="O3779:O3842" si="236">(E3779/D3779)*100</f>
        <v>143.19999999999999</v>
      </c>
      <c r="P3779" s="5">
        <f t="shared" ref="P3779:P3842" si="237">(E3779/L3779)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ref="O3843:O3906" si="240">(E3843/D3843)*100</f>
        <v>8.7200000000000006</v>
      </c>
      <c r="P3843" s="5">
        <f t="shared" ref="P3843:P3906" si="241">(E3843/L3843)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ref="O3907:O3970" si="244">(E3907/D3907)*100</f>
        <v>11.533333333333333</v>
      </c>
      <c r="P3907" s="5">
        <f t="shared" ref="P3907:P3970" si="245">(E3907/L3907)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ref="O3971:O4034" si="248">(E3971/D3971)*100</f>
        <v>7.4690265486725664</v>
      </c>
      <c r="P3971" s="5">
        <f t="shared" ref="P3971:P4034" si="249">(E3971/L3971)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ref="O4035:O4098" si="252">(E4035/D4035)*100</f>
        <v>25.698702928870294</v>
      </c>
      <c r="P4035" s="5">
        <f t="shared" ref="P4035:P4098" si="253">(E4035/L4035)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ref="O4099:O4115" si="256">(E4099/D4099)*100</f>
        <v>0</v>
      </c>
      <c r="P4099" s="5" t="e">
        <f t="shared" ref="P4099:P4115" si="257">(E4099/L4099)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00000000-0001-0000-0000-000000000000}"/>
  <conditionalFormatting sqref="F1:F1048576">
    <cfRule type="containsText" dxfId="11" priority="5" operator="containsText" text="live">
      <formula>NOT(ISERROR(SEARCH("live",F1)))</formula>
    </cfRule>
    <cfRule type="containsText" dxfId="10" priority="6" operator="containsText" text="canceled">
      <formula>NOT(ISERROR(SEARCH("canceled",F1)))</formula>
    </cfRule>
    <cfRule type="containsText" dxfId="9" priority="7" operator="containsText" text="failed">
      <formula>NOT(ISERROR(SEARCH("failed",F1)))</formula>
    </cfRule>
    <cfRule type="containsText" dxfId="8" priority="8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B3088-46B4-41EA-BAEE-C1BC28F596BA}">
  <dimension ref="A1:F14"/>
  <sheetViews>
    <sheetView workbookViewId="0">
      <selection activeCell="C24" sqref="C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52515-B852-4E7D-9AE4-768BDBAE48FF}">
  <dimension ref="A1:F47"/>
  <sheetViews>
    <sheetView workbookViewId="0">
      <selection activeCell="G24" sqref="G24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8365</v>
      </c>
      <c r="B4" s="7" t="s">
        <v>8362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45797-DD20-4743-A872-1E4704CAC446}">
  <dimension ref="A1:F18"/>
  <sheetViews>
    <sheetView workbookViewId="0">
      <selection activeCell="E10" sqref="E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3.85546875" bestFit="1" customWidth="1"/>
    <col min="15" max="15" width="8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1" width="4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1" bestFit="1" customWidth="1"/>
    <col min="28" max="28" width="6.140625" bestFit="1" customWidth="1"/>
    <col min="29" max="29" width="4.28515625" bestFit="1" customWidth="1"/>
    <col min="30" max="30" width="4.5703125" bestFit="1" customWidth="1"/>
    <col min="32" max="32" width="11.85546875" bestFit="1" customWidth="1"/>
    <col min="33" max="33" width="4.28515625" bestFit="1" customWidth="1"/>
    <col min="34" max="34" width="4.5703125" bestFit="1" customWidth="1"/>
    <col min="35" max="35" width="4.140625" bestFit="1" customWidth="1"/>
    <col min="36" max="36" width="4.85546875" bestFit="1" customWidth="1"/>
    <col min="37" max="38" width="4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5" max="45" width="11.28515625" bestFit="1" customWidth="1"/>
  </cols>
  <sheetData>
    <row r="1" spans="1:6" x14ac:dyDescent="0.25">
      <c r="A1" s="7" t="s">
        <v>8308</v>
      </c>
      <c r="B1" t="s">
        <v>8364</v>
      </c>
    </row>
    <row r="2" spans="1:6" x14ac:dyDescent="0.25">
      <c r="A2" s="7" t="s">
        <v>8380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3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3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3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3" t="s">
        <v>8377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3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3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3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3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3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3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3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3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3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2792A-4BAB-4F6B-85AC-9050EB611CA5}">
  <dimension ref="A1:H13"/>
  <sheetViews>
    <sheetView workbookViewId="0">
      <selection activeCell="C22" sqref="C2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14062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8388</v>
      </c>
      <c r="G1" t="s">
        <v>8386</v>
      </c>
      <c r="H1" t="s">
        <v>8387</v>
      </c>
    </row>
    <row r="2" spans="1:8" x14ac:dyDescent="0.25">
      <c r="A2" t="s">
        <v>8389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8390</v>
      </c>
      <c r="B3">
        <f>COUNTIFS(Sheet1!F:F,"successful",Sheet1!D:D,"&gt;=1000",Sheet1!D:D,"&lt;5000")</f>
        <v>932</v>
      </c>
      <c r="C3">
        <f>COUNTIFS(Sheet1!F:F,"failed",Sheet1!D:D,"&gt;=1000",Sheet1!D:D,"&lt;5000")</f>
        <v>420</v>
      </c>
      <c r="D3">
        <f>COUNTIFS(Sheet1!$F:$F,"canceled",Sheet1!$D:$D,"&gt;=1000",Sheet1!$D:$D,"&lt;5000")</f>
        <v>60</v>
      </c>
      <c r="E3">
        <f>SUM(B3:D3)</f>
        <v>1412</v>
      </c>
      <c r="F3" s="6">
        <f t="shared" ref="F3:F13" si="0">B3/E3</f>
        <v>0.66005665722379603</v>
      </c>
      <c r="G3" s="6">
        <f t="shared" ref="G3:G13" si="1">C3/E3</f>
        <v>0.29745042492917845</v>
      </c>
      <c r="H3" s="6">
        <f t="shared" ref="H3:H13" si="2">D3/E3</f>
        <v>4.2492917847025496E-2</v>
      </c>
    </row>
    <row r="4" spans="1:8" x14ac:dyDescent="0.25">
      <c r="A4" t="s">
        <v>8391</v>
      </c>
      <c r="B4">
        <f>COUNTIFS(Sheet1!$F:$F,"successful",Sheet1!$D:$D,"&gt;=5000",Sheet1!$D:$D,"&lt;10000")</f>
        <v>381</v>
      </c>
      <c r="C4">
        <f>COUNTIFS(Sheet1!$F:$F,"failed",Sheet1!$D:$D,"&gt;=5000",Sheet1!$D:$D,"&lt;10000")</f>
        <v>283</v>
      </c>
      <c r="D4">
        <f>COUNTIFS(Sheet1!$F:$F,"canceled",Sheet1!$D:$D,"&gt;=5000",Sheet1!$D:$D,"&lt;10000")</f>
        <v>52</v>
      </c>
      <c r="E4">
        <f t="shared" ref="E4:E13" si="3">SUM(B4:D4)</f>
        <v>716</v>
      </c>
      <c r="F4" s="6">
        <f t="shared" si="0"/>
        <v>0.53212290502793291</v>
      </c>
      <c r="G4" s="6">
        <f t="shared" si="1"/>
        <v>0.39525139664804471</v>
      </c>
      <c r="H4" s="6">
        <f t="shared" si="2"/>
        <v>7.2625698324022353E-2</v>
      </c>
    </row>
    <row r="5" spans="1:8" x14ac:dyDescent="0.25">
      <c r="A5" t="s">
        <v>8392</v>
      </c>
      <c r="B5">
        <f>COUNTIFS(Sheet1!$F:$F,"successful",Sheet1!$D:$D,"&gt;=10000",Sheet1!$D:$D,"&lt;15000")</f>
        <v>168</v>
      </c>
      <c r="C5">
        <f>COUNTIFS(Sheet1!$F:$F,"failed",Sheet1!$D:$D,"&gt;=10000",Sheet1!$D:$D,"&lt;15000")</f>
        <v>144</v>
      </c>
      <c r="D5">
        <f>COUNTIFS(Sheet1!$F:$F,"canceled",Sheet1!$D:$D,"&gt;=10000",Sheet1!$D:$D,"&lt;15000")</f>
        <v>40</v>
      </c>
      <c r="E5">
        <f t="shared" si="3"/>
        <v>352</v>
      </c>
      <c r="F5" s="6">
        <f t="shared" si="0"/>
        <v>0.47727272727272729</v>
      </c>
      <c r="G5" s="6">
        <f t="shared" si="1"/>
        <v>0.40909090909090912</v>
      </c>
      <c r="H5" s="6">
        <f t="shared" si="2"/>
        <v>0.11363636363636363</v>
      </c>
    </row>
    <row r="6" spans="1:8" x14ac:dyDescent="0.25">
      <c r="A6" t="s">
        <v>8393</v>
      </c>
      <c r="B6">
        <f>COUNTIFS(Sheet1!$F:$F,"successful",Sheet1!$D:$D,"&gt;=15000",Sheet1!$D:$D,"&lt;20000")</f>
        <v>94</v>
      </c>
      <c r="C6">
        <f>COUNTIFS(Sheet1!$F:$F,"failed",Sheet1!$D:$D,"&gt;=15000",Sheet1!$D:$D,"&lt;20000")</f>
        <v>90</v>
      </c>
      <c r="D6">
        <f>COUNTIFS(Sheet1!$F:$F,"canceled",Sheet1!$D:$D,"&gt;=15000",Sheet1!$D:$D,"&lt;20000")</f>
        <v>17</v>
      </c>
      <c r="E6">
        <f t="shared" si="3"/>
        <v>201</v>
      </c>
      <c r="F6" s="6">
        <f t="shared" si="0"/>
        <v>0.46766169154228854</v>
      </c>
      <c r="G6" s="6">
        <f t="shared" si="1"/>
        <v>0.44776119402985076</v>
      </c>
      <c r="H6" s="6">
        <f t="shared" si="2"/>
        <v>8.45771144278607E-2</v>
      </c>
    </row>
    <row r="7" spans="1:8" x14ac:dyDescent="0.25">
      <c r="A7" t="s">
        <v>8394</v>
      </c>
      <c r="B7">
        <f>COUNTIFS(Sheet1!$F:$F,"successful",Sheet1!$D:$D,"&gt;=20000",Sheet1!$D:$D,"&lt;25000")</f>
        <v>62</v>
      </c>
      <c r="C7">
        <f>COUNTIFS(Sheet1!$F:$F,"failed",Sheet1!$D:$D,"&gt;=20000",Sheet1!$D:$D,"&lt;25000")</f>
        <v>72</v>
      </c>
      <c r="D7">
        <f>COUNTIFS(Sheet1!$F:$F,"canceled",Sheet1!$D:$D,"&gt;=20000",Sheet1!$D:$D,"&lt;25000")</f>
        <v>14</v>
      </c>
      <c r="E7">
        <f t="shared" si="3"/>
        <v>148</v>
      </c>
      <c r="F7" s="6">
        <f t="shared" si="0"/>
        <v>0.41891891891891891</v>
      </c>
      <c r="G7" s="6">
        <f t="shared" si="1"/>
        <v>0.48648648648648651</v>
      </c>
      <c r="H7" s="6">
        <f t="shared" si="2"/>
        <v>9.45945945945946E-2</v>
      </c>
    </row>
    <row r="8" spans="1:8" x14ac:dyDescent="0.25">
      <c r="A8" t="s">
        <v>8395</v>
      </c>
      <c r="B8">
        <f>COUNTIFS(Sheet1!$F:$F,"successful",Sheet1!$D:$D,"&gt;=25000",Sheet1!$D:$D,"&lt;30000")</f>
        <v>55</v>
      </c>
      <c r="C8">
        <f>COUNTIFS(Sheet1!$F:$F,"failed",Sheet1!$D:$D,"&gt;=25000",Sheet1!$D:$D,"&lt;30000")</f>
        <v>64</v>
      </c>
      <c r="D8">
        <f>COUNTIFS(Sheet1!$F:$F,"canceled",Sheet1!$D:$D,"&gt;=25000",Sheet1!$D:$D,"&lt;30000")</f>
        <v>18</v>
      </c>
      <c r="E8">
        <f t="shared" si="3"/>
        <v>137</v>
      </c>
      <c r="F8" s="6">
        <f t="shared" si="0"/>
        <v>0.40145985401459855</v>
      </c>
      <c r="G8" s="6">
        <f t="shared" si="1"/>
        <v>0.46715328467153283</v>
      </c>
      <c r="H8" s="6">
        <f t="shared" si="2"/>
        <v>0.13138686131386862</v>
      </c>
    </row>
    <row r="9" spans="1:8" x14ac:dyDescent="0.25">
      <c r="A9" t="s">
        <v>8396</v>
      </c>
      <c r="B9">
        <f>COUNTIFS(Sheet1!$F:$F,"successful",Sheet1!$D:$D,"&gt;=30000",Sheet1!$D:$D,"&lt;35000")</f>
        <v>32</v>
      </c>
      <c r="C9">
        <f>COUNTIFS(Sheet1!$F:$F,"failed",Sheet1!$D:$D,"&gt;=30000",Sheet1!$D:$D,"&lt;35000")</f>
        <v>37</v>
      </c>
      <c r="D9">
        <f>COUNTIFS(Sheet1!$F:$F,"canceled",Sheet1!$D:$D,"&gt;=30000",Sheet1!$D:$D,"&lt;35000")</f>
        <v>13</v>
      </c>
      <c r="E9">
        <f t="shared" si="3"/>
        <v>82</v>
      </c>
      <c r="F9" s="6">
        <f t="shared" si="0"/>
        <v>0.3902439024390244</v>
      </c>
      <c r="G9" s="6">
        <f t="shared" si="1"/>
        <v>0.45121951219512196</v>
      </c>
      <c r="H9" s="6">
        <f t="shared" si="2"/>
        <v>0.15853658536585366</v>
      </c>
    </row>
    <row r="10" spans="1:8" x14ac:dyDescent="0.25">
      <c r="A10" t="s">
        <v>8397</v>
      </c>
      <c r="B10">
        <f>COUNTIFS(Sheet1!$F:$F,"successful",Sheet1!$D:$D,"&gt;=35000",Sheet1!$D:$D,"&lt;40000")</f>
        <v>26</v>
      </c>
      <c r="C10">
        <f>COUNTIFS(Sheet1!$F:$F,"failed",Sheet1!$D:$D,"&gt;=35000",Sheet1!$D:$D,"&lt;40000")</f>
        <v>22</v>
      </c>
      <c r="D10">
        <f>COUNTIFS(Sheet1!$F:$F,"canceled",Sheet1!$D:$D,"&gt;=35000",Sheet1!$D:$D,"&lt;40000")</f>
        <v>7</v>
      </c>
      <c r="E10">
        <f t="shared" si="3"/>
        <v>55</v>
      </c>
      <c r="F10" s="6">
        <f t="shared" si="0"/>
        <v>0.47272727272727272</v>
      </c>
      <c r="G10" s="6">
        <f t="shared" si="1"/>
        <v>0.4</v>
      </c>
      <c r="H10" s="6">
        <f t="shared" si="2"/>
        <v>0.12727272727272726</v>
      </c>
    </row>
    <row r="11" spans="1:8" x14ac:dyDescent="0.25">
      <c r="A11" t="s">
        <v>8398</v>
      </c>
      <c r="B11">
        <f>COUNTIFS(Sheet1!$F:$F,"successful",Sheet1!$D:$D,"&gt;=40000",Sheet1!$D:$D,"&lt;45000")</f>
        <v>21</v>
      </c>
      <c r="C11">
        <f>COUNTIFS(Sheet1!$F:$F,"failed",Sheet1!$D:$D,"&gt;=40000",Sheet1!$D:$D,"&lt;45000")</f>
        <v>16</v>
      </c>
      <c r="D11">
        <f>COUNTIFS(Sheet1!$F:$F,"canceled",Sheet1!$D:$D,"&gt;=40000",Sheet1!$D:$D,"&lt;45000")</f>
        <v>6</v>
      </c>
      <c r="E11">
        <f t="shared" si="3"/>
        <v>43</v>
      </c>
      <c r="F11" s="6">
        <f t="shared" si="0"/>
        <v>0.48837209302325579</v>
      </c>
      <c r="G11" s="6">
        <f t="shared" si="1"/>
        <v>0.37209302325581395</v>
      </c>
      <c r="H11" s="6">
        <f t="shared" si="2"/>
        <v>0.13953488372093023</v>
      </c>
    </row>
    <row r="12" spans="1:8" x14ac:dyDescent="0.25">
      <c r="A12" t="s">
        <v>8399</v>
      </c>
      <c r="B12">
        <f>COUNTIFS(Sheet1!$F:$F,"successful",Sheet1!$D:$D,"&gt;=45000",Sheet1!$D:$D,"&lt;50000")</f>
        <v>6</v>
      </c>
      <c r="C12">
        <f>COUNTIFS(Sheet1!$F:$F,"failed",Sheet1!$D:$D,"&gt;=45000",Sheet1!$D:$D,"&lt;50000")</f>
        <v>11</v>
      </c>
      <c r="D12">
        <f>COUNTIFS(Sheet1!$F:$F,"canceled",Sheet1!$D:$D,"&gt;=45000",Sheet1!$D:$D,"&lt;50000")</f>
        <v>4</v>
      </c>
      <c r="E12">
        <f t="shared" si="3"/>
        <v>21</v>
      </c>
      <c r="F12" s="6">
        <f t="shared" si="0"/>
        <v>0.2857142857142857</v>
      </c>
      <c r="G12" s="6">
        <f t="shared" si="1"/>
        <v>0.52380952380952384</v>
      </c>
      <c r="H12" s="6">
        <f t="shared" si="2"/>
        <v>0.19047619047619047</v>
      </c>
    </row>
    <row r="13" spans="1:8" x14ac:dyDescent="0.25">
      <c r="A13" t="s">
        <v>8400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3"/>
        <v>444</v>
      </c>
      <c r="F13" s="6">
        <f t="shared" si="0"/>
        <v>0.19369369369369369</v>
      </c>
      <c r="G13" s="6">
        <f t="shared" si="1"/>
        <v>0.58108108108108103</v>
      </c>
      <c r="H13" s="6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C8EEB-F417-49D1-8BEA-FE43E4E471B4}">
  <dimension ref="A1:M1048575"/>
  <sheetViews>
    <sheetView workbookViewId="0">
      <selection activeCell="K23" sqref="K23"/>
    </sheetView>
  </sheetViews>
  <sheetFormatPr defaultRowHeight="15" x14ac:dyDescent="0.25"/>
  <cols>
    <col min="1" max="1" width="21.28515625" customWidth="1"/>
    <col min="2" max="2" width="13.85546875" bestFit="1" customWidth="1"/>
    <col min="4" max="4" width="18.85546875" customWidth="1"/>
    <col min="5" max="5" width="13.85546875" bestFit="1" customWidth="1"/>
    <col min="9" max="9" width="30.42578125" bestFit="1" customWidth="1"/>
    <col min="10" max="10" width="16.42578125" customWidth="1"/>
    <col min="12" max="12" width="26.5703125" bestFit="1" customWidth="1"/>
  </cols>
  <sheetData>
    <row r="1" spans="1:13" x14ac:dyDescent="0.25">
      <c r="A1" s="1" t="s">
        <v>8218</v>
      </c>
      <c r="B1" s="1" t="s">
        <v>8262</v>
      </c>
      <c r="D1" s="1" t="s">
        <v>8218</v>
      </c>
      <c r="E1" s="1" t="s">
        <v>8262</v>
      </c>
      <c r="I1" t="s">
        <v>8401</v>
      </c>
      <c r="J1">
        <f>AVERAGE(B2:B2186)</f>
        <v>194.42517162471395</v>
      </c>
      <c r="L1" t="s">
        <v>8407</v>
      </c>
      <c r="M1">
        <f>AVERAGE(E2:E1531)</f>
        <v>17.709803921568628</v>
      </c>
    </row>
    <row r="2" spans="1:13" x14ac:dyDescent="0.25">
      <c r="A2" t="s">
        <v>8219</v>
      </c>
      <c r="B2">
        <v>182</v>
      </c>
      <c r="D2" t="s">
        <v>8221</v>
      </c>
      <c r="E2">
        <v>0</v>
      </c>
      <c r="I2" t="s">
        <v>8402</v>
      </c>
      <c r="J2">
        <f>MEDIAN(B:B)</f>
        <v>62</v>
      </c>
      <c r="L2" t="s">
        <v>8408</v>
      </c>
      <c r="M2">
        <f>MEDIAN(E:E)</f>
        <v>4</v>
      </c>
    </row>
    <row r="3" spans="1:13" x14ac:dyDescent="0.25">
      <c r="A3" t="s">
        <v>8219</v>
      </c>
      <c r="B3">
        <v>79</v>
      </c>
      <c r="D3" t="s">
        <v>8221</v>
      </c>
      <c r="E3">
        <v>1</v>
      </c>
      <c r="I3" t="s">
        <v>8403</v>
      </c>
      <c r="J3">
        <f>MIN(B:B)</f>
        <v>1</v>
      </c>
      <c r="L3" t="s">
        <v>8409</v>
      </c>
      <c r="M3">
        <f>MIN(E:E)</f>
        <v>0</v>
      </c>
    </row>
    <row r="4" spans="1:13" x14ac:dyDescent="0.25">
      <c r="A4" t="s">
        <v>8219</v>
      </c>
      <c r="B4">
        <v>35</v>
      </c>
      <c r="D4" t="s">
        <v>8221</v>
      </c>
      <c r="E4">
        <v>10</v>
      </c>
      <c r="I4" t="s">
        <v>8404</v>
      </c>
      <c r="J4">
        <f>MAX(B:B)</f>
        <v>26457</v>
      </c>
      <c r="L4" t="s">
        <v>8410</v>
      </c>
      <c r="M4">
        <f>MAX(E:E)</f>
        <v>1293</v>
      </c>
    </row>
    <row r="5" spans="1:13" x14ac:dyDescent="0.25">
      <c r="A5" t="s">
        <v>8219</v>
      </c>
      <c r="B5">
        <v>150</v>
      </c>
      <c r="D5" t="s">
        <v>8221</v>
      </c>
      <c r="E5">
        <v>0</v>
      </c>
      <c r="I5" t="s">
        <v>8406</v>
      </c>
      <c r="J5">
        <f>_xlfn.VAR.S(B2:B2186)</f>
        <v>713167.37912800396</v>
      </c>
      <c r="L5" t="s">
        <v>8411</v>
      </c>
      <c r="M5">
        <f>_xlfn.VAR.S(E:E)</f>
        <v>3775.6894394644714</v>
      </c>
    </row>
    <row r="6" spans="1:13" x14ac:dyDescent="0.25">
      <c r="A6" t="s">
        <v>8219</v>
      </c>
      <c r="B6">
        <v>284</v>
      </c>
      <c r="D6" t="s">
        <v>8221</v>
      </c>
      <c r="E6">
        <v>7</v>
      </c>
      <c r="I6" t="s">
        <v>8405</v>
      </c>
      <c r="J6">
        <f>_xlfn.STDEV.S(B2:B2186)</f>
        <v>844.49237955591047</v>
      </c>
      <c r="L6" t="s">
        <v>8412</v>
      </c>
      <c r="M6">
        <f>_xlfn.STDEV.S(E:E)</f>
        <v>61.446638959868842</v>
      </c>
    </row>
    <row r="7" spans="1:13" x14ac:dyDescent="0.25">
      <c r="A7" t="s">
        <v>8219</v>
      </c>
      <c r="B7">
        <v>47</v>
      </c>
      <c r="D7" t="s">
        <v>8221</v>
      </c>
      <c r="E7">
        <v>0</v>
      </c>
    </row>
    <row r="8" spans="1:13" x14ac:dyDescent="0.25">
      <c r="A8" t="s">
        <v>8219</v>
      </c>
      <c r="B8">
        <v>58</v>
      </c>
      <c r="D8" t="s">
        <v>8221</v>
      </c>
      <c r="E8">
        <v>1</v>
      </c>
    </row>
    <row r="9" spans="1:13" x14ac:dyDescent="0.25">
      <c r="A9" t="s">
        <v>8219</v>
      </c>
      <c r="B9">
        <v>57</v>
      </c>
      <c r="D9" t="s">
        <v>8221</v>
      </c>
      <c r="E9">
        <v>2</v>
      </c>
    </row>
    <row r="10" spans="1:13" x14ac:dyDescent="0.25">
      <c r="A10" t="s">
        <v>8219</v>
      </c>
      <c r="B10">
        <v>12</v>
      </c>
      <c r="D10" t="s">
        <v>8221</v>
      </c>
      <c r="E10">
        <v>3</v>
      </c>
    </row>
    <row r="11" spans="1:13" x14ac:dyDescent="0.25">
      <c r="A11" t="s">
        <v>8219</v>
      </c>
      <c r="B11">
        <v>20</v>
      </c>
      <c r="D11" t="s">
        <v>8221</v>
      </c>
      <c r="E11">
        <v>10</v>
      </c>
    </row>
    <row r="12" spans="1:13" x14ac:dyDescent="0.25">
      <c r="A12" t="s">
        <v>8219</v>
      </c>
      <c r="B12">
        <v>19</v>
      </c>
      <c r="D12" t="s">
        <v>8221</v>
      </c>
      <c r="E12">
        <v>10</v>
      </c>
    </row>
    <row r="13" spans="1:13" x14ac:dyDescent="0.25">
      <c r="A13" t="s">
        <v>8219</v>
      </c>
      <c r="B13">
        <v>75</v>
      </c>
      <c r="D13" t="s">
        <v>8221</v>
      </c>
      <c r="E13">
        <v>1</v>
      </c>
    </row>
    <row r="14" spans="1:13" x14ac:dyDescent="0.25">
      <c r="A14" t="s">
        <v>8219</v>
      </c>
      <c r="B14">
        <v>827</v>
      </c>
      <c r="D14" t="s">
        <v>8221</v>
      </c>
      <c r="E14">
        <v>0</v>
      </c>
      <c r="J14" t="s">
        <v>8413</v>
      </c>
    </row>
    <row r="15" spans="1:13" x14ac:dyDescent="0.25">
      <c r="A15" t="s">
        <v>8219</v>
      </c>
      <c r="B15">
        <v>51</v>
      </c>
      <c r="D15" t="s">
        <v>8221</v>
      </c>
      <c r="E15">
        <v>0</v>
      </c>
      <c r="J15">
        <v>182</v>
      </c>
      <c r="K15">
        <f>(B2-J1)/J6</f>
        <v>-1.4713183831508254E-2</v>
      </c>
    </row>
    <row r="16" spans="1:13" x14ac:dyDescent="0.25">
      <c r="A16" t="s">
        <v>8219</v>
      </c>
      <c r="B16">
        <v>41</v>
      </c>
      <c r="D16" t="s">
        <v>8221</v>
      </c>
      <c r="E16">
        <v>0</v>
      </c>
      <c r="J16">
        <v>190</v>
      </c>
      <c r="K16">
        <f>(B442-J1)/J6</f>
        <v>-5.2400373666379322E-3</v>
      </c>
    </row>
    <row r="17" spans="1:11" x14ac:dyDescent="0.25">
      <c r="A17" t="s">
        <v>8219</v>
      </c>
      <c r="B17">
        <v>98</v>
      </c>
      <c r="D17" t="s">
        <v>8221</v>
      </c>
      <c r="E17">
        <v>26</v>
      </c>
      <c r="J17">
        <v>28</v>
      </c>
      <c r="K17">
        <f>(B37-J1)/J6</f>
        <v>-0.19707125328026195</v>
      </c>
    </row>
    <row r="18" spans="1:11" x14ac:dyDescent="0.25">
      <c r="A18" t="s">
        <v>8219</v>
      </c>
      <c r="B18">
        <v>70</v>
      </c>
      <c r="D18" t="s">
        <v>8221</v>
      </c>
      <c r="E18">
        <v>0</v>
      </c>
      <c r="J18">
        <v>942</v>
      </c>
      <c r="K18">
        <f>(B141-J1)/J6</f>
        <v>0.88523573033117242</v>
      </c>
    </row>
    <row r="19" spans="1:11" x14ac:dyDescent="0.25">
      <c r="A19" t="s">
        <v>8219</v>
      </c>
      <c r="B19">
        <v>36</v>
      </c>
      <c r="D19" t="s">
        <v>8221</v>
      </c>
      <c r="E19">
        <v>7</v>
      </c>
    </row>
    <row r="20" spans="1:11" x14ac:dyDescent="0.25">
      <c r="A20" t="s">
        <v>8219</v>
      </c>
      <c r="B20">
        <v>342</v>
      </c>
      <c r="D20" t="s">
        <v>8221</v>
      </c>
      <c r="E20">
        <v>0</v>
      </c>
    </row>
    <row r="21" spans="1:11" x14ac:dyDescent="0.25">
      <c r="A21" t="s">
        <v>8219</v>
      </c>
      <c r="B21">
        <v>22</v>
      </c>
      <c r="D21" t="s">
        <v>8221</v>
      </c>
      <c r="E21">
        <v>2</v>
      </c>
    </row>
    <row r="22" spans="1:11" x14ac:dyDescent="0.25">
      <c r="A22" t="s">
        <v>8219</v>
      </c>
      <c r="B22">
        <v>25</v>
      </c>
      <c r="D22" t="s">
        <v>8221</v>
      </c>
      <c r="E22">
        <v>13</v>
      </c>
    </row>
    <row r="23" spans="1:11" x14ac:dyDescent="0.25">
      <c r="A23" t="s">
        <v>8219</v>
      </c>
      <c r="B23">
        <v>101</v>
      </c>
      <c r="D23" t="s">
        <v>8221</v>
      </c>
      <c r="E23">
        <v>4</v>
      </c>
    </row>
    <row r="24" spans="1:11" x14ac:dyDescent="0.25">
      <c r="A24" t="s">
        <v>8219</v>
      </c>
      <c r="B24">
        <v>8</v>
      </c>
      <c r="D24" t="s">
        <v>8221</v>
      </c>
      <c r="E24">
        <v>0</v>
      </c>
    </row>
    <row r="25" spans="1:11" x14ac:dyDescent="0.25">
      <c r="A25" t="s">
        <v>8219</v>
      </c>
      <c r="B25">
        <v>23</v>
      </c>
      <c r="D25" t="s">
        <v>8221</v>
      </c>
      <c r="E25">
        <v>12</v>
      </c>
    </row>
    <row r="26" spans="1:11" x14ac:dyDescent="0.25">
      <c r="A26" t="s">
        <v>8219</v>
      </c>
      <c r="B26">
        <v>574</v>
      </c>
      <c r="D26" t="s">
        <v>8221</v>
      </c>
      <c r="E26">
        <v>2</v>
      </c>
    </row>
    <row r="27" spans="1:11" x14ac:dyDescent="0.25">
      <c r="A27" t="s">
        <v>8219</v>
      </c>
      <c r="B27">
        <v>14</v>
      </c>
      <c r="D27" t="s">
        <v>8221</v>
      </c>
      <c r="E27">
        <v>10</v>
      </c>
    </row>
    <row r="28" spans="1:11" x14ac:dyDescent="0.25">
      <c r="A28" t="s">
        <v>8219</v>
      </c>
      <c r="B28">
        <v>19</v>
      </c>
      <c r="D28" t="s">
        <v>8221</v>
      </c>
      <c r="E28">
        <v>0</v>
      </c>
    </row>
    <row r="29" spans="1:11" x14ac:dyDescent="0.25">
      <c r="A29" t="s">
        <v>8219</v>
      </c>
      <c r="B29">
        <v>150</v>
      </c>
      <c r="D29" t="s">
        <v>8221</v>
      </c>
      <c r="E29">
        <v>5</v>
      </c>
    </row>
    <row r="30" spans="1:11" x14ac:dyDescent="0.25">
      <c r="A30" t="s">
        <v>8219</v>
      </c>
      <c r="B30">
        <v>71</v>
      </c>
      <c r="D30" t="s">
        <v>8221</v>
      </c>
      <c r="E30">
        <v>0</v>
      </c>
    </row>
    <row r="31" spans="1:11" x14ac:dyDescent="0.25">
      <c r="A31" t="s">
        <v>8219</v>
      </c>
      <c r="B31">
        <v>117</v>
      </c>
      <c r="D31" t="s">
        <v>8221</v>
      </c>
      <c r="E31">
        <v>5</v>
      </c>
    </row>
    <row r="32" spans="1:11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  <row r="1048575" spans="2:2" x14ac:dyDescent="0.25">
      <c r="B1048575">
        <f>MIN(B1:B1048574)</f>
        <v>1</v>
      </c>
    </row>
  </sheetData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D1:D1045992">
    <cfRule type="containsText" dxfId="3" priority="1" operator="containsText" text="live">
      <formula>NOT(ISERROR(SEARCH("live",D1)))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Stats</vt:lpstr>
      <vt:lpstr>Subcategory Stats</vt:lpstr>
      <vt:lpstr>Outcome by Launchdate</vt:lpstr>
      <vt:lpstr>Bonus %Success vs Amount</vt:lpstr>
      <vt:lpstr>Success Rate vs 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George Vallejo</cp:lastModifiedBy>
  <dcterms:created xsi:type="dcterms:W3CDTF">2017-04-20T15:17:24Z</dcterms:created>
  <dcterms:modified xsi:type="dcterms:W3CDTF">2021-12-23T23:53:33Z</dcterms:modified>
</cp:coreProperties>
</file>