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ocuments\FRC2017\"/>
    </mc:Choice>
  </mc:AlternateContent>
  <bookViews>
    <workbookView xWindow="0" yWindow="0" windowWidth="28800" windowHeight="12210" tabRatio="874" activeTab="1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VEXpro SS,DR" sheetId="16" r:id="rId7"/>
    <sheet name="WCP SS" sheetId="20" r:id="rId8"/>
    <sheet name="Articulating Drive" sheetId="11" r:id="rId9"/>
    <sheet name="Rotary Mechanism" sheetId="8" r:id="rId10"/>
    <sheet name="Linear Mechanism" sheetId="9" r:id="rId11"/>
    <sheet name="Intake Mechanism" sheetId="10" r:id="rId12"/>
    <sheet name="DATA" sheetId="4" r:id="rId13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9" l="1"/>
  <c r="G5" i="9"/>
  <c r="E5" i="9"/>
  <c r="F17" i="9"/>
  <c r="F5" i="10"/>
  <c r="G5" i="10"/>
  <c r="E5" i="10"/>
  <c r="F17" i="10"/>
  <c r="O18" i="4"/>
  <c r="O17" i="4"/>
  <c r="O9" i="4"/>
  <c r="O7" i="4"/>
  <c r="O6" i="4"/>
  <c r="D5" i="10"/>
  <c r="D5" i="9"/>
  <c r="G5" i="8"/>
  <c r="F5" i="8"/>
  <c r="E5" i="8"/>
  <c r="D5" i="8"/>
  <c r="G5" i="11"/>
  <c r="F5" i="11"/>
  <c r="E5" i="11"/>
  <c r="D5" i="11"/>
  <c r="G5" i="6"/>
  <c r="F5" i="6"/>
  <c r="E5" i="6"/>
  <c r="D5" i="6"/>
  <c r="G5" i="1"/>
  <c r="F5" i="1"/>
  <c r="E5" i="1"/>
  <c r="D5" i="1"/>
  <c r="G14" i="4"/>
  <c r="G15" i="4"/>
  <c r="G16" i="4"/>
  <c r="G17" i="4"/>
  <c r="G18" i="4"/>
  <c r="G19" i="4"/>
  <c r="G20" i="4"/>
  <c r="G13" i="4"/>
  <c r="G12" i="4"/>
  <c r="G11" i="4"/>
  <c r="E25" i="20"/>
  <c r="D25" i="20"/>
  <c r="E24" i="20"/>
  <c r="D24" i="20"/>
  <c r="G5" i="20"/>
  <c r="F5" i="20"/>
  <c r="E5" i="20"/>
  <c r="D5" i="20"/>
  <c r="E26" i="20"/>
  <c r="D26" i="20"/>
  <c r="G20" i="20"/>
  <c r="E20" i="20"/>
  <c r="D20" i="20"/>
  <c r="F20" i="20"/>
  <c r="E28" i="19"/>
  <c r="D28" i="19"/>
  <c r="E27" i="19"/>
  <c r="D27" i="19"/>
  <c r="E26" i="19"/>
  <c r="E29" i="19"/>
  <c r="D26" i="19"/>
  <c r="D29" i="19"/>
  <c r="F5" i="19"/>
  <c r="G5" i="19"/>
  <c r="E5" i="19"/>
  <c r="D5" i="19"/>
  <c r="O5" i="4"/>
  <c r="O8" i="4"/>
  <c r="O10" i="4"/>
  <c r="O11" i="4"/>
  <c r="O12" i="4"/>
  <c r="O13" i="4"/>
  <c r="O16" i="4"/>
  <c r="O19" i="4"/>
  <c r="O20" i="4"/>
  <c r="G10" i="4"/>
  <c r="E26" i="16"/>
  <c r="D26" i="16"/>
  <c r="E25" i="16"/>
  <c r="D25" i="16"/>
  <c r="E24" i="16"/>
  <c r="D24" i="16"/>
  <c r="F5" i="16"/>
  <c r="G5" i="16"/>
  <c r="E5" i="16"/>
  <c r="D5" i="16"/>
  <c r="D5" i="15"/>
  <c r="D25" i="15"/>
  <c r="E25" i="15"/>
  <c r="D28" i="15"/>
  <c r="E28" i="15"/>
  <c r="D29" i="15"/>
  <c r="E29" i="15"/>
  <c r="F5" i="15"/>
  <c r="G5" i="15"/>
  <c r="E5" i="15"/>
  <c r="D5" i="14"/>
  <c r="D26" i="14"/>
  <c r="E26" i="14"/>
  <c r="D29" i="14"/>
  <c r="E29" i="14"/>
  <c r="D30" i="14"/>
  <c r="E30" i="14"/>
  <c r="D28" i="14"/>
  <c r="E28" i="14"/>
  <c r="F5" i="14"/>
  <c r="G5" i="14"/>
  <c r="E5" i="14"/>
  <c r="J12" i="11"/>
  <c r="I12" i="11"/>
  <c r="F8" i="11"/>
  <c r="F16" i="11"/>
  <c r="G16" i="11"/>
  <c r="F12" i="10"/>
  <c r="G12" i="10"/>
  <c r="G17" i="9"/>
  <c r="F12" i="9"/>
  <c r="G12" i="9"/>
  <c r="G17" i="8"/>
  <c r="F12" i="8"/>
  <c r="G12" i="6"/>
  <c r="F12" i="6"/>
  <c r="J12" i="1"/>
  <c r="I12" i="1"/>
  <c r="G6" i="4"/>
  <c r="G7" i="4"/>
  <c r="G17" i="10"/>
  <c r="C16" i="10"/>
  <c r="C16" i="9"/>
  <c r="C16" i="8"/>
  <c r="F13" i="6"/>
  <c r="I17" i="1"/>
  <c r="I13" i="1"/>
  <c r="G5" i="4"/>
  <c r="G9" i="4"/>
  <c r="G8" i="4"/>
  <c r="F13" i="10"/>
  <c r="G13" i="10"/>
  <c r="G20" i="15"/>
  <c r="E22" i="19"/>
  <c r="D22" i="19"/>
  <c r="F20" i="15"/>
  <c r="G21" i="19"/>
  <c r="E21" i="15"/>
  <c r="D21" i="15"/>
  <c r="F20" i="16"/>
  <c r="K12" i="1"/>
  <c r="F17" i="8"/>
  <c r="J16" i="11"/>
  <c r="I16" i="11"/>
  <c r="I17" i="11"/>
  <c r="F21" i="14"/>
  <c r="F21" i="15"/>
  <c r="G21" i="15"/>
  <c r="E20" i="16"/>
  <c r="D20" i="16"/>
  <c r="G20" i="16"/>
  <c r="G22" i="19"/>
  <c r="F22" i="14"/>
  <c r="G21" i="14"/>
  <c r="F22" i="19"/>
  <c r="E21" i="14"/>
  <c r="D21" i="14"/>
  <c r="G22" i="14"/>
  <c r="F21" i="19"/>
  <c r="E20" i="15"/>
  <c r="D20" i="15"/>
  <c r="D30" i="15"/>
  <c r="E22" i="14"/>
  <c r="D22" i="14"/>
  <c r="D31" i="14"/>
  <c r="E21" i="19"/>
  <c r="D21" i="19"/>
  <c r="D30" i="19"/>
  <c r="J16" i="1"/>
  <c r="I16" i="1"/>
  <c r="C16" i="1"/>
  <c r="F13" i="9"/>
  <c r="G13" i="9"/>
  <c r="K16" i="1"/>
  <c r="I12" i="6"/>
  <c r="K12" i="11"/>
  <c r="K16" i="11"/>
  <c r="F13" i="8"/>
  <c r="G13" i="8"/>
  <c r="G12" i="8"/>
</calcChain>
</file>

<file path=xl/sharedStrings.xml><?xml version="1.0" encoding="utf-8"?>
<sst xmlns="http://schemas.openxmlformats.org/spreadsheetml/2006/main" count="428" uniqueCount="203">
  <si>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</si>
  <si>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</si>
  <si>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</si>
  <si>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</si>
  <si>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</si>
  <si>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</si>
  <si>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</si>
  <si>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</si>
  <si>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</si>
  <si>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</si>
  <si>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</si>
  <si>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</si>
  <si>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</si>
  <si>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</si>
  <si>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</si>
  <si>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</si>
  <si>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</si>
  <si>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</si>
  <si>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</si>
  <si>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</si>
  <si>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</si>
  <si>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</si>
  <si>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</si>
  <si>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</si>
  <si>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</si>
  <si>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</si>
  <si>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</si>
  <si>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</si>
  <si>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</si>
  <si>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</si>
  <si>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</si>
  <si>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</si>
  <si>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</si>
  <si>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</si>
  <si>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</si>
  <si>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</si>
  <si>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</si>
  <si>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</si>
  <si>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</si>
  <si>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</si>
  <si>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</si>
  <si>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</si>
  <si>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</si>
  <si>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</si>
  <si>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</si>
  <si>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</si>
  <si>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</si>
  <si>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</si>
  <si>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</si>
  <si>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</si>
  <si>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</si>
  <si>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</si>
  <si>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</si>
  <si>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</si>
  <si>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</si>
  <si>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</si>
  <si>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</si>
  <si>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</si>
  <si>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</si>
  <si>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</si>
  <si>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</si>
  <si>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</si>
  <si>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</si>
  <si>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</si>
  <si>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</si>
  <si>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</si>
  <si>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</si>
  <si>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</si>
  <si>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</si>
  <si>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</si>
  <si>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</si>
  <si>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</si>
  <si>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</si>
  <si>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</si>
  <si>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</si>
  <si>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</si>
  <si>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</si>
  <si>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</si>
  <si>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</si>
  <si>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</si>
  <si>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</si>
  <si>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</si>
  <si>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</si>
  <si>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</si>
  <si>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</si>
  <si>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</si>
  <si>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</si>
  <si>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</si>
  <si>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</si>
  <si>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</si>
  <si>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</si>
  <si>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</si>
  <si>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</si>
  <si>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</si>
  <si>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</si>
  <si>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</si>
  <si>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</si>
  <si>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</si>
  <si>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</si>
  <si>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</si>
  <si>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</si>
  <si>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</si>
  <si>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</si>
  <si>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</si>
  <si>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</si>
  <si>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</si>
  <si>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</si>
  <si>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</si>
  <si>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</si>
  <si>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</si>
  <si>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</si>
  <si>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</si>
  <si>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</si>
  <si>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</si>
  <si>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</si>
  <si>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</si>
  <si>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</si>
  <si>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</si>
  <si>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</si>
  <si>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</si>
  <si>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</si>
  <si>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</si>
  <si>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</si>
  <si>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</si>
  <si>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</si>
  <si>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</si>
  <si>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</si>
  <si>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</si>
  <si>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</si>
  <si>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</si>
  <si>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</si>
  <si>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</si>
  <si>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</si>
  <si>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</si>
  <si>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</si>
  <si>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</si>
  <si>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</si>
  <si>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</si>
  <si>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</si>
  <si>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</si>
  <si>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</si>
  <si>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</si>
  <si>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</si>
  <si>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</si>
  <si>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</si>
  <si>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</si>
  <si>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</si>
  <si>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</si>
  <si>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</si>
  <si>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</si>
  <si>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</si>
  <si>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</si>
  <si>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</si>
  <si>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</si>
  <si>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</si>
  <si>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</si>
  <si>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</si>
  <si>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</si>
  <si>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</si>
  <si>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</si>
  <si>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</si>
  <si>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</si>
  <si>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</si>
  <si>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</si>
  <si>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</si>
  <si>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</si>
  <si>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</si>
  <si>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</si>
  <si>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</si>
  <si>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</si>
  <si>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</si>
  <si>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</si>
  <si>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</si>
  <si>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</si>
  <si>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</si>
  <si>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</si>
  <si>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</si>
  <si>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</si>
  <si>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</si>
  <si>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</si>
  <si>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</si>
  <si>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</si>
  <si>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</si>
  <si>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</si>
  <si>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</si>
  <si>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</si>
  <si>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</si>
  <si>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</si>
  <si>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</si>
  <si>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</si>
  <si>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</si>
  <si>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</si>
  <si>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</si>
  <si>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</si>
  <si>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</si>
  <si>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</si>
  <si>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</si>
  <si>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</si>
  <si>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</si>
  <si>
    <t>Fixed an error in the Intake mechanism sheet which applied the load based on the pulley diameter instead of radius</t>
  </si>
  <si>
    <t>(Yes, that means I forgot to divide by 2 at some point)</t>
  </si>
  <si>
    <t>Release 2/14/2016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</si>
  <si>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john.vneun@gmail.com</t>
    </r>
    <r>
      <rPr>
        <sz val="12"/>
        <color theme="1"/>
        <rFont val="Calibri"/>
        <family val="2"/>
        <scheme val="minor"/>
      </rPr>
      <t xml:space="preserve"> for assistance.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</si>
</sst>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14" fontId="0" fillId="0" borderId="0" xfId="0" applyNumberFormat="1" applyFont="1"/>
    <xf numFmtId="0" fontId="0" fillId="0" borderId="0" xfId="0" applyFont="1" applyAlignment="1"/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workbookViewId="0">
      <selection activeCell="D36" sqref="D36"/>
    </sheetView>
  </sheetViews>
  <sheetFormatPr defaultColWidth="9" defaultRowHeight="15.75" x14ac:dyDescent="0.25"/>
  <cols>
    <col min="1" max="1" width="5.125" style="33" customWidth="1"/>
    <col min="2" max="2" width="10.375" style="33" bestFit="1" customWidth="1"/>
    <col min="3" max="16384" width="9" style="33"/>
  </cols>
  <sheetData>
    <row r="1" spans="2:5" x14ac:dyDescent="0.25">
      <c r="E1" s="98"/>
    </row>
    <row r="2" spans="2:5" ht="21" x14ac:dyDescent="0.35">
      <c r="B2" s="103" t="s">
        <v>134</v>
      </c>
    </row>
    <row r="3" spans="2:5" x14ac:dyDescent="0.25">
      <c r="B3" s="33" t="s">
        <v>201</v>
      </c>
    </row>
    <row r="5" spans="2:5" x14ac:dyDescent="0.25">
      <c r="B5" s="104" t="s">
        <v>74</v>
      </c>
    </row>
    <row r="6" spans="2:5" x14ac:dyDescent="0.25">
      <c r="B6" s="33" t="s">
        <v>164</v>
      </c>
    </row>
    <row r="7" spans="2:5" x14ac:dyDescent="0.25">
      <c r="B7" s="33" t="s">
        <v>202</v>
      </c>
    </row>
    <row r="9" spans="2:5" ht="16.5" thickBot="1" x14ac:dyDescent="0.3">
      <c r="B9" s="105" t="s">
        <v>75</v>
      </c>
    </row>
    <row r="10" spans="2:5" ht="16.5" thickBot="1" x14ac:dyDescent="0.3">
      <c r="B10" s="102"/>
      <c r="C10" s="33" t="s">
        <v>76</v>
      </c>
    </row>
    <row r="11" spans="2:5" ht="16.5" thickBot="1" x14ac:dyDescent="0.3">
      <c r="B11" s="108"/>
      <c r="C11" s="33" t="s">
        <v>77</v>
      </c>
    </row>
    <row r="39" spans="2:4" x14ac:dyDescent="0.25">
      <c r="B39" s="105" t="s">
        <v>185</v>
      </c>
      <c r="D39" s="111" t="s">
        <v>193</v>
      </c>
    </row>
    <row r="40" spans="2:4" x14ac:dyDescent="0.25">
      <c r="B40" s="113">
        <v>42365</v>
      </c>
      <c r="C40" s="33" t="s">
        <v>186</v>
      </c>
    </row>
    <row r="41" spans="2:4" x14ac:dyDescent="0.25">
      <c r="C41" s="114" t="s">
        <v>187</v>
      </c>
    </row>
    <row r="42" spans="2:4" x14ac:dyDescent="0.25">
      <c r="C42" s="114" t="s">
        <v>188</v>
      </c>
    </row>
    <row r="43" spans="2:4" x14ac:dyDescent="0.25">
      <c r="C43" s="114" t="s">
        <v>189</v>
      </c>
    </row>
    <row r="44" spans="2:4" x14ac:dyDescent="0.25">
      <c r="C44" s="114" t="s">
        <v>190</v>
      </c>
    </row>
    <row r="45" spans="2:4" x14ac:dyDescent="0.25">
      <c r="C45" s="114" t="s">
        <v>191</v>
      </c>
    </row>
    <row r="46" spans="2:4" x14ac:dyDescent="0.25">
      <c r="C46" s="114" t="s">
        <v>192</v>
      </c>
    </row>
    <row r="47" spans="2:4" x14ac:dyDescent="0.25">
      <c r="C47" s="114"/>
    </row>
    <row r="48" spans="2:4" x14ac:dyDescent="0.25">
      <c r="B48" s="113">
        <v>42395</v>
      </c>
      <c r="C48" s="114" t="s">
        <v>194</v>
      </c>
    </row>
    <row r="49" spans="2:3" x14ac:dyDescent="0.25">
      <c r="C49" s="114" t="s">
        <v>195</v>
      </c>
    </row>
    <row r="50" spans="2:3" x14ac:dyDescent="0.25">
      <c r="C50" s="114" t="s">
        <v>196</v>
      </c>
    </row>
    <row r="51" spans="2:3" x14ac:dyDescent="0.25">
      <c r="C51" s="114" t="s">
        <v>197</v>
      </c>
    </row>
    <row r="52" spans="2:3" x14ac:dyDescent="0.25">
      <c r="C52" s="114" t="s">
        <v>198</v>
      </c>
    </row>
    <row r="53" spans="2:3" x14ac:dyDescent="0.25">
      <c r="C53" s="114"/>
    </row>
    <row r="54" spans="2:3" x14ac:dyDescent="0.25">
      <c r="B54" s="113">
        <v>42780</v>
      </c>
      <c r="C54" s="114" t="s">
        <v>199</v>
      </c>
    </row>
    <row r="55" spans="2:3" x14ac:dyDescent="0.25">
      <c r="C55" s="114" t="s">
        <v>200</v>
      </c>
    </row>
    <row r="56" spans="2:3" x14ac:dyDescent="0.25">
      <c r="C56" s="114"/>
    </row>
  </sheetData>
  <hyperlinks>
    <hyperlink ref="D39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7" width="11.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1.5" x14ac:dyDescent="0.25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 x14ac:dyDescent="0.25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169.45714285714286</v>
      </c>
      <c r="G12" s="47">
        <f>90/F12</f>
        <v>0.53110773899848251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110.73937249484787</v>
      </c>
      <c r="G13" s="47">
        <f>90/F13</f>
        <v>0.81271907156767786</v>
      </c>
      <c r="H13" s="18"/>
      <c r="I13" s="1"/>
    </row>
    <row r="14" spans="1:9" x14ac:dyDescent="0.25">
      <c r="A14" s="1"/>
      <c r="B14" s="15"/>
      <c r="C14" s="19">
        <v>18</v>
      </c>
      <c r="D14" s="19">
        <v>84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 x14ac:dyDescent="0.25">
      <c r="A16" s="1"/>
      <c r="B16" s="15"/>
      <c r="C16" s="43">
        <f>D12*D13*D14*D15/C12/C13/C14/C15</f>
        <v>466.66666666666669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13.331690932052137</v>
      </c>
      <c r="G17" s="48">
        <f>E5*C8*(1/(C12*C13*C14*C15/D12/D13/D14/D15))*39.37*0.2248*D8/G8</f>
        <v>28.859601073333334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1.5" style="33" customWidth="1"/>
    <col min="6" max="6" width="15.125" style="33" customWidth="1"/>
    <col min="7" max="7" width="11.87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1.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 x14ac:dyDescent="0.25">
      <c r="A8" s="1"/>
      <c r="B8" s="15"/>
      <c r="C8" s="19">
        <v>1</v>
      </c>
      <c r="D8" s="13">
        <v>0.8</v>
      </c>
      <c r="E8" s="19">
        <v>48</v>
      </c>
      <c r="F8" s="19">
        <v>154</v>
      </c>
      <c r="G8" s="19">
        <v>2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13.802063724771159</v>
      </c>
      <c r="G12" s="47">
        <f>1/(F12/E$8)</f>
        <v>3.4777407898684256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6.8171727900535117</v>
      </c>
      <c r="G13" s="47">
        <f>1/(F13/E$8)</f>
        <v>7.0410420093845421</v>
      </c>
      <c r="H13" s="18"/>
      <c r="I13" s="1"/>
    </row>
    <row r="14" spans="1:9" x14ac:dyDescent="0.25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31.5" x14ac:dyDescent="0.25">
      <c r="A16" s="1"/>
      <c r="B16" s="15"/>
      <c r="C16" s="43">
        <f>D12*D13*D14*D15/C12/C13/C14/C15</f>
        <v>100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((((F$5*C$8)-(G$5*C$8))/(E$5*C$8))*(F$8*G$8/2*(C12*C13*C14*C15/D12/D13/D14/D15)/(0.2248*39.37))+(G$5*C$8))/C$8</f>
        <v>22.518604707920336</v>
      </c>
      <c r="G17" s="48">
        <f>E$5*C$8*(1/(C12*C13*C14*C15/D12/D13/D14/D15))*39.37*0.2248*D$8/(G$8/2)</f>
        <v>304.45293439999995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8" width="11.5" style="33" customWidth="1"/>
    <col min="9" max="9" width="2.875" style="33" customWidth="1"/>
    <col min="10" max="10" width="2.375" style="33" customWidth="1"/>
    <col min="11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thickBot="1" x14ac:dyDescent="0.3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 x14ac:dyDescent="0.25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7.25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 x14ac:dyDescent="0.25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10</v>
      </c>
      <c r="I8" s="18"/>
      <c r="J8" s="1"/>
    </row>
    <row r="9" spans="1:10" ht="16.5" thickBot="1" x14ac:dyDescent="0.3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 x14ac:dyDescent="0.25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3" x14ac:dyDescent="0.25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(D$5*(C12*C13*C14*C15/D12/D13/D14/D15)*(360/60))*PI()*2*(G$8/2)/360*F$8</f>
        <v>138.02063724771159</v>
      </c>
      <c r="G12" s="47">
        <f>1/(F12/E$8)</f>
        <v>0.28981173248903552</v>
      </c>
      <c r="H12" s="51"/>
      <c r="I12" s="14"/>
      <c r="J12" s="9"/>
    </row>
    <row r="13" spans="1:10" x14ac:dyDescent="0.25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92.639667467879946</v>
      </c>
      <c r="G13" s="47">
        <f>1/(F13/E$8)</f>
        <v>0.43178047906820055</v>
      </c>
      <c r="H13" s="51"/>
      <c r="I13" s="18"/>
      <c r="J13" s="1"/>
    </row>
    <row r="14" spans="1:10" x14ac:dyDescent="0.25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 x14ac:dyDescent="0.25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7.25" x14ac:dyDescent="0.25">
      <c r="A16" s="1"/>
      <c r="B16" s="15"/>
      <c r="C16" s="43">
        <f>D12*D13*D14*D15/C12/C13/C14/C15</f>
        <v>10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 x14ac:dyDescent="0.25">
      <c r="A17" s="1"/>
      <c r="B17" s="15"/>
      <c r="C17" s="39"/>
      <c r="D17" s="1"/>
      <c r="E17" s="1"/>
      <c r="F17" s="45">
        <f>(((((F$5*C$8)-(G$5*C$8))/(E$5*C$8))*(H$8/2*(C12*C13*C14*C15/D12/D13/D14/D15)*G$8/(0.2248*39.37)))+(G$5*C$8))/C$8</f>
        <v>15.253639420727492</v>
      </c>
      <c r="G17" s="48">
        <f>E$5*C$8*(1/(C12*C13*C14*C15/D12/D13/D14/D15))*39.37*0.2248*D$8/(G$8/2)</f>
        <v>30.445293439999997</v>
      </c>
      <c r="H17" s="52"/>
      <c r="I17" s="18"/>
      <c r="J17" s="1"/>
    </row>
    <row r="18" spans="1:10" ht="16.5" thickBot="1" x14ac:dyDescent="0.3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O92"/>
  <sheetViews>
    <sheetView workbookViewId="0"/>
  </sheetViews>
  <sheetFormatPr defaultColWidth="11" defaultRowHeight="12.75" x14ac:dyDescent="0.2"/>
  <cols>
    <col min="1" max="1" width="3.5" style="57" customWidth="1"/>
    <col min="2" max="2" width="36.625" style="63" customWidth="1"/>
    <col min="3" max="9" width="11" style="57"/>
    <col min="10" max="10" width="23.125" style="57" customWidth="1"/>
    <col min="11" max="16384" width="11" style="57"/>
  </cols>
  <sheetData>
    <row r="1" spans="1:15" ht="26.1" customHeight="1" x14ac:dyDescent="0.2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 x14ac:dyDescent="0.2">
      <c r="A2" s="55"/>
      <c r="B2" s="67" t="s">
        <v>151</v>
      </c>
      <c r="C2" s="55"/>
      <c r="D2" s="55"/>
      <c r="E2" s="55"/>
      <c r="F2" s="55"/>
      <c r="G2" s="55"/>
      <c r="H2" s="56"/>
      <c r="I2" s="56"/>
    </row>
    <row r="3" spans="1:15" ht="15.75" x14ac:dyDescent="0.2">
      <c r="A3" s="55"/>
      <c r="B3" s="67" t="s">
        <v>150</v>
      </c>
      <c r="C3" s="55"/>
      <c r="D3" s="55"/>
      <c r="E3" s="55"/>
      <c r="F3" s="55"/>
      <c r="G3" s="55"/>
      <c r="H3" s="56"/>
      <c r="I3" s="56"/>
      <c r="J3" s="68" t="s">
        <v>135</v>
      </c>
    </row>
    <row r="4" spans="1:15" ht="34.5" customHeight="1" x14ac:dyDescent="0.2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 x14ac:dyDescent="0.2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182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 x14ac:dyDescent="0.2">
      <c r="A6" s="55"/>
      <c r="B6" s="53" t="s">
        <v>171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 x14ac:dyDescent="0.2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181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 x14ac:dyDescent="0.2">
      <c r="A8" s="55"/>
      <c r="B8" s="53" t="s">
        <v>147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172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 x14ac:dyDescent="0.2">
      <c r="A9" s="55"/>
      <c r="B9" s="53" t="s">
        <v>148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183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 x14ac:dyDescent="0.2">
      <c r="A10" s="55"/>
      <c r="B10" s="53" t="s">
        <v>149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 x14ac:dyDescent="0.2">
      <c r="A11" s="55"/>
      <c r="B11" s="53" t="s">
        <v>172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173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 x14ac:dyDescent="0.2">
      <c r="A12" s="55"/>
      <c r="B12" s="53" t="s">
        <v>173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174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 x14ac:dyDescent="0.2">
      <c r="B13" s="53" t="s">
        <v>174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 x14ac:dyDescent="0.2">
      <c r="B14" s="53" t="s">
        <v>146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 x14ac:dyDescent="0.2">
      <c r="B15" s="53" t="s">
        <v>184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 x14ac:dyDescent="0.2">
      <c r="B16" s="53"/>
      <c r="C16" s="66"/>
      <c r="D16" s="54"/>
      <c r="E16" s="54"/>
      <c r="F16" s="54"/>
      <c r="G16" s="61">
        <f t="shared" si="6"/>
        <v>0</v>
      </c>
      <c r="J16" s="53" t="s">
        <v>182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 x14ac:dyDescent="0.2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 x14ac:dyDescent="0.2">
      <c r="C18" s="66"/>
      <c r="D18" s="54"/>
      <c r="E18" s="54"/>
      <c r="F18" s="54"/>
      <c r="G18" s="61">
        <f t="shared" si="6"/>
        <v>0</v>
      </c>
      <c r="J18" s="53" t="s">
        <v>181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 x14ac:dyDescent="0.2">
      <c r="C19" s="66"/>
      <c r="D19" s="54"/>
      <c r="E19" s="54"/>
      <c r="F19" s="54"/>
      <c r="G19" s="61">
        <f t="shared" si="6"/>
        <v>0</v>
      </c>
      <c r="J19" s="53" t="s">
        <v>172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 x14ac:dyDescent="0.2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 x14ac:dyDescent="0.2">
      <c r="C25" s="75"/>
    </row>
    <row r="26" spans="2:15" ht="15.75" x14ac:dyDescent="0.2">
      <c r="B26" s="68" t="s">
        <v>72</v>
      </c>
    </row>
    <row r="27" spans="2:15" x14ac:dyDescent="0.2">
      <c r="B27" s="77" t="s">
        <v>73</v>
      </c>
    </row>
    <row r="28" spans="2:15" x14ac:dyDescent="0.2">
      <c r="B28" s="83" t="s">
        <v>122</v>
      </c>
      <c r="C28" s="78">
        <v>11</v>
      </c>
      <c r="D28" s="78">
        <v>42</v>
      </c>
    </row>
    <row r="29" spans="2:15" x14ac:dyDescent="0.2">
      <c r="B29" s="83" t="s">
        <v>123</v>
      </c>
      <c r="C29" s="78">
        <v>12</v>
      </c>
      <c r="D29" s="78">
        <v>42</v>
      </c>
    </row>
    <row r="30" spans="2:15" x14ac:dyDescent="0.2">
      <c r="B30" s="82" t="s">
        <v>124</v>
      </c>
      <c r="C30" s="78">
        <v>13</v>
      </c>
      <c r="D30" s="78">
        <v>42</v>
      </c>
    </row>
    <row r="31" spans="2:15" x14ac:dyDescent="0.2">
      <c r="B31" s="82" t="s">
        <v>125</v>
      </c>
      <c r="C31" s="78">
        <v>13</v>
      </c>
      <c r="D31" s="78">
        <v>40</v>
      </c>
    </row>
    <row r="32" spans="2:15" x14ac:dyDescent="0.2">
      <c r="B32" s="82" t="s">
        <v>126</v>
      </c>
      <c r="C32" s="78">
        <v>14</v>
      </c>
      <c r="D32" s="78">
        <v>42</v>
      </c>
    </row>
    <row r="33" spans="2:4" x14ac:dyDescent="0.2">
      <c r="B33" s="82" t="s">
        <v>127</v>
      </c>
      <c r="C33" s="78">
        <v>14</v>
      </c>
      <c r="D33" s="78">
        <v>40</v>
      </c>
    </row>
    <row r="34" spans="2:4" x14ac:dyDescent="0.2">
      <c r="C34" s="78"/>
      <c r="D34" s="78"/>
    </row>
    <row r="35" spans="2:4" x14ac:dyDescent="0.2">
      <c r="B35" s="77" t="s">
        <v>121</v>
      </c>
      <c r="C35" s="78"/>
      <c r="D35" s="78"/>
    </row>
    <row r="36" spans="2:4" x14ac:dyDescent="0.2">
      <c r="B36" s="83" t="s">
        <v>129</v>
      </c>
      <c r="C36" s="78">
        <v>14</v>
      </c>
      <c r="D36" s="78">
        <v>60</v>
      </c>
    </row>
    <row r="37" spans="2:4" x14ac:dyDescent="0.2">
      <c r="B37" s="83" t="s">
        <v>128</v>
      </c>
      <c r="C37" s="78">
        <v>24</v>
      </c>
      <c r="D37" s="78">
        <v>50</v>
      </c>
    </row>
    <row r="38" spans="2:4" x14ac:dyDescent="0.2">
      <c r="C38" s="78"/>
      <c r="D38" s="78"/>
    </row>
    <row r="39" spans="2:4" x14ac:dyDescent="0.2">
      <c r="B39" s="77" t="s">
        <v>130</v>
      </c>
      <c r="C39" s="78"/>
      <c r="D39" s="78"/>
    </row>
    <row r="40" spans="2:4" x14ac:dyDescent="0.2">
      <c r="B40" s="83" t="s">
        <v>128</v>
      </c>
      <c r="C40" s="78">
        <v>24</v>
      </c>
      <c r="D40" s="78">
        <v>50</v>
      </c>
    </row>
    <row r="41" spans="2:4" x14ac:dyDescent="0.2">
      <c r="B41" s="83" t="s">
        <v>131</v>
      </c>
      <c r="C41" s="78">
        <v>30</v>
      </c>
      <c r="D41" s="78">
        <v>44</v>
      </c>
    </row>
    <row r="42" spans="2:4" x14ac:dyDescent="0.2">
      <c r="B42" s="83" t="s">
        <v>132</v>
      </c>
      <c r="C42" s="78">
        <v>34</v>
      </c>
      <c r="D42" s="78">
        <v>40</v>
      </c>
    </row>
    <row r="43" spans="2:4" x14ac:dyDescent="0.2">
      <c r="C43" s="78"/>
      <c r="D43" s="78"/>
    </row>
    <row r="44" spans="2:4" x14ac:dyDescent="0.2">
      <c r="C44" s="78"/>
      <c r="D44" s="78"/>
    </row>
    <row r="45" spans="2:4" x14ac:dyDescent="0.2">
      <c r="C45" s="78"/>
      <c r="D45" s="78"/>
    </row>
    <row r="46" spans="2:4" ht="15.75" x14ac:dyDescent="0.2">
      <c r="B46" s="68" t="s">
        <v>107</v>
      </c>
      <c r="C46" s="107"/>
      <c r="D46" s="107"/>
    </row>
    <row r="47" spans="2:4" x14ac:dyDescent="0.2">
      <c r="B47" s="76" t="s">
        <v>108</v>
      </c>
      <c r="C47" s="107"/>
      <c r="D47" s="107"/>
    </row>
    <row r="48" spans="2:4" x14ac:dyDescent="0.2">
      <c r="B48" s="82" t="s">
        <v>83</v>
      </c>
      <c r="C48" s="107">
        <v>12</v>
      </c>
      <c r="D48" s="107">
        <v>50</v>
      </c>
    </row>
    <row r="49" spans="2:4" x14ac:dyDescent="0.2">
      <c r="B49" s="81" t="s">
        <v>109</v>
      </c>
      <c r="C49" s="107">
        <v>11</v>
      </c>
      <c r="D49" s="107">
        <v>50</v>
      </c>
    </row>
    <row r="50" spans="2:4" x14ac:dyDescent="0.2">
      <c r="B50" s="81"/>
      <c r="C50" s="107"/>
      <c r="D50" s="107"/>
    </row>
    <row r="51" spans="2:4" x14ac:dyDescent="0.2">
      <c r="B51" s="81" t="s">
        <v>110</v>
      </c>
      <c r="C51" s="107">
        <v>50</v>
      </c>
      <c r="D51" s="107">
        <v>34</v>
      </c>
    </row>
    <row r="52" spans="2:4" x14ac:dyDescent="0.2">
      <c r="B52" s="81"/>
      <c r="C52" s="107"/>
      <c r="D52" s="107"/>
    </row>
    <row r="53" spans="2:4" x14ac:dyDescent="0.2">
      <c r="B53" s="81" t="s">
        <v>85</v>
      </c>
      <c r="C53" s="107">
        <v>34</v>
      </c>
      <c r="D53" s="107">
        <v>50</v>
      </c>
    </row>
    <row r="54" spans="2:4" x14ac:dyDescent="0.2">
      <c r="B54" s="81" t="s">
        <v>111</v>
      </c>
      <c r="C54" s="107">
        <v>30</v>
      </c>
      <c r="D54" s="107">
        <v>54</v>
      </c>
    </row>
    <row r="55" spans="2:4" x14ac:dyDescent="0.2">
      <c r="B55" s="81" t="s">
        <v>112</v>
      </c>
      <c r="C55" s="107">
        <v>24</v>
      </c>
      <c r="D55" s="107">
        <v>60</v>
      </c>
    </row>
    <row r="56" spans="2:4" x14ac:dyDescent="0.2">
      <c r="B56" s="81"/>
      <c r="C56" s="107"/>
      <c r="D56" s="107"/>
    </row>
    <row r="57" spans="2:4" x14ac:dyDescent="0.2">
      <c r="B57" s="81" t="s">
        <v>113</v>
      </c>
      <c r="C57" s="107">
        <v>1</v>
      </c>
      <c r="D57" s="107">
        <v>1</v>
      </c>
    </row>
    <row r="58" spans="2:4" x14ac:dyDescent="0.2">
      <c r="B58" s="81" t="s">
        <v>87</v>
      </c>
      <c r="C58" s="107">
        <v>20</v>
      </c>
      <c r="D58" s="107">
        <v>64</v>
      </c>
    </row>
    <row r="59" spans="2:4" x14ac:dyDescent="0.2">
      <c r="B59" s="81" t="s">
        <v>114</v>
      </c>
      <c r="C59" s="107">
        <v>24</v>
      </c>
      <c r="D59" s="107">
        <v>60</v>
      </c>
    </row>
    <row r="60" spans="2:4" x14ac:dyDescent="0.2">
      <c r="B60" s="81" t="s">
        <v>115</v>
      </c>
      <c r="C60" s="107">
        <v>30</v>
      </c>
      <c r="D60" s="107">
        <v>54</v>
      </c>
    </row>
    <row r="61" spans="2:4" x14ac:dyDescent="0.2">
      <c r="B61" s="81" t="s">
        <v>116</v>
      </c>
      <c r="C61" s="107">
        <v>34</v>
      </c>
      <c r="D61" s="107">
        <v>50</v>
      </c>
    </row>
    <row r="62" spans="2:4" x14ac:dyDescent="0.2">
      <c r="B62" s="81"/>
      <c r="C62" s="107"/>
      <c r="D62" s="107"/>
    </row>
    <row r="63" spans="2:4" x14ac:dyDescent="0.2">
      <c r="B63" s="81"/>
      <c r="C63" s="107"/>
      <c r="D63" s="107"/>
    </row>
    <row r="64" spans="2:4" ht="15.75" x14ac:dyDescent="0.2">
      <c r="B64" s="68" t="s">
        <v>117</v>
      </c>
      <c r="C64" s="107"/>
      <c r="D64" s="107"/>
    </row>
    <row r="65" spans="2:4" x14ac:dyDescent="0.2">
      <c r="B65" s="76" t="s">
        <v>108</v>
      </c>
      <c r="C65" s="107"/>
      <c r="D65" s="107"/>
    </row>
    <row r="66" spans="2:4" x14ac:dyDescent="0.2">
      <c r="B66" s="82" t="s">
        <v>101</v>
      </c>
      <c r="C66" s="107">
        <v>12</v>
      </c>
      <c r="D66" s="107">
        <v>40</v>
      </c>
    </row>
    <row r="67" spans="2:4" x14ac:dyDescent="0.2">
      <c r="B67" s="81" t="s">
        <v>118</v>
      </c>
      <c r="C67" s="107">
        <v>11</v>
      </c>
      <c r="D67" s="107">
        <v>40</v>
      </c>
    </row>
    <row r="68" spans="2:4" x14ac:dyDescent="0.2">
      <c r="B68" s="81"/>
      <c r="C68" s="107"/>
      <c r="D68" s="107"/>
    </row>
    <row r="69" spans="2:4" x14ac:dyDescent="0.2">
      <c r="B69" s="81" t="s">
        <v>113</v>
      </c>
      <c r="C69" s="107">
        <v>1</v>
      </c>
      <c r="D69" s="107">
        <v>1</v>
      </c>
    </row>
    <row r="70" spans="2:4" x14ac:dyDescent="0.2">
      <c r="B70" s="81" t="s">
        <v>144</v>
      </c>
      <c r="C70" s="78">
        <v>34</v>
      </c>
      <c r="D70" s="78">
        <v>50</v>
      </c>
    </row>
    <row r="71" spans="2:4" x14ac:dyDescent="0.2">
      <c r="B71" s="81" t="s">
        <v>145</v>
      </c>
      <c r="C71" s="107">
        <v>30</v>
      </c>
      <c r="D71" s="107">
        <v>54</v>
      </c>
    </row>
    <row r="72" spans="2:4" x14ac:dyDescent="0.2">
      <c r="B72" s="81" t="s">
        <v>142</v>
      </c>
      <c r="C72" s="107">
        <v>24</v>
      </c>
      <c r="D72" s="107">
        <v>60</v>
      </c>
    </row>
    <row r="73" spans="2:4" x14ac:dyDescent="0.2">
      <c r="B73" s="81" t="s">
        <v>143</v>
      </c>
      <c r="C73" s="107">
        <v>20</v>
      </c>
      <c r="D73" s="107">
        <v>64</v>
      </c>
    </row>
    <row r="74" spans="2:4" x14ac:dyDescent="0.2">
      <c r="B74" s="81"/>
      <c r="C74" s="107"/>
      <c r="D74" s="107"/>
    </row>
    <row r="75" spans="2:4" x14ac:dyDescent="0.2">
      <c r="B75" s="81" t="s">
        <v>103</v>
      </c>
      <c r="C75" s="107">
        <v>14</v>
      </c>
      <c r="D75" s="107">
        <v>40</v>
      </c>
    </row>
    <row r="76" spans="2:4" x14ac:dyDescent="0.2">
      <c r="B76" s="81" t="s">
        <v>119</v>
      </c>
      <c r="C76" s="107">
        <v>20</v>
      </c>
      <c r="D76" s="107">
        <v>34</v>
      </c>
    </row>
    <row r="77" spans="2:4" x14ac:dyDescent="0.2">
      <c r="B77" s="81" t="s">
        <v>120</v>
      </c>
      <c r="C77" s="107">
        <v>24</v>
      </c>
      <c r="D77" s="107">
        <v>30</v>
      </c>
    </row>
    <row r="78" spans="2:4" x14ac:dyDescent="0.2">
      <c r="C78" s="78"/>
      <c r="D78" s="78"/>
    </row>
    <row r="79" spans="2:4" x14ac:dyDescent="0.2">
      <c r="C79" s="78"/>
      <c r="D79" s="78"/>
    </row>
    <row r="80" spans="2:4" ht="15.75" x14ac:dyDescent="0.2">
      <c r="B80" s="68" t="s">
        <v>152</v>
      </c>
      <c r="C80" s="78"/>
      <c r="D80" s="78"/>
    </row>
    <row r="81" spans="2:4" x14ac:dyDescent="0.2">
      <c r="B81" s="77" t="s">
        <v>73</v>
      </c>
      <c r="C81" s="78"/>
      <c r="D81" s="78"/>
    </row>
    <row r="82" spans="2:4" x14ac:dyDescent="0.2">
      <c r="B82" s="82" t="s">
        <v>153</v>
      </c>
      <c r="C82" s="78">
        <v>11</v>
      </c>
      <c r="D82" s="78">
        <v>50</v>
      </c>
    </row>
    <row r="83" spans="2:4" x14ac:dyDescent="0.2">
      <c r="B83" s="82" t="s">
        <v>154</v>
      </c>
      <c r="C83" s="78">
        <v>12</v>
      </c>
      <c r="D83" s="78">
        <v>50</v>
      </c>
    </row>
    <row r="84" spans="2:4" x14ac:dyDescent="0.2">
      <c r="B84" s="82" t="s">
        <v>155</v>
      </c>
      <c r="C84" s="78">
        <v>13</v>
      </c>
      <c r="D84" s="78">
        <v>50</v>
      </c>
    </row>
    <row r="85" spans="2:4" x14ac:dyDescent="0.2">
      <c r="B85" s="82" t="s">
        <v>156</v>
      </c>
      <c r="C85" s="78">
        <v>14</v>
      </c>
      <c r="D85" s="78">
        <v>50</v>
      </c>
    </row>
    <row r="86" spans="2:4" x14ac:dyDescent="0.2">
      <c r="C86" s="78"/>
      <c r="D86" s="78"/>
    </row>
    <row r="87" spans="2:4" x14ac:dyDescent="0.2">
      <c r="B87" s="77" t="s">
        <v>157</v>
      </c>
      <c r="C87" s="78"/>
      <c r="D87" s="78"/>
    </row>
    <row r="88" spans="2:4" x14ac:dyDescent="0.2">
      <c r="B88" s="83" t="s">
        <v>158</v>
      </c>
      <c r="C88" s="78">
        <v>34</v>
      </c>
      <c r="D88" s="78">
        <v>40</v>
      </c>
    </row>
    <row r="89" spans="2:4" x14ac:dyDescent="0.2">
      <c r="B89" s="83" t="s">
        <v>159</v>
      </c>
      <c r="C89" s="78">
        <v>30</v>
      </c>
      <c r="D89" s="78">
        <v>44</v>
      </c>
    </row>
    <row r="90" spans="2:4" x14ac:dyDescent="0.2">
      <c r="B90" s="106" t="s">
        <v>160</v>
      </c>
      <c r="C90" s="78">
        <v>24</v>
      </c>
      <c r="D90" s="78">
        <v>50</v>
      </c>
    </row>
    <row r="91" spans="2:4" x14ac:dyDescent="0.2">
      <c r="B91" s="106" t="s">
        <v>161</v>
      </c>
      <c r="C91" s="78">
        <v>20</v>
      </c>
      <c r="D91" s="78">
        <v>54</v>
      </c>
    </row>
    <row r="92" spans="2:4" x14ac:dyDescent="0.2">
      <c r="B92" s="106" t="s">
        <v>162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"/>
  <sheetViews>
    <sheetView tabSelected="1" workbookViewId="0">
      <selection activeCell="R17" sqref="R17"/>
    </sheetView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125" style="33" customWidth="1"/>
    <col min="4" max="7" width="10.875" style="33"/>
    <col min="8" max="8" width="4.125" style="33" customWidth="1"/>
    <col min="9" max="10" width="10.875" style="33"/>
    <col min="11" max="11" width="13.5" style="33" customWidth="1"/>
    <col min="12" max="12" width="2.875" style="33" customWidth="1"/>
    <col min="13" max="16384" width="10.875" style="33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138</v>
      </c>
      <c r="J4" s="7" t="s">
        <v>5</v>
      </c>
      <c r="K4" s="5"/>
      <c r="L4" s="8"/>
      <c r="M4" s="5"/>
    </row>
    <row r="5" spans="1:13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47.25" x14ac:dyDescent="0.25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H8" s="1"/>
      <c r="I8" s="19">
        <v>6</v>
      </c>
      <c r="J8" s="19">
        <v>1.1000000000000001</v>
      </c>
      <c r="L8" s="18"/>
      <c r="M8" s="1"/>
    </row>
    <row r="9" spans="1:13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3" x14ac:dyDescent="0.25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137</v>
      </c>
      <c r="K11" s="110" t="s">
        <v>165</v>
      </c>
      <c r="L11" s="8"/>
      <c r="M11" s="5"/>
    </row>
    <row r="12" spans="1:13" x14ac:dyDescent="0.25">
      <c r="A12" s="9"/>
      <c r="B12" s="10"/>
      <c r="C12" s="19">
        <v>12</v>
      </c>
      <c r="D12" s="19">
        <v>40</v>
      </c>
      <c r="E12" s="9"/>
      <c r="F12" s="19">
        <v>40</v>
      </c>
      <c r="G12" s="19">
        <v>44</v>
      </c>
      <c r="H12" s="9"/>
      <c r="I12" s="41">
        <f>J12/I$5</f>
        <v>19.028055504129089</v>
      </c>
      <c r="J12" s="41">
        <f>D$5*I$5*((I$8*0.0254/2)*2*PI())/(0.3048*60)*C12/D12*C13/D13*C14/D14*F12/G12</f>
        <v>15.412724958344562</v>
      </c>
      <c r="K12" s="42">
        <f>((F$5-G$5)/E$5*(F$8*G$8*J$8/C$8*4.44822161526*I$8*0.0254/2/J$5/D$8*C12/D12*C13/D13*C14/D14*F12/G12))+G$5</f>
        <v>118.48718095919114</v>
      </c>
      <c r="L12" s="14"/>
      <c r="M12" s="9"/>
    </row>
    <row r="13" spans="1:13" x14ac:dyDescent="0.25">
      <c r="A13" s="1"/>
      <c r="B13" s="15"/>
      <c r="C13" s="19">
        <v>1</v>
      </c>
      <c r="D13" s="19">
        <v>1</v>
      </c>
      <c r="E13" s="1"/>
      <c r="F13" s="1"/>
      <c r="G13" s="1"/>
      <c r="H13" s="1"/>
      <c r="I13" s="38">
        <f>D12*D13*D14*G12/C12/C13/C14/F12</f>
        <v>7.333333333333333</v>
      </c>
      <c r="J13" s="1" t="s">
        <v>21</v>
      </c>
      <c r="K13" s="1"/>
      <c r="L13" s="18"/>
      <c r="M13" s="1"/>
    </row>
    <row r="14" spans="1:13" x14ac:dyDescent="0.25">
      <c r="A14" s="1"/>
      <c r="B14" s="15"/>
      <c r="C14" s="19">
        <v>12</v>
      </c>
      <c r="D14" s="19">
        <v>24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3" x14ac:dyDescent="0.25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136</v>
      </c>
      <c r="K15" s="72" t="s">
        <v>165</v>
      </c>
      <c r="L15" s="18"/>
      <c r="M15" s="1"/>
    </row>
    <row r="16" spans="1:13" x14ac:dyDescent="0.25">
      <c r="A16" s="1"/>
      <c r="B16" s="15"/>
      <c r="C16" s="40">
        <f>I12/I16</f>
        <v>2.2727272727272729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8.3723444218167984</v>
      </c>
      <c r="J16" s="41">
        <f>D$5*I$5*I$8*0.0254/2*2*PI()/(0.3048*60)*C12/D12*C13/D13*C14/D14*F16/G16</f>
        <v>6.7815989816716069</v>
      </c>
      <c r="K16" s="42">
        <f>((F$5-G$5)/E$5*(F$8*G$8*J$8/C$8*4.44822161526*I$8*0.0254/2/J$5/D$8*C12/D12*C13/D13*C14/D14*F16/G16))+G$5</f>
        <v>53.646359622044102</v>
      </c>
      <c r="L16" s="18"/>
      <c r="M16" s="1"/>
    </row>
    <row r="17" spans="1:13" x14ac:dyDescent="0.25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16.666666666666668</v>
      </c>
      <c r="J17" s="33" t="s">
        <v>22</v>
      </c>
      <c r="K17" s="1"/>
      <c r="L17" s="18"/>
      <c r="M17" s="1"/>
    </row>
    <row r="18" spans="1:13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2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166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175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83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84</v>
      </c>
      <c r="D13" s="115" t="s">
        <v>85</v>
      </c>
      <c r="E13" s="116"/>
      <c r="F13" s="116"/>
      <c r="G13" s="117"/>
      <c r="H13" s="18"/>
      <c r="I13" s="1"/>
    </row>
    <row r="14" spans="1:10" ht="16.5" thickBot="1" x14ac:dyDescent="0.3">
      <c r="A14" s="1"/>
      <c r="B14" s="92"/>
      <c r="C14" s="11" t="s">
        <v>86</v>
      </c>
      <c r="D14" s="115" t="s">
        <v>87</v>
      </c>
      <c r="E14" s="116"/>
      <c r="F14" s="116"/>
      <c r="G14" s="117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9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7.25" x14ac:dyDescent="0.25">
      <c r="A20" s="1"/>
      <c r="B20" s="15"/>
      <c r="C20" s="1"/>
      <c r="D20" s="87" t="s">
        <v>25</v>
      </c>
      <c r="E20" s="87" t="s">
        <v>90</v>
      </c>
      <c r="F20" s="87" t="s">
        <v>180</v>
      </c>
      <c r="G20" s="87" t="s">
        <v>91</v>
      </c>
      <c r="H20" s="18"/>
      <c r="I20" s="1"/>
    </row>
    <row r="21" spans="1:9" x14ac:dyDescent="0.25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 x14ac:dyDescent="0.25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</row>
    <row r="24" spans="1:9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 x14ac:dyDescent="0.25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 x14ac:dyDescent="0.25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 x14ac:dyDescent="0.25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 x14ac:dyDescent="0.25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 x14ac:dyDescent="0.25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 x14ac:dyDescent="0.25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5" thickBot="1" x14ac:dyDescent="0.3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>
      <formula1>thirdstage3CIMchoice</formula1>
    </dataValidation>
    <dataValidation type="list" allowBlank="1" showInputMessage="1" showErrorMessage="1" sqref="D13">
      <formula1>lowgear3CIMchoice</formula1>
    </dataValidation>
    <dataValidation type="list" allowBlank="1" showInputMessage="1" showErrorMessage="1" sqref="D12">
      <formula1>initial3CIMchoice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topLeftCell="B1" workbookViewId="0">
      <selection activeCell="K24" sqref="K24"/>
    </sheetView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167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2" t="s">
        <v>176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6</v>
      </c>
      <c r="E8" s="19">
        <v>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118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86</v>
      </c>
      <c r="D13" s="115" t="s">
        <v>145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 t="s">
        <v>92</v>
      </c>
      <c r="D20" s="94">
        <f>E20/0.81</f>
        <v>19.380426902353694</v>
      </c>
      <c r="E20" s="94">
        <f>D$5*0.81*((D$8*0.0254/2)*2*PI())/(0.3048*60)*D25/E25*D28/E28*D29/E29*D26/E26</f>
        <v>15.698145790906494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219.82070547998359</v>
      </c>
      <c r="G20" s="95">
        <f>E25*E28*E29*E26/D25/D28/D29/D26</f>
        <v>7.2</v>
      </c>
      <c r="H20" s="18"/>
      <c r="I20" s="1"/>
    </row>
    <row r="21" spans="1:9" x14ac:dyDescent="0.25">
      <c r="A21" s="1"/>
      <c r="B21" s="15"/>
      <c r="C21" s="11" t="s">
        <v>93</v>
      </c>
      <c r="D21" s="94">
        <f>E21/0.81</f>
        <v>8.5273878370356275</v>
      </c>
      <c r="E21" s="94">
        <f>D$5*0.81*D$8*0.0254/2*2*PI()/(0.3048*60)*D25/E25*D28/E28*D29/E29*D27/E27</f>
        <v>6.9071841479988585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99.745110411192755</v>
      </c>
      <c r="G21" s="95">
        <f>E25*E28*E29*E27/D25/D28/D29/D27</f>
        <v>16.363636363636363</v>
      </c>
      <c r="H21" s="18"/>
      <c r="I21" s="1"/>
    </row>
    <row r="22" spans="1:9" ht="16.5" thickBot="1" x14ac:dyDescent="0.3">
      <c r="A22" s="1"/>
      <c r="B22" s="20"/>
      <c r="C22" s="22"/>
      <c r="D22" s="22"/>
      <c r="E22" s="22"/>
      <c r="F22" s="22"/>
      <c r="G22" s="22"/>
      <c r="H22" s="25"/>
      <c r="I22" s="1"/>
    </row>
    <row r="23" spans="1:9" x14ac:dyDescent="0.25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5" x14ac:dyDescent="0.25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 x14ac:dyDescent="0.25">
      <c r="A25" s="9"/>
      <c r="B25" s="92"/>
      <c r="C25" s="11" t="s">
        <v>95</v>
      </c>
      <c r="D25" s="73">
        <f>VLOOKUP(D12,initial2CIM,2,FALSE)</f>
        <v>11</v>
      </c>
      <c r="E25" s="73">
        <f>VLOOKUP(D12,initial2CIM,3,FALSE)</f>
        <v>40</v>
      </c>
      <c r="F25" s="98"/>
      <c r="G25" s="98"/>
      <c r="H25" s="14"/>
      <c r="I25" s="9"/>
    </row>
    <row r="26" spans="1:9" x14ac:dyDescent="0.25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 x14ac:dyDescent="0.25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 x14ac:dyDescent="0.25">
      <c r="A28" s="1"/>
      <c r="B28" s="92"/>
      <c r="C28" s="11" t="s">
        <v>98</v>
      </c>
      <c r="D28" s="73">
        <f>VLOOKUP(D13,thirdstage2CIM,2,FALSE)</f>
        <v>30</v>
      </c>
      <c r="E28" s="73">
        <f>VLOOKUP(D13,thirdstage2CIM,3,FALSE)</f>
        <v>54</v>
      </c>
      <c r="F28" s="98"/>
      <c r="G28" s="98"/>
      <c r="H28" s="18"/>
      <c r="I28" s="1"/>
    </row>
    <row r="29" spans="1:9" x14ac:dyDescent="0.25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 x14ac:dyDescent="0.25">
      <c r="A30" s="1"/>
      <c r="B30" s="15"/>
      <c r="C30" s="11" t="s">
        <v>100</v>
      </c>
      <c r="D30" s="40">
        <f>D20/D21</f>
        <v>2.272727272727272</v>
      </c>
      <c r="E30" s="1"/>
      <c r="F30" s="1"/>
      <c r="G30" s="98"/>
      <c r="H30" s="18"/>
      <c r="I30" s="1"/>
    </row>
    <row r="31" spans="1:9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initial2CIMchoice</formula1>
    </dataValidation>
    <dataValidation type="list" allowBlank="1" showInputMessage="1" showErrorMessage="1" sqref="D13:G13">
      <formula1>thirdstage2CIMchoice</formula1>
    </dataValidation>
    <dataValidation type="list" allowBlank="1" showInputMessage="1" showErrorMessage="1" sqref="C5">
      <formula1>MotorTwochoice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168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177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139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140</v>
      </c>
      <c r="D12" s="118" t="s">
        <v>123</v>
      </c>
      <c r="E12" s="119"/>
      <c r="F12" s="120"/>
      <c r="G12" s="16"/>
      <c r="H12" s="18"/>
      <c r="I12" s="1"/>
    </row>
    <row r="13" spans="1:10" ht="16.5" thickBot="1" x14ac:dyDescent="0.3">
      <c r="A13" s="1"/>
      <c r="B13" s="92"/>
      <c r="C13" s="11" t="s">
        <v>84</v>
      </c>
      <c r="D13" s="118" t="s">
        <v>128</v>
      </c>
      <c r="E13" s="119"/>
      <c r="F13" s="120"/>
      <c r="G13" s="16"/>
      <c r="H13" s="18"/>
      <c r="I13" s="1"/>
    </row>
    <row r="14" spans="1:10" ht="16.5" thickBot="1" x14ac:dyDescent="0.3">
      <c r="A14" s="1"/>
      <c r="B14" s="92"/>
      <c r="C14" s="11" t="s">
        <v>141</v>
      </c>
      <c r="D14" s="118" t="s">
        <v>131</v>
      </c>
      <c r="E14" s="119"/>
      <c r="F14" s="120"/>
      <c r="G14" s="16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10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7.25" x14ac:dyDescent="0.25">
      <c r="A20" s="1"/>
      <c r="B20" s="15"/>
      <c r="C20" s="1"/>
      <c r="D20" s="87" t="s">
        <v>25</v>
      </c>
      <c r="E20" s="87" t="s">
        <v>90</v>
      </c>
      <c r="F20" s="87" t="s">
        <v>180</v>
      </c>
      <c r="G20" s="87" t="s">
        <v>91</v>
      </c>
      <c r="H20" s="18"/>
      <c r="I20" s="1"/>
    </row>
    <row r="21" spans="1:10" x14ac:dyDescent="0.25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 x14ac:dyDescent="0.25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 x14ac:dyDescent="0.25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 x14ac:dyDescent="0.25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 x14ac:dyDescent="0.25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 x14ac:dyDescent="0.25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 x14ac:dyDescent="0.25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>
      <formula1>MotorChoice</formula1>
    </dataValidation>
    <dataValidation type="list" allowBlank="1" showInputMessage="1" showErrorMessage="1" sqref="D12">
      <formula1>WCPDSinputchoice</formula1>
    </dataValidation>
    <dataValidation type="list" allowBlank="1" showInputMessage="1" showErrorMessage="1" sqref="D13">
      <formula1>WCPDSlowgearchoice</formula1>
    </dataValidation>
    <dataValidation type="list" allowBlank="1" showInputMessage="1" showErrorMessage="1" sqref="D14">
      <formula1>WCPDShighgearchoice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17"/>
  <sheetViews>
    <sheetView workbookViewId="0"/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625" style="33" customWidth="1"/>
    <col min="4" max="4" width="11.125" style="33" customWidth="1"/>
    <col min="5" max="5" width="10.875" style="33"/>
    <col min="6" max="6" width="10.125" style="33" customWidth="1"/>
    <col min="7" max="7" width="10.875" style="33"/>
    <col min="8" max="8" width="4.125" style="33" customWidth="1"/>
    <col min="9" max="9" width="12.625" style="33" customWidth="1"/>
    <col min="10" max="10" width="10.875" style="33"/>
    <col min="11" max="11" width="2.875" style="33" customWidth="1"/>
    <col min="12" max="16384" width="10.875" style="33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thickBot="1" x14ac:dyDescent="0.3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2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2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2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I8" s="19">
        <v>4</v>
      </c>
      <c r="J8" s="19">
        <v>1.1000000000000001</v>
      </c>
      <c r="K8" s="18"/>
      <c r="L8" s="1"/>
    </row>
    <row r="9" spans="1:12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</row>
    <row r="11" spans="1:12" ht="47.25" x14ac:dyDescent="0.25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165</v>
      </c>
      <c r="K11" s="8"/>
      <c r="L11" s="5"/>
    </row>
    <row r="12" spans="1:12" x14ac:dyDescent="0.25">
      <c r="A12" s="9"/>
      <c r="B12" s="10"/>
      <c r="C12" s="19">
        <v>12</v>
      </c>
      <c r="D12" s="19">
        <v>40</v>
      </c>
      <c r="E12" s="9"/>
      <c r="F12" s="41">
        <f>G12/I$5</f>
        <v>6.6598194264451784</v>
      </c>
      <c r="G12" s="41">
        <f>D$5*I$5*((I$8*0.0254/2)*2*PI())/(0.3048*60)*C12/D12*C13/D13*C14/D14*C15/D15</f>
        <v>5.394453735420595</v>
      </c>
      <c r="I12" s="42">
        <f>((F$5-G$5)/E$5*(F$8*G$8*J$8/C$8*4.44822161526*I$8*0.0254/2/J$5/D$8*C12/D12*C13/D13*C14/D14*C15/D15))+G$5</f>
        <v>43.225513335716904</v>
      </c>
      <c r="K12" s="14"/>
      <c r="L12" s="9"/>
    </row>
    <row r="13" spans="1:12" x14ac:dyDescent="0.25">
      <c r="A13" s="1"/>
      <c r="B13" s="15"/>
      <c r="C13" s="19">
        <v>14</v>
      </c>
      <c r="D13" s="19">
        <v>40</v>
      </c>
      <c r="E13" s="1"/>
      <c r="F13" s="39">
        <f>D12*D13*D14*D15/C12/C13/C14/C15</f>
        <v>13.96825396825397</v>
      </c>
      <c r="G13" s="1" t="s">
        <v>23</v>
      </c>
      <c r="H13" s="1"/>
      <c r="I13" s="1"/>
      <c r="K13" s="18"/>
      <c r="L13" s="1"/>
    </row>
    <row r="14" spans="1:12" x14ac:dyDescent="0.25">
      <c r="A14" s="1"/>
      <c r="B14" s="15"/>
      <c r="C14" s="19">
        <v>15</v>
      </c>
      <c r="D14" s="19">
        <v>22</v>
      </c>
      <c r="E14" s="1"/>
      <c r="F14" s="1"/>
      <c r="G14" s="1"/>
      <c r="H14" s="1"/>
      <c r="I14" s="29"/>
      <c r="J14" s="1"/>
      <c r="K14" s="18"/>
      <c r="L14" s="1"/>
    </row>
    <row r="15" spans="1:12" x14ac:dyDescent="0.25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5" thickBot="1" x14ac:dyDescent="0.3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102</v>
      </c>
      <c r="D13" s="115" t="s">
        <v>103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>
      <formula1>MotorTwochoice</formula1>
    </dataValidation>
    <dataValidation type="list" allowBlank="1" showInputMessage="1" showErrorMessage="1" sqref="D13:G13">
      <formula1>SSDRchoice</formula1>
    </dataValidation>
    <dataValidation type="list" allowBlank="1" showInputMessage="1" showErrorMessage="1" sqref="D12:G12">
      <formula1>initial2CIMchoice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153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102</v>
      </c>
      <c r="D13" s="115" t="s">
        <v>158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WCPSSinputchoice</formula1>
    </dataValidation>
    <dataValidation type="list" allowBlank="1" showInputMessage="1" showErrorMessage="1" sqref="D13:G13">
      <formula1>WCPSSsecondchoice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18"/>
  <sheetViews>
    <sheetView workbookViewId="0"/>
  </sheetViews>
  <sheetFormatPr defaultColWidth="10.875" defaultRowHeight="15.75" x14ac:dyDescent="0.25"/>
  <cols>
    <col min="1" max="1" width="4" style="33" customWidth="1"/>
    <col min="2" max="2" width="2.875" style="33" customWidth="1"/>
    <col min="3" max="3" width="11.875" style="33" customWidth="1"/>
    <col min="4" max="4" width="11.125" style="33" customWidth="1"/>
    <col min="5" max="7" width="10.875" style="33"/>
    <col min="8" max="8" width="3.625" style="33" customWidth="1"/>
    <col min="9" max="10" width="10.875" style="33"/>
    <col min="11" max="11" width="13.875" style="33" customWidth="1"/>
    <col min="12" max="12" width="5.875" style="33" bestFit="1" customWidth="1"/>
    <col min="13" max="16384" width="10.875" style="33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thickBot="1" x14ac:dyDescent="0.3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 x14ac:dyDescent="0.25">
      <c r="A8" s="1"/>
      <c r="B8" s="15"/>
      <c r="C8" s="19">
        <v>4</v>
      </c>
      <c r="D8" s="19">
        <v>1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 x14ac:dyDescent="0.25">
      <c r="A10" s="1"/>
      <c r="B10" s="2"/>
      <c r="C10" s="70" t="s">
        <v>163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7.25" x14ac:dyDescent="0.25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165</v>
      </c>
      <c r="L11" s="8"/>
      <c r="M11" s="5"/>
      <c r="N11" s="5"/>
      <c r="O11" s="5"/>
      <c r="P11" s="5"/>
    </row>
    <row r="12" spans="1:16" x14ac:dyDescent="0.25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 x14ac:dyDescent="0.25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 x14ac:dyDescent="0.25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7.25" x14ac:dyDescent="0.25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165</v>
      </c>
      <c r="L15" s="18"/>
      <c r="M15" s="1"/>
      <c r="N15" s="1"/>
      <c r="O15" s="1"/>
      <c r="P15" s="1"/>
    </row>
    <row r="16" spans="1:16" x14ac:dyDescent="0.25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 x14ac:dyDescent="0.25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Michael Ray</cp:lastModifiedBy>
  <dcterms:created xsi:type="dcterms:W3CDTF">2012-08-11T00:19:30Z</dcterms:created>
  <dcterms:modified xsi:type="dcterms:W3CDTF">2017-05-29T04:53:02Z</dcterms:modified>
</cp:coreProperties>
</file>