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06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Michael\Documents\FRC2017\Transmission\"/>
    </mc:Choice>
  </mc:AlternateContent>
  <bookViews>
    <workbookView xWindow="0" yWindow="0" windowWidth="28800" windowHeight="12210" tabRatio="874" activeTab="1"/>
  </bookViews>
  <sheets>
    <sheet name="READ-ME" sheetId="13" r:id="rId1"/>
    <sheet name="Custom 2-Speed Drive" sheetId="1" r:id="rId2"/>
    <sheet name="VEXpro 3-CIM Ball Shifter" sheetId="14" r:id="rId3"/>
    <sheet name="VEXpro 2-CIM Ball Shifter" sheetId="15" r:id="rId4"/>
    <sheet name="WCP DS" sheetId="19" r:id="rId5"/>
    <sheet name="Custom 1-Speed Drive" sheetId="6" r:id="rId6"/>
    <sheet name="VEXpro SS,DR" sheetId="16" r:id="rId7"/>
    <sheet name="WCP SS" sheetId="20" r:id="rId8"/>
    <sheet name="Articulating Drive" sheetId="11" r:id="rId9"/>
    <sheet name="Rotary Mechanism" sheetId="8" r:id="rId10"/>
    <sheet name="Linear Mechanism" sheetId="9" r:id="rId11"/>
    <sheet name="Intake Mechanism" sheetId="10" r:id="rId12"/>
    <sheet name="DATA" sheetId="4" r:id="rId13"/>
  </sheets>
  <definedNames>
    <definedName name="initial2CIM">DATA!$B$66:$D$67</definedName>
    <definedName name="initial2CIMchoice">DATA!$B$66:$B$67</definedName>
    <definedName name="initial3CIM">DATA!$B$48:$D$49</definedName>
    <definedName name="initial3CIMchoice">DATA!$B$48:$B$49</definedName>
    <definedName name="lowgear3CIM">DATA!$B$53:$D$55</definedName>
    <definedName name="lowgear3CIMchoice">DATA!$B$53:$B$55</definedName>
    <definedName name="Motor">DATA!$J$5:$N$13</definedName>
    <definedName name="MotorChoice">DATA!$J$5:$J$13</definedName>
    <definedName name="Motors">DATA!$B$5:$B$20</definedName>
    <definedName name="MotorTwo">DATA!$J$16:$N$20</definedName>
    <definedName name="MotorTwochoice">DATA!$J$16:$J$20</definedName>
    <definedName name="Specs">DATA!$B$4:$G$20</definedName>
    <definedName name="SSDR">DATA!$B$75:$D$77</definedName>
    <definedName name="SSDRchoice">DATA!$B$75:$B$77</definedName>
    <definedName name="thirdstage2CIM">DATA!$B$69:$D$73</definedName>
    <definedName name="thirdstage2CIMchoice">DATA!$B$69:$B$73</definedName>
    <definedName name="thirdstage3CIM">DATA!$B$57:$D$61</definedName>
    <definedName name="thirdstage3CIMchoice">DATA!$B$57:$B$61</definedName>
    <definedName name="WCPDShighgear">DATA!$B$40:$D$42</definedName>
    <definedName name="WCPDShighgearchoice">DATA!$B$40:$B$42</definedName>
    <definedName name="WCPDSinput">DATA!$B$28:$D$33</definedName>
    <definedName name="WCPDSinputchoice">DATA!$B$28:$B$33</definedName>
    <definedName name="WCPDSlowgear">DATA!$B$36:$D$37</definedName>
    <definedName name="WCPDSlowgearchoice">DATA!$B$36:$B$37</definedName>
    <definedName name="WCPSSinput">DATA!$B$82:$D$85</definedName>
    <definedName name="WCPSSinputchoice">DATA!$B$82:$B$85</definedName>
    <definedName name="WCPSSsecond">DATA!$B$88:$D$92</definedName>
    <definedName name="WCPSSsecondchoice">DATA!$B$88:$B$92</definedName>
  </definedName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5" i="15" l="1"/>
  <c r="J12" i="1"/>
  <c r="I12" i="1"/>
  <c r="J16" i="1"/>
  <c r="I16" i="1"/>
  <c r="C16" i="1"/>
  <c r="F5" i="9"/>
  <c r="G5" i="9"/>
  <c r="E5" i="9"/>
  <c r="F17" i="9"/>
  <c r="F5" i="10"/>
  <c r="G5" i="10"/>
  <c r="E5" i="10"/>
  <c r="F17" i="10"/>
  <c r="O18" i="4"/>
  <c r="O17" i="4"/>
  <c r="O9" i="4"/>
  <c r="O7" i="4"/>
  <c r="O6" i="4"/>
  <c r="D5" i="10"/>
  <c r="D5" i="9"/>
  <c r="G5" i="8"/>
  <c r="F5" i="8"/>
  <c r="E5" i="8"/>
  <c r="D5" i="8"/>
  <c r="G5" i="11"/>
  <c r="F5" i="11"/>
  <c r="E5" i="11"/>
  <c r="D5" i="11"/>
  <c r="G5" i="6"/>
  <c r="F5" i="6"/>
  <c r="E5" i="6"/>
  <c r="D5" i="6"/>
  <c r="G5" i="1"/>
  <c r="F5" i="1"/>
  <c r="E5" i="1"/>
  <c r="D5" i="1"/>
  <c r="G14" i="4"/>
  <c r="G15" i="4"/>
  <c r="G16" i="4"/>
  <c r="G17" i="4"/>
  <c r="G18" i="4"/>
  <c r="G19" i="4"/>
  <c r="G20" i="4"/>
  <c r="G13" i="4"/>
  <c r="G12" i="4"/>
  <c r="G11" i="4"/>
  <c r="E25" i="20"/>
  <c r="D25" i="20"/>
  <c r="E24" i="20"/>
  <c r="D24" i="20"/>
  <c r="G5" i="20"/>
  <c r="F5" i="20"/>
  <c r="E5" i="20"/>
  <c r="D5" i="20"/>
  <c r="E26" i="20"/>
  <c r="D26" i="20"/>
  <c r="G20" i="20"/>
  <c r="E20" i="20"/>
  <c r="D20" i="20"/>
  <c r="F20" i="20"/>
  <c r="E28" i="19"/>
  <c r="D28" i="19"/>
  <c r="E27" i="19"/>
  <c r="D27" i="19"/>
  <c r="E26" i="19"/>
  <c r="E29" i="19"/>
  <c r="D26" i="19"/>
  <c r="D29" i="19"/>
  <c r="F5" i="19"/>
  <c r="G5" i="19"/>
  <c r="E5" i="19"/>
  <c r="D5" i="19"/>
  <c r="O5" i="4"/>
  <c r="O8" i="4"/>
  <c r="O10" i="4"/>
  <c r="O11" i="4"/>
  <c r="O12" i="4"/>
  <c r="O13" i="4"/>
  <c r="O16" i="4"/>
  <c r="O19" i="4"/>
  <c r="O20" i="4"/>
  <c r="G10" i="4"/>
  <c r="E26" i="16"/>
  <c r="D26" i="16"/>
  <c r="E25" i="16"/>
  <c r="D25" i="16"/>
  <c r="E24" i="16"/>
  <c r="D24" i="16"/>
  <c r="F5" i="16"/>
  <c r="G5" i="16"/>
  <c r="E5" i="16"/>
  <c r="D5" i="16"/>
  <c r="D5" i="15"/>
  <c r="E25" i="15"/>
  <c r="D28" i="15"/>
  <c r="E28" i="15"/>
  <c r="D29" i="15"/>
  <c r="E29" i="15"/>
  <c r="F5" i="15"/>
  <c r="G5" i="15"/>
  <c r="E5" i="15"/>
  <c r="D5" i="14"/>
  <c r="D26" i="14"/>
  <c r="E26" i="14"/>
  <c r="D29" i="14"/>
  <c r="E29" i="14"/>
  <c r="D30" i="14"/>
  <c r="E30" i="14"/>
  <c r="D28" i="14"/>
  <c r="E28" i="14"/>
  <c r="F5" i="14"/>
  <c r="G5" i="14"/>
  <c r="E5" i="14"/>
  <c r="J12" i="11"/>
  <c r="I12" i="11"/>
  <c r="F8" i="11"/>
  <c r="F16" i="11"/>
  <c r="G16" i="11"/>
  <c r="F12" i="10"/>
  <c r="G12" i="10"/>
  <c r="G17" i="9"/>
  <c r="F12" i="9"/>
  <c r="G12" i="9"/>
  <c r="G17" i="8"/>
  <c r="F12" i="8"/>
  <c r="G12" i="6"/>
  <c r="F12" i="6"/>
  <c r="G6" i="4"/>
  <c r="G7" i="4"/>
  <c r="G17" i="10"/>
  <c r="C16" i="10"/>
  <c r="C16" i="9"/>
  <c r="C16" i="8"/>
  <c r="F13" i="6"/>
  <c r="I17" i="1"/>
  <c r="I13" i="1"/>
  <c r="G5" i="4"/>
  <c r="G9" i="4"/>
  <c r="G8" i="4"/>
  <c r="F13" i="10"/>
  <c r="G13" i="10"/>
  <c r="G20" i="15"/>
  <c r="E22" i="19"/>
  <c r="D22" i="19"/>
  <c r="F20" i="15"/>
  <c r="G21" i="19"/>
  <c r="E21" i="15"/>
  <c r="D21" i="15"/>
  <c r="F20" i="16"/>
  <c r="K12" i="1"/>
  <c r="F17" i="8"/>
  <c r="J16" i="11"/>
  <c r="I16" i="11"/>
  <c r="I17" i="11"/>
  <c r="F21" i="14"/>
  <c r="F21" i="15"/>
  <c r="G21" i="15"/>
  <c r="E20" i="16"/>
  <c r="D20" i="16"/>
  <c r="G20" i="16"/>
  <c r="G22" i="19"/>
  <c r="F22" i="14"/>
  <c r="G21" i="14"/>
  <c r="F22" i="19"/>
  <c r="E21" i="14"/>
  <c r="D21" i="14"/>
  <c r="G22" i="14"/>
  <c r="F21" i="19"/>
  <c r="E20" i="15"/>
  <c r="D20" i="15"/>
  <c r="D30" i="15"/>
  <c r="E22" i="14"/>
  <c r="D22" i="14"/>
  <c r="D31" i="14"/>
  <c r="E21" i="19"/>
  <c r="D21" i="19"/>
  <c r="D30" i="19"/>
  <c r="F13" i="9"/>
  <c r="G13" i="9"/>
  <c r="K16" i="1"/>
  <c r="I12" i="6"/>
  <c r="K12" i="11"/>
  <c r="K16" i="11"/>
  <c r="F13" i="8"/>
  <c r="G13" i="8"/>
  <c r="G12" i="8"/>
</calcChain>
</file>

<file path=xl/sharedStrings.xml><?xml version="1.0" encoding="utf-8"?>
<sst xmlns="http://schemas.openxmlformats.org/spreadsheetml/2006/main" count="428" uniqueCount="203">
  <si>
    <t>Free Speed (RPM)</t>
  </si>
  <si>
    <t>Stall Torque (N*m)</t>
  </si>
  <si>
    <t>Stall Current (Amp)</t>
  </si>
  <si>
    <t>Free Current (Amp)</t>
  </si>
  <si>
    <t>Speed Loss Constant</t>
  </si>
  <si>
    <t>Drivetrain Efficiency</t>
  </si>
  <si>
    <t>CIM</t>
  </si>
  <si>
    <t>Total Weight (lbs)</t>
  </si>
  <si>
    <t>Weight on Driven Wheels</t>
  </si>
  <si>
    <t>Wheel Dia. (in)</t>
  </si>
  <si>
    <t>Wheel Coeff</t>
  </si>
  <si>
    <t>Driving               Gear</t>
  </si>
  <si>
    <t>Driven                     Gear</t>
  </si>
  <si>
    <t>High Speed Driving Gear</t>
  </si>
  <si>
    <t>High Speed Driven Gear</t>
  </si>
  <si>
    <t>Low Speed Driving Gear</t>
  </si>
  <si>
    <t>Low Speed Driven Gear</t>
  </si>
  <si>
    <t>&lt;--Shifter Spread</t>
  </si>
  <si>
    <t>Power (W)</t>
  </si>
  <si>
    <t># Gearboxes in Drivetrain</t>
  </si>
  <si>
    <t># Motors per Gearbox</t>
  </si>
  <si>
    <t>&lt;-- High Gear</t>
  </si>
  <si>
    <t>&lt;-- Low Gear</t>
  </si>
  <si>
    <t>&lt;-- Overall Gear Ratio</t>
  </si>
  <si>
    <t>Total Robot Weight (lbs)</t>
  </si>
  <si>
    <t>Drivetrain Free-Speed</t>
  </si>
  <si>
    <t>Drivetrain Adjusted Speed</t>
  </si>
  <si>
    <t>Drivetrain High Gear Free-Speed</t>
  </si>
  <si>
    <t>Drivetrain Low Gear Free-Speed</t>
  </si>
  <si>
    <t>Rotary Mechanism</t>
  </si>
  <si>
    <t>Gearbox Efficiency</t>
  </si>
  <si>
    <t>Arm Load (lbs)</t>
  </si>
  <si>
    <t>Arm Length (in)</t>
  </si>
  <si>
    <t>No Load:</t>
  </si>
  <si>
    <t>Loaded:</t>
  </si>
  <si>
    <t>Arm Rotational Speed</t>
  </si>
  <si>
    <t>Arm Time to move 90-degrees</t>
  </si>
  <si>
    <t>Stall Load</t>
  </si>
  <si>
    <t>&lt;-- Overall Ratio</t>
  </si>
  <si>
    <t>Current Draw per Motor  (loaded)</t>
  </si>
  <si>
    <t>Applied Load (lbs)</t>
  </si>
  <si>
    <t>Pulley Diameter (in)</t>
  </si>
  <si>
    <t>Elevator Linear Speed</t>
  </si>
  <si>
    <t>Arm Time to move Travel Distance</t>
  </si>
  <si>
    <t>Travel Distance (in)</t>
  </si>
  <si>
    <t>Linear Mechanism</t>
  </si>
  <si>
    <t>Intake Mechanism</t>
  </si>
  <si>
    <t>Roller Diameter (in)</t>
  </si>
  <si>
    <t># Intake Sides (1 or 2)</t>
  </si>
  <si>
    <t>Drag Load (lb)</t>
  </si>
  <si>
    <t>Intake Linear Speed</t>
  </si>
  <si>
    <t>Intake Time to move Travel Distance</t>
  </si>
  <si>
    <t>BAG Motor</t>
  </si>
  <si>
    <t>Stall Drag Load</t>
  </si>
  <si>
    <t>Current Draw per Motor (loaded)</t>
  </si>
  <si>
    <t>1-Speed Drivetrain</t>
  </si>
  <si>
    <t>2-Speed Drivetrain</t>
  </si>
  <si>
    <t>Stall Torque (N-m)</t>
  </si>
  <si>
    <t>Motor Specifications</t>
  </si>
  <si>
    <t>&lt;--"Shifter" Spread</t>
  </si>
  <si>
    <t>Secondary Wheel Dia. (in)</t>
  </si>
  <si>
    <t>Secondary Coeff</t>
  </si>
  <si>
    <t>Robot (lbs)</t>
  </si>
  <si>
    <t>Bumpers (lbs)</t>
  </si>
  <si>
    <t>Battery (lbs)</t>
  </si>
  <si>
    <t>Primary Wheel Dia. (in)</t>
  </si>
  <si>
    <t>Primary Coeff</t>
  </si>
  <si>
    <t>Primary Free-Speed (ft/s)</t>
  </si>
  <si>
    <t>Primary Adjusted Speed (ft/s)</t>
  </si>
  <si>
    <t>Secondary Free-Speed (ft/s)</t>
  </si>
  <si>
    <t>Secondary Adjusted Speed (ft/s)</t>
  </si>
  <si>
    <t>Articulating Drivetrain</t>
  </si>
  <si>
    <t>WCP - DS Gear Options</t>
  </si>
  <si>
    <t>Input Stage</t>
  </si>
  <si>
    <t>Note, this calculator is provided as a design reference ONLY.</t>
  </si>
  <si>
    <t>Notes:</t>
  </si>
  <si>
    <t>Drop down cells, used to choose between specifically available options.  Click and choose from a list.</t>
  </si>
  <si>
    <t>Entry cells, used to input values specific to the designer's robot.  Type custom data.</t>
  </si>
  <si>
    <t>Choose Gearbox Motors:</t>
  </si>
  <si>
    <t>2 CIM</t>
  </si>
  <si>
    <t>Wheel Coeff of Friction</t>
  </si>
  <si>
    <t>Select VEXpro Gearbox Options:</t>
  </si>
  <si>
    <t>Choose Motor Pinions:</t>
  </si>
  <si>
    <t>Standard 12-tooth Pinion [50:12]</t>
  </si>
  <si>
    <t>Choose Low Gear Option:</t>
  </si>
  <si>
    <t>Low Gear Option 1 (2.16x Shifter Spread) [50:34]</t>
  </si>
  <si>
    <t>Choose 3rd Stage Gearing:</t>
  </si>
  <si>
    <t>3rd Stage Option 1 [64:20]</t>
  </si>
  <si>
    <t>External Reduction:</t>
  </si>
  <si>
    <t>Drivetrain Outputs:</t>
  </si>
  <si>
    <t>Drivetrain "Real Life" Speed</t>
  </si>
  <si>
    <t>Overal Ratio</t>
  </si>
  <si>
    <t>High Gear Outputs:</t>
  </si>
  <si>
    <t>Low Gear Outputs</t>
  </si>
  <si>
    <t>Chosen Gearing Config:</t>
  </si>
  <si>
    <t>Initial Gearing Stage:</t>
  </si>
  <si>
    <t>High Gear Stage:</t>
  </si>
  <si>
    <t>Low Gear Stage:</t>
  </si>
  <si>
    <t>3rd Gearbox Stage:</t>
  </si>
  <si>
    <t>External Stage:</t>
  </si>
  <si>
    <t>High-Low Spread:</t>
  </si>
  <si>
    <t>Standard 12-tooth Pinion [40:12]</t>
  </si>
  <si>
    <t>Choose 2nd Stage Gearing:</t>
  </si>
  <si>
    <t>Standard 2nd Stage [40:14]</t>
  </si>
  <si>
    <t>2nd Gearbox Stage:</t>
  </si>
  <si>
    <t>1 CIM</t>
  </si>
  <si>
    <t>3 CIM</t>
  </si>
  <si>
    <t>3-CIM Ball Shifter</t>
  </si>
  <si>
    <t>Initial Stage</t>
  </si>
  <si>
    <t>Optional 11-tooth Pinion [50:11]</t>
  </si>
  <si>
    <t>High Gear</t>
  </si>
  <si>
    <t>Low Gear Option 2 (2.65x Shifter Spread) [54:30]</t>
  </si>
  <si>
    <t>Low Gear Option 3 (3.68x Shifter Spread) [60:24]</t>
  </si>
  <si>
    <t>NO 3rd Stage Gearing</t>
  </si>
  <si>
    <t>3rd Stage Option 2 [60:24]</t>
  </si>
  <si>
    <t>3rd Stage Option 3 [54:30]</t>
  </si>
  <si>
    <t>3rd Stage Option 4 [50:34]</t>
  </si>
  <si>
    <t>2-CIM Ball Shifter</t>
  </si>
  <si>
    <t>Optional 11-tooth Pinion [40:11]</t>
  </si>
  <si>
    <t>Optional 2nd Stage [34:20]</t>
  </si>
  <si>
    <t>Optional 2nd Stage [30:24]</t>
  </si>
  <si>
    <t>Low Gear Options</t>
  </si>
  <si>
    <t>11:42</t>
  </si>
  <si>
    <t>12:42</t>
  </si>
  <si>
    <t>13:42</t>
  </si>
  <si>
    <t>13:40</t>
  </si>
  <si>
    <t>14:42</t>
  </si>
  <si>
    <t>14:40</t>
  </si>
  <si>
    <t>24:50</t>
  </si>
  <si>
    <t>14:60</t>
  </si>
  <si>
    <t>High Gear Options</t>
  </si>
  <si>
    <t>30:44</t>
  </si>
  <si>
    <t>34:40</t>
  </si>
  <si>
    <t>Additional External Reduction:</t>
  </si>
  <si>
    <t>JVN DesignCalc - Gearing &amp; Motor Calculator</t>
  </si>
  <si>
    <t>Specs used for VEXpro &amp; WCP Gearbox Calculators</t>
  </si>
  <si>
    <t>Drivetrain Low Gear "Real Life" Speed</t>
  </si>
  <si>
    <t>Drivetrain High Gear "Real Life" Speed</t>
  </si>
  <si>
    <t>"Real Life" Speed Loss Constant</t>
  </si>
  <si>
    <t>Select WCP DS Gearbox Options:</t>
  </si>
  <si>
    <t>Choose Initial Reduction:</t>
  </si>
  <si>
    <t>Choose High Gear Option:</t>
  </si>
  <si>
    <t>3rd Stage Option 3 [60:24]</t>
  </si>
  <si>
    <t>3rd Stage Option 4 [64:20]</t>
  </si>
  <si>
    <t>3rd Stage Option 1 [50:34]</t>
  </si>
  <si>
    <t>3rd Stage Option 2 [54:30]</t>
  </si>
  <si>
    <t>BB RS-775-18</t>
  </si>
  <si>
    <t>775pro</t>
  </si>
  <si>
    <t>AM 775</t>
  </si>
  <si>
    <t>AM 9015</t>
  </si>
  <si>
    <t>For testing details refer to: motors.vex.com</t>
  </si>
  <si>
    <t>All specifications listed at 12V based on empirical testing by VEX Robotics, "combined motor" specs calculated using Paul Copioli's "Useful Calculations" spreadsheet.</t>
  </si>
  <si>
    <t>WCP - SS Gear Options</t>
  </si>
  <si>
    <t>11-tooth Pinion [50:11]</t>
  </si>
  <si>
    <t>12-tooth Pinion [50:12]</t>
  </si>
  <si>
    <t>13-tooth Pinion [50:13]</t>
  </si>
  <si>
    <t>14-tooth Pinion [50:14]</t>
  </si>
  <si>
    <t>Second Stage</t>
  </si>
  <si>
    <t>2nd Stage Option 1 [40:34]</t>
  </si>
  <si>
    <t>2nd Stage Option 2 [44:30]</t>
  </si>
  <si>
    <t>2nd Stage Option 3 [50:24]</t>
  </si>
  <si>
    <t>2nd Stage Option 4 [54:20]</t>
  </si>
  <si>
    <t>2nd Stage Option 5 [60:14]</t>
  </si>
  <si>
    <t>Drivetrain Config:</t>
  </si>
  <si>
    <t>I can NOT guarantee the performance of every specific configuration designed by a team.</t>
  </si>
  <si>
    <t>"Pushing" Current Draw per Motor</t>
  </si>
  <si>
    <t>VEXpro 3-CIM Ball Shifter Drivetrain</t>
  </si>
  <si>
    <t>VEXpro 2-CIM Ball Shifter Drivetrain</t>
  </si>
  <si>
    <t>WCP DS Gearbox Drivetrain</t>
  </si>
  <si>
    <t>VEXpro Single Speed, Double Reduction Drivetrain</t>
  </si>
  <si>
    <t>WCP SS Gearbox Drivetrain</t>
  </si>
  <si>
    <t>Mini CIM</t>
  </si>
  <si>
    <t>1 CIM + 1 Mini CIM (Copioli)</t>
  </si>
  <si>
    <t>1 CIM + 2 Mini CIM (Copioli)</t>
  </si>
  <si>
    <t>2 CIM + 1 Mini CIM (Copioli)</t>
  </si>
  <si>
    <t>http://www.vexrobotics.com/vexpro/motion/gearboxes/3cimballshifter.html</t>
  </si>
  <si>
    <t>http://www.vexrobotics.com/vexpro/motion/gearboxes/ball-shifter.html</t>
  </si>
  <si>
    <t>http://www.vexrobotics.com/vexpro/motion/gearboxes/wcp-ds.html</t>
  </si>
  <si>
    <t>http://www.vexrobotics.com/vexpro/motion/gearboxes/single-speed-double-reduction.html</t>
  </si>
  <si>
    <t>http://www.vexrobotics.com/vexpro/motion/gearboxes/wcp-ss.html</t>
  </si>
  <si>
    <t>"Pushing" Current Draw per Gearbox</t>
  </si>
  <si>
    <t>2 Mini CIM</t>
  </si>
  <si>
    <t>1 Mini CIM</t>
  </si>
  <si>
    <t>3 Mini CIM</t>
  </si>
  <si>
    <t>BB RS-550</t>
  </si>
  <si>
    <t>Release History:</t>
  </si>
  <si>
    <t>Initial 2016 Release</t>
  </si>
  <si>
    <t xml:space="preserve">
Incorporates the "tested" motor values from motors.vex.com</t>
  </si>
  <si>
    <t>Includes drop-downs to select motors directly from gearing sheets (or you can still enter your own numbers).</t>
  </si>
  <si>
    <t>Includes sheets for design of drivetrains using VEXpro and WCP gearboxes (with drop-down selection of gearing options)</t>
  </si>
  <si>
    <t>Includes a sheet for articulated drives (Butterfly, Octocanum, etc) with different wheel types, and varied gearing between wheels.</t>
  </si>
  <si>
    <t>Some sheets have been simplified for inexperienced users.</t>
  </si>
  <si>
    <t>Sheets have been tweaked to make it easier to have "multiple iterations" on the same worksheet.</t>
  </si>
  <si>
    <t>http://www.chiefdelphi.com/media/papers/3188?</t>
  </si>
  <si>
    <t>Added RS-550 Motor Data from motors.vex.com</t>
  </si>
  <si>
    <t>Changed the Motor selection lookup formula on the "non VEXpro" sheets to better allow for multiple iterations on the same sheet</t>
  </si>
  <si>
    <t>Added additional "All MiniCIM" motor selection options on VEXpro sheets</t>
  </si>
  <si>
    <t>Fixed some formatting that no one else would notice but was driving me nuts</t>
  </si>
  <si>
    <t>Added a release history</t>
  </si>
  <si>
    <t>Fixed an error in the Intake mechanism sheet which applied the load based on the pulley diameter instead of radius</t>
  </si>
  <si>
    <t>(Yes, that means I forgot to divide by 2 at some point)</t>
  </si>
  <si>
    <t>Release 2/14/2016</t>
  </si>
  <si>
    <r>
      <t xml:space="preserve">Contact </t>
    </r>
    <r>
      <rPr>
        <b/>
        <u/>
        <sz val="12"/>
        <color rgb="FFFF0000"/>
        <rFont val="Calibri"/>
        <family val="2"/>
        <scheme val="minor"/>
      </rPr>
      <t>john.vneun@gmail.com</t>
    </r>
    <r>
      <rPr>
        <sz val="12"/>
        <color theme="1"/>
        <rFont val="Calibri"/>
        <family val="2"/>
        <scheme val="minor"/>
      </rPr>
      <t xml:space="preserve"> for assistance.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</si>
</sst>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164" formatCode="0.00\ &quot;: 1&quot;"/>
    <numFmt numFmtId="165" formatCode="0.00\ \x"/>
    <numFmt numFmtId="166" formatCode="0.00\ &quot;ft/s&quot;"/>
    <numFmt numFmtId="167" formatCode="0.00\ &quot;Amps&quot;"/>
    <numFmt numFmtId="168" formatCode="0.00\ &quot;amps&quot;"/>
    <numFmt numFmtId="169" formatCode="0.0\ &quot;deg/s&quot;"/>
    <numFmt numFmtId="170" formatCode="0.00\ &quot;sec&quot;"/>
    <numFmt numFmtId="171" formatCode="0.00\ &quot;lbs&quot;"/>
    <numFmt numFmtId="172" formatCode="0.0\ &quot;in/s&quot;"/>
  </numFmts>
  <fonts count="21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indexed="10"/>
      <name val="Calibri"/>
      <scheme val="minor"/>
    </font>
    <font>
      <sz val="12"/>
      <name val="Calibri"/>
      <scheme val="minor"/>
    </font>
    <font>
      <sz val="10"/>
      <color theme="1"/>
      <name val="Arial"/>
    </font>
    <font>
      <b/>
      <sz val="8"/>
      <color theme="5"/>
      <name val="Arial"/>
      <family val="2"/>
    </font>
    <font>
      <b/>
      <sz val="12"/>
      <color theme="5"/>
      <name val="Arial"/>
      <family val="2"/>
    </font>
    <font>
      <sz val="12"/>
      <name val="Calibri"/>
      <family val="2"/>
      <scheme val="minor"/>
    </font>
    <font>
      <sz val="12"/>
      <color indexed="10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indexed="1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u/>
      <sz val="12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n">
        <color theme="6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255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21">
    <xf numFmtId="0" fontId="0" fillId="0" borderId="0" xfId="0"/>
    <xf numFmtId="0" fontId="0" fillId="0" borderId="0" xfId="0" applyFont="1" applyBorder="1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2" xfId="0" applyFont="1" applyBorder="1" applyAlignment="1">
      <alignment vertical="center"/>
    </xf>
    <xf numFmtId="0" fontId="0" fillId="0" borderId="3" xfId="0" applyFont="1" applyBorder="1" applyAlignment="1">
      <alignment vertical="center"/>
    </xf>
    <xf numFmtId="0" fontId="0" fillId="0" borderId="0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0" xfId="0" applyFont="1" applyBorder="1" applyAlignment="1">
      <alignment horizontal="right" vertical="center"/>
    </xf>
    <xf numFmtId="0" fontId="0" fillId="0" borderId="5" xfId="0" applyNumberFormat="1" applyFont="1" applyFill="1" applyBorder="1" applyAlignment="1">
      <alignment horizontal="center" vertical="center"/>
    </xf>
    <xf numFmtId="9" fontId="0" fillId="2" borderId="5" xfId="0" applyNumberFormat="1" applyFont="1" applyFill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4" xfId="0" applyFont="1" applyBorder="1" applyAlignment="1">
      <alignment vertical="center"/>
    </xf>
    <xf numFmtId="0" fontId="0" fillId="0" borderId="0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/>
    </xf>
    <xf numFmtId="0" fontId="0" fillId="0" borderId="6" xfId="0" applyFont="1" applyBorder="1" applyAlignment="1">
      <alignment vertical="center"/>
    </xf>
    <xf numFmtId="0" fontId="0" fillId="2" borderId="5" xfId="0" applyFont="1" applyFill="1" applyBorder="1" applyAlignment="1">
      <alignment horizontal="center" vertical="center"/>
    </xf>
    <xf numFmtId="0" fontId="0" fillId="0" borderId="7" xfId="0" applyFont="1" applyBorder="1" applyAlignment="1">
      <alignment vertical="center"/>
    </xf>
    <xf numFmtId="0" fontId="0" fillId="0" borderId="8" xfId="0" applyFont="1" applyFill="1" applyBorder="1" applyAlignment="1">
      <alignment horizontal="center" vertical="center"/>
    </xf>
    <xf numFmtId="0" fontId="0" fillId="0" borderId="8" xfId="0" applyFont="1" applyBorder="1" applyAlignment="1">
      <alignment vertical="center"/>
    </xf>
    <xf numFmtId="0" fontId="0" fillId="0" borderId="8" xfId="0" applyFont="1" applyFill="1" applyBorder="1" applyAlignment="1">
      <alignment horizontal="left" vertical="center"/>
    </xf>
    <xf numFmtId="0" fontId="0" fillId="0" borderId="8" xfId="0" applyFont="1" applyFill="1" applyBorder="1" applyAlignment="1">
      <alignment horizontal="center" vertical="center" wrapText="1"/>
    </xf>
    <xf numFmtId="0" fontId="0" fillId="0" borderId="9" xfId="0" applyFont="1" applyBorder="1" applyAlignment="1">
      <alignment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left" vertical="center"/>
    </xf>
    <xf numFmtId="0" fontId="0" fillId="0" borderId="2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left" vertical="center"/>
    </xf>
    <xf numFmtId="2" fontId="0" fillId="0" borderId="0" xfId="0" applyNumberFormat="1" applyFont="1" applyBorder="1" applyAlignment="1">
      <alignment horizontal="center" vertical="center"/>
    </xf>
    <xf numFmtId="2" fontId="3" fillId="0" borderId="5" xfId="0" applyNumberFormat="1" applyFont="1" applyFill="1" applyBorder="1" applyAlignment="1">
      <alignment horizontal="center" vertical="center" wrapText="1"/>
    </xf>
    <xf numFmtId="2" fontId="3" fillId="0" borderId="0" xfId="0" applyNumberFormat="1" applyFont="1" applyAlignment="1">
      <alignment horizontal="center" vertical="center" wrapText="1"/>
    </xf>
    <xf numFmtId="0" fontId="0" fillId="0" borderId="0" xfId="0" applyFont="1"/>
    <xf numFmtId="0" fontId="7" fillId="0" borderId="2" xfId="0" applyFont="1" applyBorder="1" applyAlignment="1">
      <alignment vertical="center"/>
    </xf>
    <xf numFmtId="0" fontId="7" fillId="0" borderId="5" xfId="0" applyFont="1" applyFill="1" applyBorder="1" applyAlignment="1">
      <alignment horizontal="center" vertical="center" wrapText="1"/>
    </xf>
    <xf numFmtId="0" fontId="7" fillId="5" borderId="5" xfId="0" applyFont="1" applyFill="1" applyBorder="1" applyAlignment="1">
      <alignment horizontal="center" vertical="center" wrapText="1"/>
    </xf>
    <xf numFmtId="0" fontId="7" fillId="4" borderId="5" xfId="0" applyFont="1" applyFill="1" applyBorder="1" applyAlignment="1">
      <alignment horizontal="center" vertical="center" wrapText="1"/>
    </xf>
    <xf numFmtId="164" fontId="0" fillId="0" borderId="0" xfId="0" applyNumberFormat="1" applyFont="1" applyBorder="1" applyAlignment="1">
      <alignment vertical="center"/>
    </xf>
    <xf numFmtId="164" fontId="0" fillId="0" borderId="0" xfId="0" applyNumberFormat="1" applyFont="1" applyBorder="1" applyAlignment="1">
      <alignment horizontal="center" vertical="center"/>
    </xf>
    <xf numFmtId="165" fontId="0" fillId="0" borderId="0" xfId="0" applyNumberFormat="1" applyFont="1" applyBorder="1" applyAlignment="1">
      <alignment horizontal="center" vertical="center"/>
    </xf>
    <xf numFmtId="166" fontId="6" fillId="0" borderId="5" xfId="0" applyNumberFormat="1" applyFont="1" applyBorder="1" applyAlignment="1">
      <alignment horizontal="center" vertical="center"/>
    </xf>
    <xf numFmtId="167" fontId="0" fillId="0" borderId="5" xfId="0" applyNumberFormat="1" applyFont="1" applyBorder="1" applyAlignment="1">
      <alignment horizontal="center" vertical="center"/>
    </xf>
    <xf numFmtId="164" fontId="0" fillId="0" borderId="0" xfId="0" applyNumberFormat="1" applyFont="1" applyBorder="1" applyAlignment="1">
      <alignment horizontal="center" vertical="top"/>
    </xf>
    <xf numFmtId="0" fontId="0" fillId="0" borderId="0" xfId="0" applyFont="1" applyBorder="1" applyAlignment="1">
      <alignment vertical="top"/>
    </xf>
    <xf numFmtId="168" fontId="6" fillId="0" borderId="5" xfId="0" applyNumberFormat="1" applyFont="1" applyBorder="1" applyAlignment="1">
      <alignment horizontal="center" vertical="center"/>
    </xf>
    <xf numFmtId="169" fontId="6" fillId="0" borderId="5" xfId="0" applyNumberFormat="1" applyFont="1" applyBorder="1" applyAlignment="1">
      <alignment horizontal="center" vertical="center"/>
    </xf>
    <xf numFmtId="170" fontId="6" fillId="0" borderId="5" xfId="0" applyNumberFormat="1" applyFont="1" applyBorder="1" applyAlignment="1">
      <alignment horizontal="center" vertical="center"/>
    </xf>
    <xf numFmtId="171" fontId="0" fillId="0" borderId="5" xfId="0" applyNumberFormat="1" applyFont="1" applyBorder="1" applyAlignment="1">
      <alignment horizontal="center" vertical="center"/>
    </xf>
    <xf numFmtId="172" fontId="6" fillId="0" borderId="5" xfId="0" applyNumberFormat="1" applyFont="1" applyBorder="1" applyAlignment="1">
      <alignment horizontal="center" vertical="center"/>
    </xf>
    <xf numFmtId="0" fontId="0" fillId="0" borderId="0" xfId="0" applyNumberFormat="1" applyFont="1" applyFill="1" applyBorder="1" applyAlignment="1">
      <alignment horizontal="center" vertical="center"/>
    </xf>
    <xf numFmtId="170" fontId="6" fillId="0" borderId="0" xfId="0" applyNumberFormat="1" applyFont="1" applyBorder="1" applyAlignment="1">
      <alignment horizontal="center" vertical="center"/>
    </xf>
    <xf numFmtId="171" fontId="0" fillId="0" borderId="0" xfId="0" applyNumberFormat="1" applyFont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right" vertical="center" wrapText="1"/>
    </xf>
    <xf numFmtId="0" fontId="3" fillId="0" borderId="5" xfId="0" applyNumberFormat="1" applyFont="1" applyFill="1" applyBorder="1" applyAlignment="1">
      <alignment horizontal="center" vertical="center" wrapText="1"/>
    </xf>
    <xf numFmtId="2" fontId="8" fillId="0" borderId="0" xfId="0" applyNumberFormat="1" applyFont="1" applyBorder="1" applyAlignment="1">
      <alignment horizontal="center" vertical="center" wrapText="1"/>
    </xf>
    <xf numFmtId="2" fontId="8" fillId="0" borderId="0" xfId="0" applyNumberFormat="1" applyFont="1" applyAlignment="1">
      <alignment horizontal="center" vertical="center" wrapText="1"/>
    </xf>
    <xf numFmtId="0" fontId="8" fillId="0" borderId="0" xfId="0" applyFont="1"/>
    <xf numFmtId="2" fontId="2" fillId="0" borderId="0" xfId="0" applyNumberFormat="1" applyFont="1" applyBorder="1" applyAlignment="1">
      <alignment horizontal="center" vertical="center" wrapText="1"/>
    </xf>
    <xf numFmtId="2" fontId="2" fillId="0" borderId="0" xfId="0" applyNumberFormat="1" applyFont="1" applyBorder="1" applyAlignment="1">
      <alignment horizontal="right" vertical="center" wrapText="1"/>
    </xf>
    <xf numFmtId="2" fontId="2" fillId="0" borderId="0" xfId="0" applyNumberFormat="1" applyFont="1" applyAlignment="1">
      <alignment horizontal="center" vertical="center" wrapText="1"/>
    </xf>
    <xf numFmtId="2" fontId="8" fillId="0" borderId="5" xfId="0" applyNumberFormat="1" applyFont="1" applyBorder="1" applyAlignment="1">
      <alignment horizontal="center" vertical="center" wrapText="1"/>
    </xf>
    <xf numFmtId="2" fontId="8" fillId="0" borderId="5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right"/>
    </xf>
    <xf numFmtId="1" fontId="3" fillId="0" borderId="5" xfId="0" applyNumberFormat="1" applyFont="1" applyFill="1" applyBorder="1" applyAlignment="1">
      <alignment horizontal="center" vertical="center" wrapText="1"/>
    </xf>
    <xf numFmtId="1" fontId="8" fillId="0" borderId="5" xfId="0" applyNumberFormat="1" applyFont="1" applyFill="1" applyBorder="1" applyAlignment="1">
      <alignment horizontal="center" vertical="center"/>
    </xf>
    <xf numFmtId="1" fontId="3" fillId="0" borderId="5" xfId="0" applyNumberFormat="1" applyFont="1" applyBorder="1" applyAlignment="1">
      <alignment horizontal="center" vertical="center" wrapText="1"/>
    </xf>
    <xf numFmtId="2" fontId="9" fillId="0" borderId="0" xfId="0" applyNumberFormat="1" applyFont="1" applyBorder="1" applyAlignment="1">
      <alignment horizontal="left" vertical="center"/>
    </xf>
    <xf numFmtId="2" fontId="10" fillId="0" borderId="0" xfId="0" applyNumberFormat="1" applyFont="1" applyBorder="1" applyAlignment="1">
      <alignment horizontal="left" vertical="center"/>
    </xf>
    <xf numFmtId="0" fontId="11" fillId="0" borderId="0" xfId="0" applyFont="1" applyBorder="1" applyAlignment="1">
      <alignment vertical="center"/>
    </xf>
    <xf numFmtId="0" fontId="11" fillId="0" borderId="2" xfId="0" applyFont="1" applyBorder="1" applyAlignment="1">
      <alignment vertical="center"/>
    </xf>
    <xf numFmtId="2" fontId="12" fillId="0" borderId="5" xfId="0" applyNumberFormat="1" applyFont="1" applyBorder="1" applyAlignment="1">
      <alignment horizontal="center" vertical="center"/>
    </xf>
    <xf numFmtId="0" fontId="11" fillId="4" borderId="5" xfId="0" applyFont="1" applyFill="1" applyBorder="1" applyAlignment="1">
      <alignment horizontal="center" vertical="center" wrapText="1"/>
    </xf>
    <xf numFmtId="0" fontId="0" fillId="0" borderId="5" xfId="0" applyFont="1" applyFill="1" applyBorder="1" applyAlignment="1">
      <alignment horizontal="center" vertical="center"/>
    </xf>
    <xf numFmtId="0" fontId="0" fillId="3" borderId="0" xfId="0" applyFont="1" applyFill="1" applyBorder="1" applyAlignment="1">
      <alignment horizontal="right" vertical="center"/>
    </xf>
    <xf numFmtId="20" fontId="8" fillId="0" borderId="0" xfId="0" applyNumberFormat="1" applyFont="1"/>
    <xf numFmtId="0" fontId="13" fillId="0" borderId="0" xfId="0" applyFont="1" applyAlignment="1">
      <alignment horizontal="right"/>
    </xf>
    <xf numFmtId="0" fontId="13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0" fontId="14" fillId="0" borderId="0" xfId="0" applyFont="1"/>
    <xf numFmtId="2" fontId="14" fillId="0" borderId="5" xfId="0" applyNumberFormat="1" applyFont="1" applyBorder="1" applyAlignment="1">
      <alignment horizontal="center" vertical="center" wrapText="1"/>
    </xf>
    <xf numFmtId="0" fontId="14" fillId="0" borderId="0" xfId="0" applyFont="1" applyAlignment="1">
      <alignment horizontal="right"/>
    </xf>
    <xf numFmtId="20" fontId="14" fillId="0" borderId="0" xfId="0" quotePrefix="1" applyNumberFormat="1" applyFont="1" applyAlignment="1">
      <alignment horizontal="right"/>
    </xf>
    <xf numFmtId="0" fontId="14" fillId="0" borderId="0" xfId="0" quotePrefix="1" applyFont="1" applyAlignment="1">
      <alignment horizontal="right"/>
    </xf>
    <xf numFmtId="0" fontId="15" fillId="0" borderId="0" xfId="0" applyFont="1" applyBorder="1" applyAlignment="1">
      <alignment vertical="center"/>
    </xf>
    <xf numFmtId="0" fontId="0" fillId="0" borderId="0" xfId="0" applyFont="1" applyBorder="1" applyAlignment="1">
      <alignment horizontal="right"/>
    </xf>
    <xf numFmtId="0" fontId="0" fillId="0" borderId="11" xfId="0" applyNumberFormat="1" applyFont="1" applyFill="1" applyBorder="1" applyAlignment="1">
      <alignment horizontal="center" vertical="center"/>
    </xf>
    <xf numFmtId="0" fontId="11" fillId="0" borderId="5" xfId="0" applyFont="1" applyFill="1" applyBorder="1" applyAlignment="1">
      <alignment horizontal="center" vertical="center" wrapText="1"/>
    </xf>
    <xf numFmtId="0" fontId="16" fillId="0" borderId="1" xfId="0" applyFont="1" applyBorder="1" applyAlignment="1">
      <alignment vertical="center"/>
    </xf>
    <xf numFmtId="0" fontId="16" fillId="0" borderId="2" xfId="0" applyFont="1" applyBorder="1" applyAlignment="1">
      <alignment vertical="center"/>
    </xf>
    <xf numFmtId="0" fontId="16" fillId="0" borderId="4" xfId="0" applyFont="1" applyBorder="1" applyAlignment="1">
      <alignment vertical="center"/>
    </xf>
    <xf numFmtId="0" fontId="16" fillId="0" borderId="0" xfId="0" applyFont="1" applyBorder="1" applyAlignment="1">
      <alignment vertical="center"/>
    </xf>
    <xf numFmtId="0" fontId="0" fillId="0" borderId="4" xfId="0" applyFont="1" applyBorder="1" applyAlignment="1">
      <alignment horizontal="left" vertical="center"/>
    </xf>
    <xf numFmtId="0" fontId="0" fillId="0" borderId="0" xfId="0" applyFont="1" applyBorder="1" applyAlignment="1">
      <alignment horizontal="left" vertical="center"/>
    </xf>
    <xf numFmtId="166" fontId="17" fillId="0" borderId="5" xfId="0" applyNumberFormat="1" applyFont="1" applyBorder="1" applyAlignment="1">
      <alignment horizontal="center" vertical="center"/>
    </xf>
    <xf numFmtId="164" fontId="0" fillId="0" borderId="5" xfId="0" applyNumberFormat="1" applyFont="1" applyBorder="1" applyAlignment="1">
      <alignment horizontal="center" vertical="center"/>
    </xf>
    <xf numFmtId="0" fontId="0" fillId="0" borderId="15" xfId="0" applyFont="1" applyBorder="1"/>
    <xf numFmtId="0" fontId="11" fillId="0" borderId="0" xfId="0" applyFont="1" applyFill="1" applyBorder="1" applyAlignment="1">
      <alignment horizontal="center" vertical="center" wrapText="1"/>
    </xf>
    <xf numFmtId="0" fontId="0" fillId="0" borderId="0" xfId="0" applyFont="1" applyBorder="1"/>
    <xf numFmtId="0" fontId="0" fillId="0" borderId="4" xfId="0" applyFont="1" applyBorder="1" applyAlignment="1">
      <alignment horizontal="right" vertical="center"/>
    </xf>
    <xf numFmtId="165" fontId="0" fillId="0" borderId="8" xfId="0" applyNumberFormat="1" applyFont="1" applyBorder="1" applyAlignment="1">
      <alignment horizontal="center" vertical="center"/>
    </xf>
    <xf numFmtId="0" fontId="0" fillId="0" borderId="8" xfId="0" applyFont="1" applyBorder="1"/>
    <xf numFmtId="0" fontId="0" fillId="3" borderId="10" xfId="0" applyFont="1" applyFill="1" applyBorder="1" applyAlignment="1">
      <alignment horizontal="right" vertical="center"/>
    </xf>
    <xf numFmtId="0" fontId="18" fillId="0" borderId="0" xfId="0" applyFont="1"/>
    <xf numFmtId="0" fontId="19" fillId="0" borderId="0" xfId="0" applyFont="1"/>
    <xf numFmtId="0" fontId="16" fillId="0" borderId="0" xfId="0" applyFont="1"/>
    <xf numFmtId="0" fontId="8" fillId="0" borderId="0" xfId="0" quotePrefix="1" applyFont="1" applyAlignment="1">
      <alignment horizontal="right"/>
    </xf>
    <xf numFmtId="0" fontId="14" fillId="0" borderId="0" xfId="0" applyFont="1" applyAlignment="1">
      <alignment horizontal="center"/>
    </xf>
    <xf numFmtId="0" fontId="1" fillId="2" borderId="10" xfId="0" applyFont="1" applyFill="1" applyBorder="1" applyAlignment="1">
      <alignment horizontal="center" vertical="center"/>
    </xf>
    <xf numFmtId="0" fontId="7" fillId="6" borderId="5" xfId="0" applyFont="1" applyFill="1" applyBorder="1" applyAlignment="1">
      <alignment horizontal="center" vertical="center" wrapText="1"/>
    </xf>
    <xf numFmtId="0" fontId="11" fillId="6" borderId="5" xfId="0" applyFont="1" applyFill="1" applyBorder="1" applyAlignment="1">
      <alignment horizontal="center" vertical="center" wrapText="1"/>
    </xf>
    <xf numFmtId="0" fontId="4" fillId="0" borderId="0" xfId="251"/>
    <xf numFmtId="0" fontId="4" fillId="0" borderId="0" xfId="251" applyBorder="1" applyAlignment="1">
      <alignment vertical="center"/>
    </xf>
    <xf numFmtId="14" fontId="0" fillId="0" borderId="0" xfId="0" applyNumberFormat="1" applyFont="1"/>
    <xf numFmtId="0" fontId="0" fillId="0" borderId="0" xfId="0" applyFont="1" applyAlignment="1"/>
    <xf numFmtId="0" fontId="0" fillId="3" borderId="12" xfId="0" applyFont="1" applyFill="1" applyBorder="1" applyAlignment="1">
      <alignment horizontal="center" vertical="center"/>
    </xf>
    <xf numFmtId="0" fontId="0" fillId="3" borderId="13" xfId="0" applyFont="1" applyFill="1" applyBorder="1" applyAlignment="1">
      <alignment horizontal="center" vertical="center"/>
    </xf>
    <xf numFmtId="0" fontId="0" fillId="3" borderId="14" xfId="0" applyFont="1" applyFill="1" applyBorder="1" applyAlignment="1">
      <alignment horizontal="center" vertical="center"/>
    </xf>
    <xf numFmtId="0" fontId="0" fillId="3" borderId="16" xfId="0" applyFont="1" applyFill="1" applyBorder="1" applyAlignment="1">
      <alignment horizontal="center" vertical="center"/>
    </xf>
    <xf numFmtId="0" fontId="0" fillId="3" borderId="17" xfId="0" applyFont="1" applyFill="1" applyBorder="1" applyAlignment="1">
      <alignment horizontal="center" vertical="center"/>
    </xf>
    <xf numFmtId="0" fontId="0" fillId="3" borderId="18" xfId="0" applyFont="1" applyFill="1" applyBorder="1" applyAlignment="1">
      <alignment horizontal="center" vertical="center"/>
    </xf>
  </cellXfs>
  <cellStyles count="25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3" builtinId="9" hidden="1"/>
    <cellStyle name="Followed Hyperlink" xfId="25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1905</xdr:colOff>
      <xdr:row>11</xdr:row>
      <xdr:rowOff>121917</xdr:rowOff>
    </xdr:from>
    <xdr:ext cx="7511415" cy="455485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392430" y="2417442"/>
          <a:ext cx="7511415" cy="4554857"/>
        </a:xfrm>
        <a:prstGeom prst="rect">
          <a:avLst/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Arial" panose="020B0604020202020204" pitchFamily="34" charset="0"/>
            </a:rPr>
            <a:t>Individual Motor Specs are measured by VEX Robotics on our in-house</a:t>
          </a:r>
          <a:r>
            <a:rPr lang="en-US" sz="1100" b="0" i="0" u="none" strike="noStrike" baseline="0">
              <a:solidFill>
                <a:schemeClr val="tx1"/>
              </a:solidFill>
              <a:effectLst/>
              <a:latin typeface="+mn-lt"/>
              <a:ea typeface="+mn-ea"/>
              <a:cs typeface="Arial" panose="020B0604020202020204" pitchFamily="34" charset="0"/>
            </a:rPr>
            <a:t> dynomometer.</a:t>
          </a:r>
        </a:p>
        <a:p>
          <a:endParaRPr lang="en-US" sz="1100" b="0" i="0" u="none" strike="noStrike" baseline="0">
            <a:solidFill>
              <a:schemeClr val="tx1"/>
            </a:solidFill>
            <a:effectLst/>
            <a:latin typeface="+mn-lt"/>
            <a:ea typeface="+mn-ea"/>
            <a:cs typeface="Arial" panose="020B0604020202020204" pitchFamily="34" charset="0"/>
          </a:endParaRPr>
        </a:p>
        <a:p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Arial" panose="020B0604020202020204" pitchFamily="34" charset="0"/>
            </a:rPr>
            <a:t>Motor specs which combine CIM + Mini CIM are theoretical, actual combined numbers may vary.</a:t>
          </a:r>
        </a:p>
        <a:p>
          <a:endParaRPr lang="en-US" sz="1100" b="0" i="0" u="none" strike="noStrike">
            <a:solidFill>
              <a:schemeClr val="tx1"/>
            </a:solidFill>
            <a:effectLst/>
            <a:latin typeface="+mn-lt"/>
            <a:ea typeface="+mn-ea"/>
            <a:cs typeface="Arial" panose="020B0604020202020204" pitchFamily="34" charset="0"/>
          </a:endParaRPr>
        </a:p>
        <a:p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Arial" panose="020B0604020202020204" pitchFamily="34" charset="0"/>
            </a:rPr>
            <a:t>If there is</a:t>
          </a:r>
          <a:r>
            <a:rPr lang="en-US" sz="1100" b="0" i="0" u="none" strike="noStrike" baseline="0">
              <a:solidFill>
                <a:schemeClr val="tx1"/>
              </a:solidFill>
              <a:effectLst/>
              <a:latin typeface="+mn-lt"/>
              <a:ea typeface="+mn-ea"/>
              <a:cs typeface="Arial" panose="020B0604020202020204" pitchFamily="34" charset="0"/>
            </a:rPr>
            <a:t> an option for "# of motors for gearbox" this is a multiplier of whatever you select in the input section.  For instance, if you choose "1 CIM + 1 Mini CIM" and then set it to "3 motors per gearbox" that would be the equivalent of 3 CIMs and 3 Mini CIMs per gearbox.  You probably want to leave this number as "1" if you're using a combined motor spec.</a:t>
          </a:r>
          <a:endParaRPr lang="en-US">
            <a:latin typeface="+mn-lt"/>
            <a:cs typeface="Arial" panose="020B0604020202020204" pitchFamily="34" charset="0"/>
          </a:endParaRPr>
        </a:p>
        <a:p>
          <a:endParaRPr lang="en-US" sz="1100" b="0" i="0" u="none" strike="noStrike">
            <a:solidFill>
              <a:schemeClr val="tx1"/>
            </a:solidFill>
            <a:effectLst/>
            <a:latin typeface="+mn-lt"/>
            <a:ea typeface="+mn-ea"/>
            <a:cs typeface="Arial" panose="020B0604020202020204" pitchFamily="34" charset="0"/>
          </a:endParaRPr>
        </a:p>
        <a:p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Arial" panose="020B0604020202020204" pitchFamily="34" charset="0"/>
            </a:rPr>
            <a:t>"Real Life" drivetrain speed is based on 81% of the free-speed.  This number was experimentally measured from previous robots  It is usually a "close enough" approximation.</a:t>
          </a:r>
          <a:r>
            <a:rPr lang="en-US">
              <a:latin typeface="+mn-lt"/>
              <a:cs typeface="Arial" panose="020B0604020202020204" pitchFamily="34" charset="0"/>
            </a:rPr>
            <a:t> </a:t>
          </a:r>
        </a:p>
        <a:p>
          <a:endParaRPr lang="en-US" sz="1100" b="0" i="0" u="none" strike="noStrike">
            <a:solidFill>
              <a:schemeClr val="tx1"/>
            </a:solidFill>
            <a:effectLst/>
            <a:latin typeface="+mn-lt"/>
            <a:ea typeface="+mn-ea"/>
            <a:cs typeface="Arial" panose="020B0604020202020204" pitchFamily="34" charset="0"/>
          </a:endParaRPr>
        </a:p>
        <a:p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Arial" panose="020B0604020202020204" pitchFamily="34" charset="0"/>
            </a:rPr>
            <a:t>The drivetrain calculator assumes two identical gearboxes per robot, each driving one side of a skid-steer style drivetrain.</a:t>
          </a:r>
          <a:r>
            <a:rPr lang="en-US">
              <a:latin typeface="+mn-lt"/>
              <a:cs typeface="Arial" panose="020B0604020202020204" pitchFamily="34" charset="0"/>
            </a:rPr>
            <a:t> </a:t>
          </a:r>
        </a:p>
        <a:p>
          <a:endParaRPr lang="en-US" sz="1100" b="0" i="0" u="none" strike="noStrike">
            <a:solidFill>
              <a:schemeClr val="tx1"/>
            </a:solidFill>
            <a:effectLst/>
            <a:latin typeface="+mn-lt"/>
            <a:ea typeface="+mn-ea"/>
            <a:cs typeface="Arial" panose="020B0604020202020204" pitchFamily="34" charset="0"/>
          </a:endParaRPr>
        </a:p>
        <a:p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Arial" panose="020B0604020202020204" pitchFamily="34" charset="0"/>
            </a:rPr>
            <a:t>Pushing Current Draw is based on the robot's drivetrain pushing against a stationary object, with the wheels spinning on the ground.</a:t>
          </a:r>
          <a:r>
            <a:rPr lang="en-US">
              <a:latin typeface="+mn-lt"/>
              <a:cs typeface="Arial" panose="020B0604020202020204" pitchFamily="34" charset="0"/>
            </a:rPr>
            <a:t> </a:t>
          </a:r>
        </a:p>
        <a:p>
          <a:endParaRPr lang="en-US">
            <a:latin typeface="+mn-lt"/>
            <a:cs typeface="Arial" panose="020B0604020202020204" pitchFamily="34" charset="0"/>
          </a:endParaRPr>
        </a:p>
        <a:p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Arial" panose="020B0604020202020204" pitchFamily="34" charset="0"/>
            </a:rPr>
            <a:t>Pushing Current Draw is</a:t>
          </a:r>
          <a:r>
            <a:rPr lang="en-US" sz="1100" b="0" i="0" u="none" strike="noStrike" baseline="0">
              <a:solidFill>
                <a:schemeClr val="tx1"/>
              </a:solidFill>
              <a:effectLst/>
              <a:latin typeface="+mn-lt"/>
              <a:ea typeface="+mn-ea"/>
              <a:cs typeface="Arial" panose="020B0604020202020204" pitchFamily="34" charset="0"/>
            </a:rPr>
            <a:t> listed either per motor or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Arial" panose="020B0604020202020204" pitchFamily="34" charset="0"/>
            </a:rPr>
            <a:t> listed per gearbox.</a:t>
          </a:r>
          <a:r>
            <a:rPr lang="en-US" sz="1100" b="0" i="0" u="none" strike="noStrike" baseline="0">
              <a:solidFill>
                <a:schemeClr val="tx1"/>
              </a:solidFill>
              <a:effectLst/>
              <a:latin typeface="+mn-lt"/>
              <a:ea typeface="+mn-ea"/>
              <a:cs typeface="Arial" panose="020B0604020202020204" pitchFamily="34" charset="0"/>
            </a:rPr>
            <a:t>  If listed per gearbox: a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Arial" panose="020B0604020202020204" pitchFamily="34" charset="0"/>
            </a:rPr>
            <a:t> gearbox with multiple motors will have this current evenly divided among the motors.</a:t>
          </a:r>
          <a:r>
            <a:rPr lang="en-US">
              <a:latin typeface="+mn-lt"/>
              <a:cs typeface="Arial" panose="020B0604020202020204" pitchFamily="34" charset="0"/>
            </a:rPr>
            <a:t>   If motors of different types</a:t>
          </a:r>
          <a:r>
            <a:rPr lang="en-US" baseline="0">
              <a:latin typeface="+mn-lt"/>
              <a:cs typeface="Arial" panose="020B0604020202020204" pitchFamily="34" charset="0"/>
            </a:rPr>
            <a:t> are used, this balance will not be even.  For example, designers will need to remember that Mini CIM motors will "take less load" than CIM motors.</a:t>
          </a:r>
          <a:endParaRPr lang="en-US">
            <a:latin typeface="+mn-lt"/>
            <a:cs typeface="Arial" panose="020B0604020202020204" pitchFamily="34" charset="0"/>
          </a:endParaRPr>
        </a:p>
        <a:p>
          <a:endParaRPr lang="en-US" sz="1100" b="0" i="0" u="none" strike="noStrike">
            <a:solidFill>
              <a:schemeClr val="tx1"/>
            </a:solidFill>
            <a:effectLst/>
            <a:latin typeface="+mn-lt"/>
            <a:ea typeface="+mn-ea"/>
            <a:cs typeface="Arial" panose="020B0604020202020204" pitchFamily="34" charset="0"/>
          </a:endParaRPr>
        </a:p>
        <a:p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Arial" panose="020B0604020202020204" pitchFamily="34" charset="0"/>
            </a:rPr>
            <a:t>Use the "External Reduction" to add additional Sprocket &amp; Chain, Pulley &amp; Belt, or Spur Gear Reductions -- many drivetrains utilize additional reductions between the gearbox and the wheel.</a:t>
          </a:r>
          <a:r>
            <a:rPr lang="en-US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Arial" panose="020B0604020202020204" pitchFamily="34" charset="0"/>
            </a:rPr>
            <a:t>  Use 1:1 for no 3rd stage gearing.</a:t>
          </a:r>
        </a:p>
        <a:p>
          <a:endParaRPr lang="en-US">
            <a:effectLst/>
            <a:latin typeface="+mn-lt"/>
            <a:cs typeface="Arial" panose="020B0604020202020204" pitchFamily="34" charset="0"/>
          </a:endParaRP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Arial" panose="020B0604020202020204" pitchFamily="34" charset="0"/>
            </a:rPr>
            <a:t>Robot weight is</a:t>
          </a:r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Arial" panose="020B0604020202020204" pitchFamily="34" charset="0"/>
            </a:rPr>
            <a:t> set to 154 lbs as default, 120lb Robot + 14lb Battery + 20lb Bumpers</a:t>
          </a:r>
          <a:endParaRPr lang="en-US">
            <a:effectLst/>
            <a:latin typeface="+mn-lt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9</xdr:col>
      <xdr:colOff>385254</xdr:colOff>
      <xdr:row>0</xdr:row>
      <xdr:rowOff>152400</xdr:rowOff>
    </xdr:from>
    <xdr:to>
      <xdr:col>11</xdr:col>
      <xdr:colOff>655320</xdr:colOff>
      <xdr:row>8</xdr:row>
      <xdr:rowOff>140526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57454" y="152400"/>
          <a:ext cx="1641666" cy="164166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219075</xdr:colOff>
      <xdr:row>3</xdr:row>
      <xdr:rowOff>163789</xdr:rowOff>
    </xdr:from>
    <xdr:to>
      <xdr:col>15</xdr:col>
      <xdr:colOff>177799</xdr:colOff>
      <xdr:row>19</xdr:row>
      <xdr:rowOff>215899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42075" y="747989"/>
          <a:ext cx="5737224" cy="416691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47624</xdr:colOff>
      <xdr:row>3</xdr:row>
      <xdr:rowOff>4494</xdr:rowOff>
    </xdr:from>
    <xdr:to>
      <xdr:col>15</xdr:col>
      <xdr:colOff>567140</xdr:colOff>
      <xdr:row>19</xdr:row>
      <xdr:rowOff>113411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67449" y="614094"/>
          <a:ext cx="6320241" cy="474441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177800</xdr:colOff>
      <xdr:row>3</xdr:row>
      <xdr:rowOff>299536</xdr:rowOff>
    </xdr:from>
    <xdr:to>
      <xdr:col>15</xdr:col>
      <xdr:colOff>546100</xdr:colOff>
      <xdr:row>19</xdr:row>
      <xdr:rowOff>75311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26300" y="883736"/>
          <a:ext cx="5321300" cy="3890575"/>
        </a:xfrm>
        <a:prstGeom prst="rect">
          <a:avLst/>
        </a:prstGeom>
      </xdr:spPr>
    </xdr:pic>
    <xdr:clientData/>
  </xdr:twoCellAnchor>
  <xdr:twoCellAnchor editAs="oneCell">
    <xdr:from>
      <xdr:col>9</xdr:col>
      <xdr:colOff>172225</xdr:colOff>
      <xdr:row>19</xdr:row>
      <xdr:rowOff>575451</xdr:rowOff>
    </xdr:from>
    <xdr:to>
      <xdr:col>16</xdr:col>
      <xdr:colOff>71905</xdr:colOff>
      <xdr:row>40</xdr:row>
      <xdr:rowOff>63500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20725" y="5096651"/>
          <a:ext cx="5678180" cy="412354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295275</xdr:colOff>
      <xdr:row>2</xdr:row>
      <xdr:rowOff>114300</xdr:rowOff>
    </xdr:from>
    <xdr:to>
      <xdr:col>15</xdr:col>
      <xdr:colOff>762749</xdr:colOff>
      <xdr:row>18</xdr:row>
      <xdr:rowOff>590550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24650" y="514350"/>
          <a:ext cx="6268199" cy="470535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815974</xdr:colOff>
      <xdr:row>3</xdr:row>
      <xdr:rowOff>222905</xdr:rowOff>
    </xdr:from>
    <xdr:to>
      <xdr:col>15</xdr:col>
      <xdr:colOff>139700</xdr:colOff>
      <xdr:row>18</xdr:row>
      <xdr:rowOff>43778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42174" y="807105"/>
          <a:ext cx="5102226" cy="37388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://www.chiefdelphi.com/media/papers/3188?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://www.vexrobotics.com/vexpro/motion/gearboxes/3cimballshifter.html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http://www.vexrobotics.com/vexpro/motion/gearboxes/ball-shifter.html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hyperlink" Target="http://www.vexrobotics.com/vexpro/motion/gearboxes/wcp-ds.html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hyperlink" Target="http://www.vexrobotics.com/vexpro/motion/gearboxes/single-speed-double-reduction.html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hyperlink" Target="http://www.vexrobotics.com/vexpro/motion/gearboxes/wcp-ss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56"/>
  <sheetViews>
    <sheetView workbookViewId="0">
      <selection activeCell="D36" sqref="D36"/>
    </sheetView>
  </sheetViews>
  <sheetFormatPr defaultColWidth="9" defaultRowHeight="15.75" x14ac:dyDescent="0.25"/>
  <cols>
    <col min="1" max="1" width="5.125" style="33" customWidth="1"/>
    <col min="2" max="2" width="10.375" style="33" bestFit="1" customWidth="1"/>
    <col min="3" max="16384" width="9" style="33"/>
  </cols>
  <sheetData>
    <row r="1" spans="2:5" x14ac:dyDescent="0.25">
      <c r="E1" s="98"/>
    </row>
    <row r="2" spans="2:5" ht="21" x14ac:dyDescent="0.35">
      <c r="B2" s="103" t="s">
        <v>134</v>
      </c>
    </row>
    <row r="3" spans="2:5" x14ac:dyDescent="0.25">
      <c r="B3" s="33" t="s">
        <v>201</v>
      </c>
    </row>
    <row r="5" spans="2:5" x14ac:dyDescent="0.25">
      <c r="B5" s="104" t="s">
        <v>74</v>
      </c>
    </row>
    <row r="6" spans="2:5" x14ac:dyDescent="0.25">
      <c r="B6" s="33" t="s">
        <v>164</v>
      </c>
    </row>
    <row r="7" spans="2:5" x14ac:dyDescent="0.25">
      <c r="B7" s="33" t="s">
        <v>202</v>
      </c>
    </row>
    <row r="9" spans="2:5" ht="16.5" thickBot="1" x14ac:dyDescent="0.3">
      <c r="B9" s="105" t="s">
        <v>75</v>
      </c>
    </row>
    <row r="10" spans="2:5" ht="16.5" thickBot="1" x14ac:dyDescent="0.3">
      <c r="B10" s="102"/>
      <c r="C10" s="33" t="s">
        <v>76</v>
      </c>
    </row>
    <row r="11" spans="2:5" ht="16.5" thickBot="1" x14ac:dyDescent="0.3">
      <c r="B11" s="108"/>
      <c r="C11" s="33" t="s">
        <v>77</v>
      </c>
    </row>
    <row r="39" spans="2:4" x14ac:dyDescent="0.25">
      <c r="B39" s="105" t="s">
        <v>185</v>
      </c>
      <c r="D39" s="111" t="s">
        <v>193</v>
      </c>
    </row>
    <row r="40" spans="2:4" x14ac:dyDescent="0.25">
      <c r="B40" s="113">
        <v>42365</v>
      </c>
      <c r="C40" s="33" t="s">
        <v>186</v>
      </c>
    </row>
    <row r="41" spans="2:4" x14ac:dyDescent="0.25">
      <c r="C41" s="114" t="s">
        <v>187</v>
      </c>
    </row>
    <row r="42" spans="2:4" x14ac:dyDescent="0.25">
      <c r="C42" s="114" t="s">
        <v>188</v>
      </c>
    </row>
    <row r="43" spans="2:4" x14ac:dyDescent="0.25">
      <c r="C43" s="114" t="s">
        <v>189</v>
      </c>
    </row>
    <row r="44" spans="2:4" x14ac:dyDescent="0.25">
      <c r="C44" s="114" t="s">
        <v>190</v>
      </c>
    </row>
    <row r="45" spans="2:4" x14ac:dyDescent="0.25">
      <c r="C45" s="114" t="s">
        <v>191</v>
      </c>
    </row>
    <row r="46" spans="2:4" x14ac:dyDescent="0.25">
      <c r="C46" s="114" t="s">
        <v>192</v>
      </c>
    </row>
    <row r="47" spans="2:4" x14ac:dyDescent="0.25">
      <c r="C47" s="114"/>
    </row>
    <row r="48" spans="2:4" x14ac:dyDescent="0.25">
      <c r="B48" s="113">
        <v>42395</v>
      </c>
      <c r="C48" s="114" t="s">
        <v>194</v>
      </c>
    </row>
    <row r="49" spans="2:3" x14ac:dyDescent="0.25">
      <c r="C49" s="114" t="s">
        <v>195</v>
      </c>
    </row>
    <row r="50" spans="2:3" x14ac:dyDescent="0.25">
      <c r="C50" s="114" t="s">
        <v>196</v>
      </c>
    </row>
    <row r="51" spans="2:3" x14ac:dyDescent="0.25">
      <c r="C51" s="114" t="s">
        <v>197</v>
      </c>
    </row>
    <row r="52" spans="2:3" x14ac:dyDescent="0.25">
      <c r="C52" s="114" t="s">
        <v>198</v>
      </c>
    </row>
    <row r="53" spans="2:3" x14ac:dyDescent="0.25">
      <c r="C53" s="114"/>
    </row>
    <row r="54" spans="2:3" x14ac:dyDescent="0.25">
      <c r="B54" s="113">
        <v>42780</v>
      </c>
      <c r="C54" s="114" t="s">
        <v>199</v>
      </c>
    </row>
    <row r="55" spans="2:3" x14ac:dyDescent="0.25">
      <c r="C55" s="114" t="s">
        <v>200</v>
      </c>
    </row>
    <row r="56" spans="2:3" x14ac:dyDescent="0.25">
      <c r="C56" s="114"/>
    </row>
  </sheetData>
  <hyperlinks>
    <hyperlink ref="D39" r:id="rId1"/>
  </hyperlinks>
  <pageMargins left="0.7" right="0.7" top="0.75" bottom="0.75" header="0.3" footer="0.3"/>
  <pageSetup orientation="portrait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I19"/>
  <sheetViews>
    <sheetView workbookViewId="0"/>
  </sheetViews>
  <sheetFormatPr defaultColWidth="10.875" defaultRowHeight="15.75" x14ac:dyDescent="0.25"/>
  <cols>
    <col min="1" max="1" width="5.875" style="33" customWidth="1"/>
    <col min="2" max="2" width="2.375" style="33" customWidth="1"/>
    <col min="3" max="3" width="11.625" style="33" customWidth="1"/>
    <col min="4" max="4" width="11.125" style="33" customWidth="1"/>
    <col min="5" max="5" width="10.875" style="33"/>
    <col min="6" max="6" width="14.125" style="33" customWidth="1"/>
    <col min="7" max="7" width="11.5" style="33" customWidth="1"/>
    <col min="8" max="8" width="2.875" style="33" customWidth="1"/>
    <col min="9" max="16384" width="10.875" style="33"/>
  </cols>
  <sheetData>
    <row r="1" spans="1:9" x14ac:dyDescent="0.25">
      <c r="A1" s="1"/>
      <c r="B1" s="1"/>
      <c r="C1" s="1"/>
      <c r="D1" s="1"/>
      <c r="E1" s="1"/>
      <c r="F1" s="1"/>
      <c r="G1" s="1"/>
      <c r="H1" s="1"/>
      <c r="I1" s="1"/>
    </row>
    <row r="2" spans="1:9" ht="16.5" thickBot="1" x14ac:dyDescent="0.3">
      <c r="A2" s="1"/>
      <c r="B2" s="84" t="s">
        <v>29</v>
      </c>
      <c r="C2" s="1"/>
      <c r="D2" s="1"/>
      <c r="E2" s="1"/>
      <c r="F2" s="1"/>
      <c r="G2" s="1"/>
      <c r="H2" s="1"/>
      <c r="I2" s="1"/>
    </row>
    <row r="3" spans="1:9" x14ac:dyDescent="0.25">
      <c r="A3" s="1"/>
      <c r="B3" s="2"/>
      <c r="C3" s="34"/>
      <c r="D3" s="3"/>
      <c r="E3" s="3"/>
      <c r="F3" s="3"/>
      <c r="G3" s="3"/>
      <c r="H3" s="4"/>
      <c r="I3" s="1"/>
    </row>
    <row r="4" spans="1:9" ht="35.1" customHeight="1" x14ac:dyDescent="0.25">
      <c r="A4" s="5"/>
      <c r="B4" s="6"/>
      <c r="C4" s="5"/>
      <c r="D4" s="7" t="s">
        <v>0</v>
      </c>
      <c r="E4" s="7" t="s">
        <v>1</v>
      </c>
      <c r="F4" s="7" t="s">
        <v>2</v>
      </c>
      <c r="G4" s="7" t="s">
        <v>3</v>
      </c>
      <c r="H4" s="8"/>
      <c r="I4" s="5"/>
    </row>
    <row r="5" spans="1:9" x14ac:dyDescent="0.25">
      <c r="A5" s="9"/>
      <c r="B5" s="10"/>
      <c r="C5" s="74" t="s">
        <v>52</v>
      </c>
      <c r="D5" s="12">
        <f>VLOOKUP(C5,Specs,2,FALSE)</f>
        <v>13180</v>
      </c>
      <c r="E5" s="12">
        <f>VLOOKUP(C5,Specs,3,FALSE)</f>
        <v>0.43</v>
      </c>
      <c r="F5" s="12">
        <f>VLOOKUP(C5,Specs,4,FALSE)</f>
        <v>53</v>
      </c>
      <c r="G5" s="12">
        <f>VLOOKUP(C5,Specs,5,FALSE)</f>
        <v>1.8</v>
      </c>
      <c r="H5" s="14"/>
      <c r="I5" s="9"/>
    </row>
    <row r="6" spans="1:9" x14ac:dyDescent="0.25">
      <c r="A6" s="1"/>
      <c r="B6" s="15"/>
      <c r="C6" s="16"/>
      <c r="D6" s="16"/>
      <c r="E6" s="17"/>
      <c r="F6" s="17"/>
      <c r="G6" s="1"/>
      <c r="H6" s="18"/>
      <c r="I6" s="1"/>
    </row>
    <row r="7" spans="1:9" ht="31.5" x14ac:dyDescent="0.25">
      <c r="A7" s="1"/>
      <c r="B7" s="15"/>
      <c r="C7" s="7" t="s">
        <v>20</v>
      </c>
      <c r="D7" s="7" t="s">
        <v>30</v>
      </c>
      <c r="F7" s="7" t="s">
        <v>31</v>
      </c>
      <c r="G7" s="7" t="s">
        <v>32</v>
      </c>
      <c r="H7" s="18"/>
      <c r="I7" s="1"/>
    </row>
    <row r="8" spans="1:9" x14ac:dyDescent="0.25">
      <c r="A8" s="1"/>
      <c r="B8" s="15"/>
      <c r="C8" s="19">
        <v>1</v>
      </c>
      <c r="D8" s="13">
        <v>0.65</v>
      </c>
      <c r="F8" s="19">
        <v>10</v>
      </c>
      <c r="G8" s="19">
        <v>40</v>
      </c>
      <c r="H8" s="18"/>
      <c r="I8" s="1"/>
    </row>
    <row r="9" spans="1:9" ht="16.5" thickBot="1" x14ac:dyDescent="0.3">
      <c r="A9" s="1"/>
      <c r="B9" s="20"/>
      <c r="C9" s="21"/>
      <c r="D9" s="21"/>
      <c r="E9" s="22"/>
      <c r="F9" s="22"/>
      <c r="G9" s="22"/>
      <c r="H9" s="25"/>
      <c r="I9" s="1"/>
    </row>
    <row r="10" spans="1:9" x14ac:dyDescent="0.25">
      <c r="A10" s="1"/>
      <c r="B10" s="2"/>
      <c r="C10" s="34"/>
      <c r="D10" s="26"/>
      <c r="E10" s="3"/>
      <c r="F10" s="3"/>
      <c r="G10" s="3"/>
      <c r="H10" s="4"/>
      <c r="I10" s="1"/>
    </row>
    <row r="11" spans="1:9" ht="47.25" x14ac:dyDescent="0.25">
      <c r="A11" s="5"/>
      <c r="B11" s="6"/>
      <c r="C11" s="36" t="s">
        <v>11</v>
      </c>
      <c r="D11" s="36" t="s">
        <v>12</v>
      </c>
      <c r="E11" s="5"/>
      <c r="F11" s="109" t="s">
        <v>35</v>
      </c>
      <c r="G11" s="109" t="s">
        <v>36</v>
      </c>
      <c r="H11" s="8"/>
      <c r="I11" s="5"/>
    </row>
    <row r="12" spans="1:9" x14ac:dyDescent="0.25">
      <c r="A12" s="9"/>
      <c r="B12" s="10"/>
      <c r="C12" s="19">
        <v>1</v>
      </c>
      <c r="D12" s="19">
        <v>10</v>
      </c>
      <c r="E12" s="11" t="s">
        <v>33</v>
      </c>
      <c r="F12" s="46">
        <f>D$5*(C12*C13*C14*C15/D12/D13/D14/D15)*(360/60)</f>
        <v>169.45714285714286</v>
      </c>
      <c r="G12" s="47">
        <f>90/F12</f>
        <v>0.53110773899848251</v>
      </c>
      <c r="H12" s="14"/>
      <c r="I12" s="9"/>
    </row>
    <row r="13" spans="1:9" x14ac:dyDescent="0.25">
      <c r="A13" s="1"/>
      <c r="B13" s="15"/>
      <c r="C13" s="19">
        <v>1</v>
      </c>
      <c r="D13" s="19">
        <v>10</v>
      </c>
      <c r="E13" s="11" t="s">
        <v>34</v>
      </c>
      <c r="F13" s="46">
        <f>((-1)*(F12/(G17))*(F$8))+(F12)</f>
        <v>110.73937249484787</v>
      </c>
      <c r="G13" s="47">
        <f>90/F13</f>
        <v>0.81271907156767786</v>
      </c>
      <c r="H13" s="18"/>
      <c r="I13" s="1"/>
    </row>
    <row r="14" spans="1:9" x14ac:dyDescent="0.25">
      <c r="A14" s="1"/>
      <c r="B14" s="15"/>
      <c r="C14" s="19">
        <v>18</v>
      </c>
      <c r="D14" s="19">
        <v>84</v>
      </c>
      <c r="E14" s="1"/>
      <c r="G14" s="1"/>
      <c r="H14" s="18"/>
      <c r="I14" s="1"/>
    </row>
    <row r="15" spans="1:9" x14ac:dyDescent="0.25">
      <c r="A15" s="1"/>
      <c r="B15" s="15"/>
      <c r="C15" s="19">
        <v>1</v>
      </c>
      <c r="D15" s="19">
        <v>1</v>
      </c>
      <c r="E15" s="1"/>
      <c r="H15" s="18"/>
      <c r="I15" s="1"/>
    </row>
    <row r="16" spans="1:9" ht="47.25" x14ac:dyDescent="0.25">
      <c r="A16" s="1"/>
      <c r="B16" s="15"/>
      <c r="C16" s="43">
        <f>D12*D13*D14*D15/C12/C13/C14/C15</f>
        <v>466.66666666666669</v>
      </c>
      <c r="D16" s="44" t="s">
        <v>38</v>
      </c>
      <c r="E16" s="1"/>
      <c r="F16" s="109" t="s">
        <v>39</v>
      </c>
      <c r="G16" s="109" t="s">
        <v>37</v>
      </c>
      <c r="H16" s="18"/>
      <c r="I16" s="1"/>
    </row>
    <row r="17" spans="1:9" x14ac:dyDescent="0.25">
      <c r="A17" s="1"/>
      <c r="B17" s="15"/>
      <c r="C17" s="39"/>
      <c r="D17" s="1"/>
      <c r="E17" s="1"/>
      <c r="F17" s="45">
        <f>((((F$5*C$8)-(G$5*C$8))/(E$5*C$8))*(F$8*G$8*(C12*C13*C14*C15/D12/D13/D14/D15)/(0.2248*39.37))+(G$5*C$8))/C$8</f>
        <v>13.331690932052137</v>
      </c>
      <c r="G17" s="48">
        <f>E5*C8*(1/(C12*C13*C14*C15/D12/D13/D14/D15))*39.37*0.2248*D8/G8</f>
        <v>28.859601073333334</v>
      </c>
      <c r="H17" s="18"/>
      <c r="I17" s="1"/>
    </row>
    <row r="18" spans="1:9" ht="16.5" thickBot="1" x14ac:dyDescent="0.3">
      <c r="A18" s="1"/>
      <c r="B18" s="20"/>
      <c r="C18" s="22"/>
      <c r="D18" s="22"/>
      <c r="E18" s="22"/>
      <c r="F18" s="22"/>
      <c r="G18" s="22"/>
      <c r="H18" s="25"/>
      <c r="I18" s="1"/>
    </row>
    <row r="19" spans="1:9" x14ac:dyDescent="0.25">
      <c r="A19" s="1"/>
      <c r="B19" s="1"/>
      <c r="C19" s="1"/>
      <c r="D19" s="1"/>
      <c r="E19" s="1"/>
      <c r="F19" s="1"/>
      <c r="G19" s="1"/>
      <c r="H19" s="1"/>
      <c r="I19" s="1"/>
    </row>
  </sheetData>
  <dataValidations count="1">
    <dataValidation type="list" allowBlank="1" showInputMessage="1" showErrorMessage="1" sqref="C5">
      <formula1>Motors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I19"/>
  <sheetViews>
    <sheetView workbookViewId="0"/>
  </sheetViews>
  <sheetFormatPr defaultColWidth="10.875" defaultRowHeight="15.75" x14ac:dyDescent="0.25"/>
  <cols>
    <col min="1" max="1" width="5.875" style="33" customWidth="1"/>
    <col min="2" max="2" width="2.375" style="33" customWidth="1"/>
    <col min="3" max="3" width="11.625" style="33" customWidth="1"/>
    <col min="4" max="4" width="11.125" style="33" customWidth="1"/>
    <col min="5" max="5" width="11.5" style="33" customWidth="1"/>
    <col min="6" max="6" width="15.125" style="33" customWidth="1"/>
    <col min="7" max="7" width="11.875" style="33" customWidth="1"/>
    <col min="8" max="8" width="2.875" style="33" customWidth="1"/>
    <col min="9" max="16384" width="10.875" style="33"/>
  </cols>
  <sheetData>
    <row r="1" spans="1:9" x14ac:dyDescent="0.25">
      <c r="A1" s="1"/>
      <c r="B1" s="1"/>
      <c r="C1" s="1"/>
      <c r="D1" s="1"/>
      <c r="E1" s="1"/>
      <c r="F1" s="1"/>
      <c r="G1" s="1"/>
      <c r="H1" s="1"/>
      <c r="I1" s="1"/>
    </row>
    <row r="2" spans="1:9" ht="16.5" thickBot="1" x14ac:dyDescent="0.3">
      <c r="A2" s="1"/>
      <c r="B2" s="84" t="s">
        <v>45</v>
      </c>
      <c r="C2" s="1"/>
      <c r="D2" s="1"/>
      <c r="E2" s="1"/>
      <c r="F2" s="1"/>
      <c r="G2" s="1"/>
      <c r="H2" s="1"/>
      <c r="I2" s="1"/>
    </row>
    <row r="3" spans="1:9" x14ac:dyDescent="0.25">
      <c r="A3" s="1"/>
      <c r="B3" s="2"/>
      <c r="C3" s="34"/>
      <c r="D3" s="3"/>
      <c r="E3" s="3"/>
      <c r="F3" s="3"/>
      <c r="G3" s="3"/>
      <c r="H3" s="4"/>
      <c r="I3" s="1"/>
    </row>
    <row r="4" spans="1:9" ht="31.5" x14ac:dyDescent="0.25">
      <c r="A4" s="5"/>
      <c r="B4" s="6"/>
      <c r="C4" s="5"/>
      <c r="D4" s="7" t="s">
        <v>0</v>
      </c>
      <c r="E4" s="7" t="s">
        <v>1</v>
      </c>
      <c r="F4" s="7" t="s">
        <v>2</v>
      </c>
      <c r="G4" s="7" t="s">
        <v>3</v>
      </c>
      <c r="H4" s="8"/>
      <c r="I4" s="5"/>
    </row>
    <row r="5" spans="1:9" x14ac:dyDescent="0.25">
      <c r="A5" s="9"/>
      <c r="B5" s="10"/>
      <c r="C5" s="74" t="s">
        <v>52</v>
      </c>
      <c r="D5" s="12">
        <f>VLOOKUP(C5,Specs,2,FALSE)</f>
        <v>13180</v>
      </c>
      <c r="E5" s="12">
        <f>VLOOKUP(C5,Specs,3,FALSE)</f>
        <v>0.43</v>
      </c>
      <c r="F5" s="12">
        <f>VLOOKUP(C5,Specs,4,FALSE)</f>
        <v>53</v>
      </c>
      <c r="G5" s="12">
        <f>VLOOKUP(C5,Specs,5,FALSE)</f>
        <v>1.8</v>
      </c>
      <c r="H5" s="14"/>
      <c r="I5" s="9"/>
    </row>
    <row r="6" spans="1:9" x14ac:dyDescent="0.25">
      <c r="A6" s="1"/>
      <c r="B6" s="15"/>
      <c r="C6" s="16"/>
      <c r="D6" s="16"/>
      <c r="E6" s="17"/>
      <c r="F6" s="17"/>
      <c r="G6" s="1"/>
      <c r="H6" s="18"/>
      <c r="I6" s="1"/>
    </row>
    <row r="7" spans="1:9" ht="36" customHeight="1" x14ac:dyDescent="0.25">
      <c r="A7" s="1"/>
      <c r="B7" s="15"/>
      <c r="C7" s="7" t="s">
        <v>20</v>
      </c>
      <c r="D7" s="7" t="s">
        <v>30</v>
      </c>
      <c r="E7" s="7" t="s">
        <v>44</v>
      </c>
      <c r="F7" s="7" t="s">
        <v>40</v>
      </c>
      <c r="G7" s="7" t="s">
        <v>41</v>
      </c>
      <c r="H7" s="18"/>
      <c r="I7" s="1"/>
    </row>
    <row r="8" spans="1:9" x14ac:dyDescent="0.25">
      <c r="A8" s="1"/>
      <c r="B8" s="15"/>
      <c r="C8" s="19">
        <v>1</v>
      </c>
      <c r="D8" s="13">
        <v>0.8</v>
      </c>
      <c r="E8" s="19">
        <v>48</v>
      </c>
      <c r="F8" s="19">
        <v>154</v>
      </c>
      <c r="G8" s="19">
        <v>2</v>
      </c>
      <c r="H8" s="18"/>
      <c r="I8" s="1"/>
    </row>
    <row r="9" spans="1:9" ht="16.5" thickBot="1" x14ac:dyDescent="0.3">
      <c r="A9" s="1"/>
      <c r="B9" s="20"/>
      <c r="C9" s="21"/>
      <c r="D9" s="21"/>
      <c r="E9" s="22"/>
      <c r="F9" s="22"/>
      <c r="G9" s="22"/>
      <c r="H9" s="25"/>
      <c r="I9" s="1"/>
    </row>
    <row r="10" spans="1:9" x14ac:dyDescent="0.25">
      <c r="A10" s="1"/>
      <c r="B10" s="2"/>
      <c r="C10" s="34"/>
      <c r="D10" s="26"/>
      <c r="E10" s="3"/>
      <c r="F10" s="3"/>
      <c r="G10" s="3"/>
      <c r="H10" s="4"/>
      <c r="I10" s="1"/>
    </row>
    <row r="11" spans="1:9" ht="47.25" x14ac:dyDescent="0.25">
      <c r="A11" s="5"/>
      <c r="B11" s="6"/>
      <c r="C11" s="36" t="s">
        <v>11</v>
      </c>
      <c r="D11" s="36" t="s">
        <v>12</v>
      </c>
      <c r="E11" s="5"/>
      <c r="F11" s="109" t="s">
        <v>42</v>
      </c>
      <c r="G11" s="109" t="s">
        <v>43</v>
      </c>
      <c r="H11" s="8"/>
      <c r="I11" s="5"/>
    </row>
    <row r="12" spans="1:9" x14ac:dyDescent="0.25">
      <c r="A12" s="9"/>
      <c r="B12" s="10"/>
      <c r="C12" s="19">
        <v>1</v>
      </c>
      <c r="D12" s="19">
        <v>10</v>
      </c>
      <c r="E12" s="11" t="s">
        <v>33</v>
      </c>
      <c r="F12" s="49">
        <f>(D$5*(C12*C13*C14*C15/D12/D13/D14/D15)*(360/60))*PI()*2*(G$8/2)/360</f>
        <v>13.802063724771159</v>
      </c>
      <c r="G12" s="47">
        <f>1/(F12/E$8)</f>
        <v>3.4777407898684256</v>
      </c>
      <c r="H12" s="14"/>
      <c r="I12" s="9"/>
    </row>
    <row r="13" spans="1:9" x14ac:dyDescent="0.25">
      <c r="A13" s="1"/>
      <c r="B13" s="15"/>
      <c r="C13" s="19">
        <v>1</v>
      </c>
      <c r="D13" s="19">
        <v>10</v>
      </c>
      <c r="E13" s="11" t="s">
        <v>34</v>
      </c>
      <c r="F13" s="49">
        <f>(((-1)*((D5*(C12*C13*C14*C15/D12/D13/D14/D15)*(360/60))/(G17))*(F8))+(D5*(C12*C13*C14*C15/D12/D13/D14/D15)*(360/60)))*(3.14*2*(G8/2)/360)</f>
        <v>6.8171727900535117</v>
      </c>
      <c r="G13" s="47">
        <f>1/(F13/E$8)</f>
        <v>7.0410420093845421</v>
      </c>
      <c r="H13" s="18"/>
      <c r="I13" s="1"/>
    </row>
    <row r="14" spans="1:9" x14ac:dyDescent="0.25">
      <c r="A14" s="1"/>
      <c r="B14" s="15"/>
      <c r="C14" s="19">
        <v>1</v>
      </c>
      <c r="D14" s="19">
        <v>1</v>
      </c>
      <c r="E14" s="1"/>
      <c r="G14" s="1"/>
      <c r="H14" s="18"/>
      <c r="I14" s="1"/>
    </row>
    <row r="15" spans="1:9" x14ac:dyDescent="0.25">
      <c r="A15" s="1"/>
      <c r="B15" s="15"/>
      <c r="C15" s="19">
        <v>1</v>
      </c>
      <c r="D15" s="19">
        <v>1</v>
      </c>
      <c r="E15" s="1"/>
      <c r="H15" s="18"/>
      <c r="I15" s="1"/>
    </row>
    <row r="16" spans="1:9" ht="31.5" x14ac:dyDescent="0.25">
      <c r="A16" s="1"/>
      <c r="B16" s="15"/>
      <c r="C16" s="43">
        <f>D12*D13*D14*D15/C12/C13/C14/C15</f>
        <v>100</v>
      </c>
      <c r="D16" s="44" t="s">
        <v>38</v>
      </c>
      <c r="E16" s="1"/>
      <c r="F16" s="110" t="s">
        <v>54</v>
      </c>
      <c r="G16" s="109" t="s">
        <v>37</v>
      </c>
      <c r="H16" s="18"/>
      <c r="I16" s="1"/>
    </row>
    <row r="17" spans="1:9" x14ac:dyDescent="0.25">
      <c r="A17" s="1"/>
      <c r="B17" s="15"/>
      <c r="C17" s="39"/>
      <c r="D17" s="1"/>
      <c r="E17" s="1"/>
      <c r="F17" s="45">
        <f>((((F$5*C$8)-(G$5*C$8))/(E$5*C$8))*(F$8*G$8/2*(C12*C13*C14*C15/D12/D13/D14/D15)/(0.2248*39.37))+(G$5*C$8))/C$8</f>
        <v>22.518604707920336</v>
      </c>
      <c r="G17" s="48">
        <f>E$5*C$8*(1/(C12*C13*C14*C15/D12/D13/D14/D15))*39.37*0.2248*D$8/(G$8/2)</f>
        <v>304.45293439999995</v>
      </c>
      <c r="H17" s="18"/>
      <c r="I17" s="1"/>
    </row>
    <row r="18" spans="1:9" ht="16.5" thickBot="1" x14ac:dyDescent="0.3">
      <c r="A18" s="1"/>
      <c r="B18" s="20"/>
      <c r="C18" s="22"/>
      <c r="D18" s="22"/>
      <c r="E18" s="22"/>
      <c r="F18" s="22"/>
      <c r="G18" s="22"/>
      <c r="H18" s="25"/>
      <c r="I18" s="1"/>
    </row>
    <row r="19" spans="1:9" x14ac:dyDescent="0.25">
      <c r="A19" s="1"/>
      <c r="B19" s="1"/>
      <c r="C19" s="1"/>
      <c r="D19" s="1"/>
      <c r="E19" s="1"/>
      <c r="F19" s="1"/>
      <c r="G19" s="1"/>
      <c r="H19" s="1"/>
      <c r="I19" s="1"/>
    </row>
  </sheetData>
  <dataValidations disablePrompts="1" count="1">
    <dataValidation type="list" allowBlank="1" showInputMessage="1" showErrorMessage="1" sqref="C5">
      <formula1>Motors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J19"/>
  <sheetViews>
    <sheetView workbookViewId="0"/>
  </sheetViews>
  <sheetFormatPr defaultColWidth="10.875" defaultRowHeight="15.75" x14ac:dyDescent="0.25"/>
  <cols>
    <col min="1" max="1" width="5.875" style="33" customWidth="1"/>
    <col min="2" max="2" width="2.375" style="33" customWidth="1"/>
    <col min="3" max="3" width="11.625" style="33" customWidth="1"/>
    <col min="4" max="4" width="11.125" style="33" customWidth="1"/>
    <col min="5" max="5" width="10.875" style="33"/>
    <col min="6" max="6" width="14.125" style="33" customWidth="1"/>
    <col min="7" max="8" width="11.5" style="33" customWidth="1"/>
    <col min="9" max="9" width="2.875" style="33" customWidth="1"/>
    <col min="10" max="10" width="2.375" style="33" customWidth="1"/>
    <col min="11" max="16384" width="10.875" style="33"/>
  </cols>
  <sheetData>
    <row r="1" spans="1:10" x14ac:dyDescent="0.25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ht="16.5" thickBot="1" x14ac:dyDescent="0.3">
      <c r="A2" s="1"/>
      <c r="B2" s="84" t="s">
        <v>46</v>
      </c>
      <c r="C2" s="1"/>
      <c r="D2" s="1"/>
      <c r="E2" s="1"/>
      <c r="F2" s="1"/>
      <c r="G2" s="1"/>
      <c r="H2" s="1"/>
      <c r="I2" s="1"/>
      <c r="J2" s="1"/>
    </row>
    <row r="3" spans="1:10" x14ac:dyDescent="0.25">
      <c r="A3" s="1"/>
      <c r="B3" s="2"/>
      <c r="C3" s="34"/>
      <c r="D3" s="3"/>
      <c r="E3" s="3"/>
      <c r="F3" s="3"/>
      <c r="G3" s="3"/>
      <c r="H3" s="3"/>
      <c r="I3" s="4"/>
      <c r="J3" s="1"/>
    </row>
    <row r="4" spans="1:10" ht="35.1" customHeight="1" x14ac:dyDescent="0.25">
      <c r="A4" s="5"/>
      <c r="B4" s="6"/>
      <c r="C4" s="5"/>
      <c r="D4" s="7" t="s">
        <v>0</v>
      </c>
      <c r="E4" s="7" t="s">
        <v>1</v>
      </c>
      <c r="F4" s="7" t="s">
        <v>2</v>
      </c>
      <c r="G4" s="7" t="s">
        <v>3</v>
      </c>
      <c r="H4" s="5"/>
      <c r="I4" s="8"/>
      <c r="J4" s="5"/>
    </row>
    <row r="5" spans="1:10" x14ac:dyDescent="0.25">
      <c r="A5" s="9"/>
      <c r="B5" s="10"/>
      <c r="C5" s="74" t="s">
        <v>52</v>
      </c>
      <c r="D5" s="12">
        <f>VLOOKUP(C5,Specs,2,FALSE)</f>
        <v>13180</v>
      </c>
      <c r="E5" s="12">
        <f>VLOOKUP(C5,Specs,3,FALSE)</f>
        <v>0.43</v>
      </c>
      <c r="F5" s="12">
        <f>VLOOKUP(C5,Specs,4,FALSE)</f>
        <v>53</v>
      </c>
      <c r="G5" s="12">
        <f>VLOOKUP(C5,Specs,5,FALSE)</f>
        <v>1.8</v>
      </c>
      <c r="H5" s="50"/>
      <c r="I5" s="14"/>
      <c r="J5" s="9"/>
    </row>
    <row r="6" spans="1:10" x14ac:dyDescent="0.25">
      <c r="A6" s="1"/>
      <c r="B6" s="15"/>
      <c r="C6" s="16"/>
      <c r="D6" s="16"/>
      <c r="E6" s="17"/>
      <c r="F6" s="17"/>
      <c r="G6" s="1"/>
      <c r="H6" s="1"/>
      <c r="I6" s="18"/>
      <c r="J6" s="1"/>
    </row>
    <row r="7" spans="1:10" ht="47.25" x14ac:dyDescent="0.25">
      <c r="A7" s="1"/>
      <c r="B7" s="15"/>
      <c r="C7" s="7" t="s">
        <v>20</v>
      </c>
      <c r="D7" s="7" t="s">
        <v>30</v>
      </c>
      <c r="E7" s="7" t="s">
        <v>44</v>
      </c>
      <c r="F7" s="7" t="s">
        <v>48</v>
      </c>
      <c r="G7" s="7" t="s">
        <v>47</v>
      </c>
      <c r="H7" s="7" t="s">
        <v>49</v>
      </c>
      <c r="I7" s="18"/>
      <c r="J7" s="1"/>
    </row>
    <row r="8" spans="1:10" x14ac:dyDescent="0.25">
      <c r="A8" s="1"/>
      <c r="B8" s="15"/>
      <c r="C8" s="19">
        <v>1</v>
      </c>
      <c r="D8" s="13">
        <v>0.8</v>
      </c>
      <c r="E8" s="19">
        <v>40</v>
      </c>
      <c r="F8" s="19">
        <v>1</v>
      </c>
      <c r="G8" s="19">
        <v>2</v>
      </c>
      <c r="H8" s="19">
        <v>10</v>
      </c>
      <c r="I8" s="18"/>
      <c r="J8" s="1"/>
    </row>
    <row r="9" spans="1:10" ht="16.5" thickBot="1" x14ac:dyDescent="0.3">
      <c r="A9" s="1"/>
      <c r="B9" s="20"/>
      <c r="C9" s="21"/>
      <c r="D9" s="21"/>
      <c r="E9" s="22"/>
      <c r="F9" s="22"/>
      <c r="G9" s="22"/>
      <c r="H9" s="22"/>
      <c r="I9" s="25"/>
      <c r="J9" s="1"/>
    </row>
    <row r="10" spans="1:10" x14ac:dyDescent="0.25">
      <c r="A10" s="1"/>
      <c r="B10" s="2"/>
      <c r="C10" s="34"/>
      <c r="D10" s="26"/>
      <c r="E10" s="3"/>
      <c r="F10" s="3"/>
      <c r="G10" s="3"/>
      <c r="H10" s="3"/>
      <c r="I10" s="4"/>
      <c r="J10" s="1"/>
    </row>
    <row r="11" spans="1:10" ht="63" x14ac:dyDescent="0.25">
      <c r="A11" s="5"/>
      <c r="B11" s="6"/>
      <c r="C11" s="36" t="s">
        <v>11</v>
      </c>
      <c r="D11" s="36" t="s">
        <v>12</v>
      </c>
      <c r="E11" s="5"/>
      <c r="F11" s="109" t="s">
        <v>50</v>
      </c>
      <c r="G11" s="109" t="s">
        <v>51</v>
      </c>
      <c r="H11" s="5"/>
      <c r="I11" s="8"/>
      <c r="J11" s="5"/>
    </row>
    <row r="12" spans="1:10" x14ac:dyDescent="0.25">
      <c r="A12" s="9"/>
      <c r="B12" s="10"/>
      <c r="C12" s="19">
        <v>1</v>
      </c>
      <c r="D12" s="19">
        <v>10</v>
      </c>
      <c r="E12" s="11" t="s">
        <v>33</v>
      </c>
      <c r="F12" s="49">
        <f>(D$5*(C12*C13*C14*C15/D12/D13/D14/D15)*(360/60))*PI()*2*(G$8/2)/360*F$8</f>
        <v>138.02063724771159</v>
      </c>
      <c r="G12" s="47">
        <f>1/(F12/E$8)</f>
        <v>0.28981173248903552</v>
      </c>
      <c r="H12" s="51"/>
      <c r="I12" s="14"/>
      <c r="J12" s="9"/>
    </row>
    <row r="13" spans="1:10" x14ac:dyDescent="0.25">
      <c r="A13" s="1"/>
      <c r="B13" s="15"/>
      <c r="C13" s="19">
        <v>1</v>
      </c>
      <c r="D13" s="19">
        <v>1</v>
      </c>
      <c r="E13" s="11" t="s">
        <v>34</v>
      </c>
      <c r="F13" s="49">
        <f>(((-1)*((D$5*(C12*C13*C14*C15/D12/D13/D14/D15)*(360/60))/(G17))*(H$8))+(D$5*(C12*C13*C14*C15/D12/D13/D14/D15)*(360/60)))*(3.14*2*(G$8/2)/360)*F$8</f>
        <v>92.639667467879946</v>
      </c>
      <c r="G13" s="47">
        <f>1/(F13/E$8)</f>
        <v>0.43178047906820055</v>
      </c>
      <c r="H13" s="51"/>
      <c r="I13" s="18"/>
      <c r="J13" s="1"/>
    </row>
    <row r="14" spans="1:10" x14ac:dyDescent="0.25">
      <c r="A14" s="1"/>
      <c r="B14" s="15"/>
      <c r="C14" s="19">
        <v>1</v>
      </c>
      <c r="D14" s="19">
        <v>1</v>
      </c>
      <c r="E14" s="1"/>
      <c r="G14" s="1"/>
      <c r="H14" s="1"/>
      <c r="I14" s="18"/>
      <c r="J14" s="1"/>
    </row>
    <row r="15" spans="1:10" x14ac:dyDescent="0.25">
      <c r="A15" s="1"/>
      <c r="B15" s="15"/>
      <c r="C15" s="19">
        <v>1</v>
      </c>
      <c r="D15" s="19">
        <v>1</v>
      </c>
      <c r="E15" s="1"/>
      <c r="I15" s="18"/>
      <c r="J15" s="1"/>
    </row>
    <row r="16" spans="1:10" ht="47.25" x14ac:dyDescent="0.25">
      <c r="A16" s="1"/>
      <c r="B16" s="15"/>
      <c r="C16" s="43">
        <f>D12*D13*D14*D15/C12/C13/C14/C15</f>
        <v>10</v>
      </c>
      <c r="D16" s="44" t="s">
        <v>38</v>
      </c>
      <c r="E16" s="1"/>
      <c r="F16" s="109" t="s">
        <v>54</v>
      </c>
      <c r="G16" s="109" t="s">
        <v>53</v>
      </c>
      <c r="H16" s="5"/>
      <c r="I16" s="18"/>
      <c r="J16" s="1"/>
    </row>
    <row r="17" spans="1:10" x14ac:dyDescent="0.25">
      <c r="A17" s="1"/>
      <c r="B17" s="15"/>
      <c r="C17" s="39"/>
      <c r="D17" s="1"/>
      <c r="E17" s="1"/>
      <c r="F17" s="45">
        <f>(((((F$5*C$8)-(G$5*C$8))/(E$5*C$8))*(H$8/2*(C12*C13*C14*C15/D12/D13/D14/D15)*G$8/(0.2248*39.37)))+(G$5*C$8))/C$8</f>
        <v>15.253639420727492</v>
      </c>
      <c r="G17" s="48">
        <f>E$5*C$8*(1/(C12*C13*C14*C15/D12/D13/D14/D15))*39.37*0.2248*D$8/(G$8/2)</f>
        <v>30.445293439999997</v>
      </c>
      <c r="H17" s="52"/>
      <c r="I17" s="18"/>
      <c r="J17" s="1"/>
    </row>
    <row r="18" spans="1:10" ht="16.5" thickBot="1" x14ac:dyDescent="0.3">
      <c r="A18" s="1"/>
      <c r="B18" s="20"/>
      <c r="C18" s="22"/>
      <c r="D18" s="22"/>
      <c r="E18" s="22"/>
      <c r="F18" s="22"/>
      <c r="G18" s="22"/>
      <c r="H18" s="22"/>
      <c r="I18" s="25"/>
      <c r="J18" s="1"/>
    </row>
    <row r="19" spans="1:10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</row>
  </sheetData>
  <dataConsolidate/>
  <dataValidations count="1">
    <dataValidation type="list" allowBlank="1" showInputMessage="1" showErrorMessage="1" sqref="C5">
      <formula1>Motors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0.499984740745262"/>
  </sheetPr>
  <dimension ref="A1:O92"/>
  <sheetViews>
    <sheetView workbookViewId="0"/>
  </sheetViews>
  <sheetFormatPr defaultColWidth="11" defaultRowHeight="12.75" x14ac:dyDescent="0.2"/>
  <cols>
    <col min="1" max="1" width="3.5" style="57" customWidth="1"/>
    <col min="2" max="2" width="36.625" style="63" customWidth="1"/>
    <col min="3" max="9" width="11" style="57"/>
    <col min="10" max="10" width="23.125" style="57" customWidth="1"/>
    <col min="11" max="16384" width="11" style="57"/>
  </cols>
  <sheetData>
    <row r="1" spans="1:15" ht="26.1" customHeight="1" x14ac:dyDescent="0.2">
      <c r="A1" s="55"/>
      <c r="B1" s="68" t="s">
        <v>58</v>
      </c>
      <c r="C1" s="55"/>
      <c r="D1" s="55"/>
      <c r="E1" s="55"/>
      <c r="F1" s="55"/>
      <c r="G1" s="55"/>
      <c r="H1" s="56"/>
      <c r="I1" s="56"/>
    </row>
    <row r="2" spans="1:15" x14ac:dyDescent="0.2">
      <c r="A2" s="55"/>
      <c r="B2" s="67" t="s">
        <v>151</v>
      </c>
      <c r="C2" s="55"/>
      <c r="D2" s="55"/>
      <c r="E2" s="55"/>
      <c r="F2" s="55"/>
      <c r="G2" s="55"/>
      <c r="H2" s="56"/>
      <c r="I2" s="56"/>
    </row>
    <row r="3" spans="1:15" ht="15.75" x14ac:dyDescent="0.2">
      <c r="A3" s="55"/>
      <c r="B3" s="67" t="s">
        <v>150</v>
      </c>
      <c r="C3" s="55"/>
      <c r="D3" s="55"/>
      <c r="E3" s="55"/>
      <c r="F3" s="55"/>
      <c r="G3" s="55"/>
      <c r="H3" s="56"/>
      <c r="I3" s="56"/>
      <c r="J3" s="68" t="s">
        <v>135</v>
      </c>
    </row>
    <row r="4" spans="1:15" ht="34.5" customHeight="1" x14ac:dyDescent="0.2">
      <c r="A4" s="58"/>
      <c r="B4" s="59"/>
      <c r="C4" s="58" t="s">
        <v>0</v>
      </c>
      <c r="D4" s="58" t="s">
        <v>57</v>
      </c>
      <c r="E4" s="58" t="s">
        <v>2</v>
      </c>
      <c r="F4" s="58" t="s">
        <v>3</v>
      </c>
      <c r="G4" s="58" t="s">
        <v>18</v>
      </c>
      <c r="H4" s="60"/>
      <c r="I4" s="60"/>
      <c r="J4" s="59"/>
      <c r="K4" s="58" t="s">
        <v>0</v>
      </c>
      <c r="L4" s="58" t="s">
        <v>1</v>
      </c>
      <c r="M4" s="58" t="s">
        <v>2</v>
      </c>
      <c r="N4" s="58" t="s">
        <v>3</v>
      </c>
      <c r="O4" s="58" t="s">
        <v>18</v>
      </c>
    </row>
    <row r="5" spans="1:15" x14ac:dyDescent="0.2">
      <c r="A5" s="55"/>
      <c r="B5" s="53" t="s">
        <v>6</v>
      </c>
      <c r="C5" s="64">
        <v>5330</v>
      </c>
      <c r="D5" s="31">
        <v>2.41</v>
      </c>
      <c r="E5" s="31">
        <v>131</v>
      </c>
      <c r="F5" s="31">
        <v>2.7</v>
      </c>
      <c r="G5" s="61">
        <f>C5/2*(1/60*2*PI())*D5/2</f>
        <v>336.28916760964142</v>
      </c>
      <c r="H5" s="56"/>
      <c r="I5" s="56"/>
      <c r="J5" s="53" t="s">
        <v>182</v>
      </c>
      <c r="K5" s="64">
        <v>5840</v>
      </c>
      <c r="L5" s="31">
        <v>1.41</v>
      </c>
      <c r="M5" s="31">
        <v>89</v>
      </c>
      <c r="N5" s="31">
        <v>3</v>
      </c>
      <c r="O5" s="80">
        <f t="shared" ref="O5:O13" si="0">K5/2*(1/60*2*PI())*L5/2</f>
        <v>215.57608788933157</v>
      </c>
    </row>
    <row r="6" spans="1:15" x14ac:dyDescent="0.2">
      <c r="A6" s="55"/>
      <c r="B6" s="53" t="s">
        <v>171</v>
      </c>
      <c r="C6" s="65">
        <v>5840</v>
      </c>
      <c r="D6" s="62">
        <v>1.41</v>
      </c>
      <c r="E6" s="62">
        <v>89</v>
      </c>
      <c r="F6" s="62">
        <v>3</v>
      </c>
      <c r="G6" s="61">
        <f t="shared" ref="G6" si="1">C6/2*(1/60*2*PI())*D6/2</f>
        <v>215.57608788933157</v>
      </c>
      <c r="H6" s="56"/>
      <c r="I6" s="56"/>
      <c r="J6" s="53" t="s">
        <v>105</v>
      </c>
      <c r="K6" s="64">
        <v>5330</v>
      </c>
      <c r="L6" s="31">
        <v>2.41</v>
      </c>
      <c r="M6" s="31">
        <v>131</v>
      </c>
      <c r="N6" s="31">
        <v>2.7</v>
      </c>
      <c r="O6" s="80">
        <f t="shared" ref="O6:O7" si="2">K6/2*(1/60*2*PI())*L6/2</f>
        <v>336.28916760964142</v>
      </c>
    </row>
    <row r="7" spans="1:15" x14ac:dyDescent="0.2">
      <c r="A7" s="55"/>
      <c r="B7" s="53" t="s">
        <v>52</v>
      </c>
      <c r="C7" s="65">
        <v>13180</v>
      </c>
      <c r="D7" s="62">
        <v>0.43</v>
      </c>
      <c r="E7" s="62">
        <v>53</v>
      </c>
      <c r="F7" s="62">
        <v>1.8</v>
      </c>
      <c r="G7" s="61">
        <f t="shared" ref="G7" si="3">C7/2*(1/60*2*PI())*D7/2</f>
        <v>148.37218504128995</v>
      </c>
      <c r="H7" s="56"/>
      <c r="I7" s="56"/>
      <c r="J7" s="53" t="s">
        <v>181</v>
      </c>
      <c r="K7" s="64">
        <v>5840</v>
      </c>
      <c r="L7" s="31">
        <v>2.82</v>
      </c>
      <c r="M7" s="31">
        <v>178</v>
      </c>
      <c r="N7" s="31">
        <v>6</v>
      </c>
      <c r="O7" s="80">
        <f t="shared" si="2"/>
        <v>431.15217577866315</v>
      </c>
    </row>
    <row r="8" spans="1:15" x14ac:dyDescent="0.2">
      <c r="A8" s="55"/>
      <c r="B8" s="53" t="s">
        <v>147</v>
      </c>
      <c r="C8" s="64">
        <v>18730</v>
      </c>
      <c r="D8" s="31">
        <v>0.71</v>
      </c>
      <c r="E8" s="31">
        <v>134</v>
      </c>
      <c r="F8" s="31">
        <v>0.7</v>
      </c>
      <c r="G8" s="61">
        <f>C8/2*(1/60*2*PI())*D8/2</f>
        <v>348.14867987694288</v>
      </c>
      <c r="H8" s="32"/>
      <c r="I8" s="56"/>
      <c r="J8" s="53" t="s">
        <v>172</v>
      </c>
      <c r="K8" s="66">
        <v>5508</v>
      </c>
      <c r="L8" s="54">
        <v>3.82</v>
      </c>
      <c r="M8" s="54">
        <v>220</v>
      </c>
      <c r="N8" s="54">
        <v>8.16</v>
      </c>
      <c r="O8" s="80">
        <f t="shared" si="0"/>
        <v>550.84057269512709</v>
      </c>
    </row>
    <row r="9" spans="1:15" x14ac:dyDescent="0.2">
      <c r="A9" s="55"/>
      <c r="B9" s="53" t="s">
        <v>148</v>
      </c>
      <c r="C9" s="64">
        <v>5800</v>
      </c>
      <c r="D9" s="31">
        <v>0.28000000000000003</v>
      </c>
      <c r="E9" s="31">
        <v>18</v>
      </c>
      <c r="F9" s="31">
        <v>1.6</v>
      </c>
      <c r="G9" s="61">
        <f>C9/2*(1/60*2*PI())*D9/2</f>
        <v>42.516220578581873</v>
      </c>
      <c r="H9" s="56"/>
      <c r="I9" s="56"/>
      <c r="J9" s="53" t="s">
        <v>183</v>
      </c>
      <c r="K9" s="66">
        <v>5840</v>
      </c>
      <c r="L9" s="54">
        <v>4.2299999999999995</v>
      </c>
      <c r="M9" s="54">
        <v>267</v>
      </c>
      <c r="N9" s="54">
        <v>9</v>
      </c>
      <c r="O9" s="80">
        <f t="shared" ref="O9" si="4">K9/2*(1/60*2*PI())*L9/2</f>
        <v>646.72826366799472</v>
      </c>
    </row>
    <row r="10" spans="1:15" x14ac:dyDescent="0.2">
      <c r="A10" s="55"/>
      <c r="B10" s="53" t="s">
        <v>149</v>
      </c>
      <c r="C10" s="66">
        <v>14270</v>
      </c>
      <c r="D10" s="54">
        <v>0.36</v>
      </c>
      <c r="E10" s="54">
        <v>71</v>
      </c>
      <c r="F10" s="54">
        <v>3.7</v>
      </c>
      <c r="G10" s="61">
        <f t="shared" ref="G10" si="5">C10/2*(1/60*2*PI())*D10/2</f>
        <v>134.49158150017902</v>
      </c>
      <c r="H10" s="56"/>
      <c r="I10" s="56"/>
      <c r="J10" s="53" t="s">
        <v>79</v>
      </c>
      <c r="K10" s="64">
        <v>5330</v>
      </c>
      <c r="L10" s="31">
        <v>4.82</v>
      </c>
      <c r="M10" s="31">
        <v>262</v>
      </c>
      <c r="N10" s="31">
        <v>5.4</v>
      </c>
      <c r="O10" s="80">
        <f t="shared" si="0"/>
        <v>672.57833521928285</v>
      </c>
    </row>
    <row r="11" spans="1:15" x14ac:dyDescent="0.2">
      <c r="A11" s="55"/>
      <c r="B11" s="53" t="s">
        <v>172</v>
      </c>
      <c r="C11" s="66">
        <v>5508</v>
      </c>
      <c r="D11" s="54">
        <v>3.82</v>
      </c>
      <c r="E11" s="54">
        <v>220</v>
      </c>
      <c r="F11" s="54">
        <v>8.16</v>
      </c>
      <c r="G11" s="61">
        <f t="shared" ref="G11:G20" si="6">C11/2*(1/60*2*PI())*D11/2</f>
        <v>550.84057269512709</v>
      </c>
      <c r="H11" s="56"/>
      <c r="I11" s="56"/>
      <c r="J11" s="53" t="s">
        <v>173</v>
      </c>
      <c r="K11" s="66">
        <v>5593</v>
      </c>
      <c r="L11" s="54">
        <v>5.23</v>
      </c>
      <c r="M11" s="54">
        <v>309</v>
      </c>
      <c r="N11" s="54">
        <v>9.6199999999999992</v>
      </c>
      <c r="O11" s="80">
        <f t="shared" si="0"/>
        <v>765.79959942741618</v>
      </c>
    </row>
    <row r="12" spans="1:15" x14ac:dyDescent="0.2">
      <c r="A12" s="55"/>
      <c r="B12" s="53" t="s">
        <v>173</v>
      </c>
      <c r="C12" s="66">
        <v>5593</v>
      </c>
      <c r="D12" s="54">
        <v>5.23</v>
      </c>
      <c r="E12" s="54">
        <v>309</v>
      </c>
      <c r="F12" s="54">
        <v>9.6199999999999992</v>
      </c>
      <c r="G12" s="61">
        <f t="shared" si="6"/>
        <v>765.79959942741618</v>
      </c>
      <c r="H12" s="56"/>
      <c r="I12" s="56"/>
      <c r="J12" s="53" t="s">
        <v>174</v>
      </c>
      <c r="K12" s="66">
        <v>5437</v>
      </c>
      <c r="L12" s="54">
        <v>6.23</v>
      </c>
      <c r="M12" s="54">
        <v>351</v>
      </c>
      <c r="N12" s="54">
        <v>9.15</v>
      </c>
      <c r="O12" s="80">
        <f t="shared" si="0"/>
        <v>886.78023812205663</v>
      </c>
    </row>
    <row r="13" spans="1:15" x14ac:dyDescent="0.2">
      <c r="B13" s="53" t="s">
        <v>174</v>
      </c>
      <c r="C13" s="66">
        <v>5437</v>
      </c>
      <c r="D13" s="54">
        <v>6.23</v>
      </c>
      <c r="E13" s="54">
        <v>351</v>
      </c>
      <c r="F13" s="54">
        <v>9.15</v>
      </c>
      <c r="G13" s="61">
        <f t="shared" si="6"/>
        <v>886.78023812205663</v>
      </c>
      <c r="I13" s="56"/>
      <c r="J13" s="53" t="s">
        <v>106</v>
      </c>
      <c r="K13" s="64">
        <v>5330</v>
      </c>
      <c r="L13" s="31">
        <v>7.23</v>
      </c>
      <c r="M13" s="31">
        <v>393</v>
      </c>
      <c r="N13" s="31">
        <v>8.1000000000000014</v>
      </c>
      <c r="O13" s="80">
        <f t="shared" si="0"/>
        <v>1008.8675028289243</v>
      </c>
    </row>
    <row r="14" spans="1:15" x14ac:dyDescent="0.2">
      <c r="B14" s="53" t="s">
        <v>146</v>
      </c>
      <c r="C14" s="64">
        <v>13050</v>
      </c>
      <c r="D14" s="31">
        <v>0.72</v>
      </c>
      <c r="E14" s="31">
        <v>97</v>
      </c>
      <c r="F14" s="31">
        <v>2.7</v>
      </c>
      <c r="G14" s="61">
        <f t="shared" si="6"/>
        <v>245.98670477608078</v>
      </c>
      <c r="I14" s="56"/>
      <c r="J14" s="81"/>
      <c r="K14" s="79"/>
      <c r="L14" s="79"/>
      <c r="M14" s="79"/>
      <c r="N14" s="79"/>
      <c r="O14" s="79"/>
    </row>
    <row r="15" spans="1:15" x14ac:dyDescent="0.2">
      <c r="B15" s="53" t="s">
        <v>184</v>
      </c>
      <c r="C15" s="64">
        <v>19000</v>
      </c>
      <c r="D15" s="31">
        <v>0.38</v>
      </c>
      <c r="E15" s="31">
        <v>84</v>
      </c>
      <c r="F15" s="31">
        <v>0.4</v>
      </c>
      <c r="G15" s="61">
        <f t="shared" si="6"/>
        <v>189.01915799098589</v>
      </c>
      <c r="J15" s="59"/>
      <c r="K15" s="58"/>
      <c r="L15" s="58"/>
      <c r="M15" s="58"/>
      <c r="N15" s="58"/>
      <c r="O15" s="58"/>
    </row>
    <row r="16" spans="1:15" x14ac:dyDescent="0.2">
      <c r="B16" s="53"/>
      <c r="C16" s="66"/>
      <c r="D16" s="54"/>
      <c r="E16" s="54"/>
      <c r="F16" s="54"/>
      <c r="G16" s="61">
        <f t="shared" si="6"/>
        <v>0</v>
      </c>
      <c r="J16" s="53" t="s">
        <v>182</v>
      </c>
      <c r="K16" s="64">
        <v>5840</v>
      </c>
      <c r="L16" s="31">
        <v>1.41</v>
      </c>
      <c r="M16" s="31">
        <v>89</v>
      </c>
      <c r="N16" s="31">
        <v>3</v>
      </c>
      <c r="O16" s="80">
        <f>K16/2*(1/60*2*PI())*L16/2</f>
        <v>215.57608788933157</v>
      </c>
    </row>
    <row r="17" spans="2:15" x14ac:dyDescent="0.2">
      <c r="C17" s="66"/>
      <c r="D17" s="54"/>
      <c r="E17" s="54"/>
      <c r="F17" s="54"/>
      <c r="G17" s="61">
        <f t="shared" si="6"/>
        <v>0</v>
      </c>
      <c r="J17" s="53" t="s">
        <v>105</v>
      </c>
      <c r="K17" s="64">
        <v>5330</v>
      </c>
      <c r="L17" s="31">
        <v>2.41</v>
      </c>
      <c r="M17" s="31">
        <v>131</v>
      </c>
      <c r="N17" s="31">
        <v>2.7</v>
      </c>
      <c r="O17" s="80">
        <f>K17/2*(1/60*2*PI())*L17/2</f>
        <v>336.28916760964142</v>
      </c>
    </row>
    <row r="18" spans="2:15" x14ac:dyDescent="0.2">
      <c r="C18" s="66"/>
      <c r="D18" s="54"/>
      <c r="E18" s="54"/>
      <c r="F18" s="54"/>
      <c r="G18" s="61">
        <f t="shared" si="6"/>
        <v>0</v>
      </c>
      <c r="J18" s="53" t="s">
        <v>181</v>
      </c>
      <c r="K18" s="64">
        <v>5840</v>
      </c>
      <c r="L18" s="31">
        <v>2.82</v>
      </c>
      <c r="M18" s="31">
        <v>178</v>
      </c>
      <c r="N18" s="31">
        <v>6</v>
      </c>
      <c r="O18" s="80">
        <f>K18/2*(1/60*2*PI())*L18/2</f>
        <v>431.15217577866315</v>
      </c>
    </row>
    <row r="19" spans="2:15" x14ac:dyDescent="0.2">
      <c r="C19" s="66"/>
      <c r="D19" s="54"/>
      <c r="E19" s="54"/>
      <c r="F19" s="54"/>
      <c r="G19" s="61">
        <f t="shared" si="6"/>
        <v>0</v>
      </c>
      <c r="J19" s="53" t="s">
        <v>172</v>
      </c>
      <c r="K19" s="66">
        <v>5508</v>
      </c>
      <c r="L19" s="54">
        <v>3.82</v>
      </c>
      <c r="M19" s="54">
        <v>220</v>
      </c>
      <c r="N19" s="54">
        <v>8.16</v>
      </c>
      <c r="O19" s="80">
        <f>K19/2*(1/60*2*PI())*L19/2</f>
        <v>550.84057269512709</v>
      </c>
    </row>
    <row r="20" spans="2:15" x14ac:dyDescent="0.2">
      <c r="B20" s="53"/>
      <c r="C20" s="66"/>
      <c r="D20" s="54"/>
      <c r="E20" s="54"/>
      <c r="F20" s="54"/>
      <c r="G20" s="61">
        <f t="shared" si="6"/>
        <v>0</v>
      </c>
      <c r="J20" s="53" t="s">
        <v>79</v>
      </c>
      <c r="K20" s="64">
        <v>5330</v>
      </c>
      <c r="L20" s="31">
        <v>4.82</v>
      </c>
      <c r="M20" s="31">
        <v>262</v>
      </c>
      <c r="N20" s="31">
        <v>5.4</v>
      </c>
      <c r="O20" s="80">
        <f>K20/2*(1/60*2*PI())*L20/2</f>
        <v>672.57833521928285</v>
      </c>
    </row>
    <row r="25" spans="2:15" x14ac:dyDescent="0.2">
      <c r="C25" s="75"/>
    </row>
    <row r="26" spans="2:15" ht="15.75" x14ac:dyDescent="0.2">
      <c r="B26" s="68" t="s">
        <v>72</v>
      </c>
    </row>
    <row r="27" spans="2:15" x14ac:dyDescent="0.2">
      <c r="B27" s="77" t="s">
        <v>73</v>
      </c>
    </row>
    <row r="28" spans="2:15" x14ac:dyDescent="0.2">
      <c r="B28" s="83" t="s">
        <v>122</v>
      </c>
      <c r="C28" s="78">
        <v>11</v>
      </c>
      <c r="D28" s="78">
        <v>42</v>
      </c>
    </row>
    <row r="29" spans="2:15" x14ac:dyDescent="0.2">
      <c r="B29" s="83" t="s">
        <v>123</v>
      </c>
      <c r="C29" s="78">
        <v>12</v>
      </c>
      <c r="D29" s="78">
        <v>42</v>
      </c>
    </row>
    <row r="30" spans="2:15" x14ac:dyDescent="0.2">
      <c r="B30" s="82" t="s">
        <v>124</v>
      </c>
      <c r="C30" s="78">
        <v>13</v>
      </c>
      <c r="D30" s="78">
        <v>42</v>
      </c>
    </row>
    <row r="31" spans="2:15" x14ac:dyDescent="0.2">
      <c r="B31" s="82" t="s">
        <v>125</v>
      </c>
      <c r="C31" s="78">
        <v>13</v>
      </c>
      <c r="D31" s="78">
        <v>40</v>
      </c>
    </row>
    <row r="32" spans="2:15" x14ac:dyDescent="0.2">
      <c r="B32" s="82" t="s">
        <v>126</v>
      </c>
      <c r="C32" s="78">
        <v>14</v>
      </c>
      <c r="D32" s="78">
        <v>42</v>
      </c>
    </row>
    <row r="33" spans="2:4" x14ac:dyDescent="0.2">
      <c r="B33" s="82" t="s">
        <v>127</v>
      </c>
      <c r="C33" s="78">
        <v>14</v>
      </c>
      <c r="D33" s="78">
        <v>40</v>
      </c>
    </row>
    <row r="34" spans="2:4" x14ac:dyDescent="0.2">
      <c r="C34" s="78"/>
      <c r="D34" s="78"/>
    </row>
    <row r="35" spans="2:4" x14ac:dyDescent="0.2">
      <c r="B35" s="77" t="s">
        <v>121</v>
      </c>
      <c r="C35" s="78"/>
      <c r="D35" s="78"/>
    </row>
    <row r="36" spans="2:4" x14ac:dyDescent="0.2">
      <c r="B36" s="83" t="s">
        <v>129</v>
      </c>
      <c r="C36" s="78">
        <v>14</v>
      </c>
      <c r="D36" s="78">
        <v>60</v>
      </c>
    </row>
    <row r="37" spans="2:4" x14ac:dyDescent="0.2">
      <c r="B37" s="83" t="s">
        <v>128</v>
      </c>
      <c r="C37" s="78">
        <v>24</v>
      </c>
      <c r="D37" s="78">
        <v>50</v>
      </c>
    </row>
    <row r="38" spans="2:4" x14ac:dyDescent="0.2">
      <c r="C38" s="78"/>
      <c r="D38" s="78"/>
    </row>
    <row r="39" spans="2:4" x14ac:dyDescent="0.2">
      <c r="B39" s="77" t="s">
        <v>130</v>
      </c>
      <c r="C39" s="78"/>
      <c r="D39" s="78"/>
    </row>
    <row r="40" spans="2:4" x14ac:dyDescent="0.2">
      <c r="B40" s="83" t="s">
        <v>128</v>
      </c>
      <c r="C40" s="78">
        <v>24</v>
      </c>
      <c r="D40" s="78">
        <v>50</v>
      </c>
    </row>
    <row r="41" spans="2:4" x14ac:dyDescent="0.2">
      <c r="B41" s="83" t="s">
        <v>131</v>
      </c>
      <c r="C41" s="78">
        <v>30</v>
      </c>
      <c r="D41" s="78">
        <v>44</v>
      </c>
    </row>
    <row r="42" spans="2:4" x14ac:dyDescent="0.2">
      <c r="B42" s="83" t="s">
        <v>132</v>
      </c>
      <c r="C42" s="78">
        <v>34</v>
      </c>
      <c r="D42" s="78">
        <v>40</v>
      </c>
    </row>
    <row r="43" spans="2:4" x14ac:dyDescent="0.2">
      <c r="C43" s="78"/>
      <c r="D43" s="78"/>
    </row>
    <row r="44" spans="2:4" x14ac:dyDescent="0.2">
      <c r="C44" s="78"/>
      <c r="D44" s="78"/>
    </row>
    <row r="45" spans="2:4" x14ac:dyDescent="0.2">
      <c r="C45" s="78"/>
      <c r="D45" s="78"/>
    </row>
    <row r="46" spans="2:4" ht="15.75" x14ac:dyDescent="0.2">
      <c r="B46" s="68" t="s">
        <v>107</v>
      </c>
      <c r="C46" s="107"/>
      <c r="D46" s="107"/>
    </row>
    <row r="47" spans="2:4" x14ac:dyDescent="0.2">
      <c r="B47" s="76" t="s">
        <v>108</v>
      </c>
      <c r="C47" s="107"/>
      <c r="D47" s="107"/>
    </row>
    <row r="48" spans="2:4" x14ac:dyDescent="0.2">
      <c r="B48" s="82" t="s">
        <v>83</v>
      </c>
      <c r="C48" s="107">
        <v>12</v>
      </c>
      <c r="D48" s="107">
        <v>50</v>
      </c>
    </row>
    <row r="49" spans="2:4" x14ac:dyDescent="0.2">
      <c r="B49" s="81" t="s">
        <v>109</v>
      </c>
      <c r="C49" s="107">
        <v>11</v>
      </c>
      <c r="D49" s="107">
        <v>50</v>
      </c>
    </row>
    <row r="50" spans="2:4" x14ac:dyDescent="0.2">
      <c r="B50" s="81"/>
      <c r="C50" s="107"/>
      <c r="D50" s="107"/>
    </row>
    <row r="51" spans="2:4" x14ac:dyDescent="0.2">
      <c r="B51" s="81" t="s">
        <v>110</v>
      </c>
      <c r="C51" s="107">
        <v>50</v>
      </c>
      <c r="D51" s="107">
        <v>34</v>
      </c>
    </row>
    <row r="52" spans="2:4" x14ac:dyDescent="0.2">
      <c r="B52" s="81"/>
      <c r="C52" s="107"/>
      <c r="D52" s="107"/>
    </row>
    <row r="53" spans="2:4" x14ac:dyDescent="0.2">
      <c r="B53" s="81" t="s">
        <v>85</v>
      </c>
      <c r="C53" s="107">
        <v>34</v>
      </c>
      <c r="D53" s="107">
        <v>50</v>
      </c>
    </row>
    <row r="54" spans="2:4" x14ac:dyDescent="0.2">
      <c r="B54" s="81" t="s">
        <v>111</v>
      </c>
      <c r="C54" s="107">
        <v>30</v>
      </c>
      <c r="D54" s="107">
        <v>54</v>
      </c>
    </row>
    <row r="55" spans="2:4" x14ac:dyDescent="0.2">
      <c r="B55" s="81" t="s">
        <v>112</v>
      </c>
      <c r="C55" s="107">
        <v>24</v>
      </c>
      <c r="D55" s="107">
        <v>60</v>
      </c>
    </row>
    <row r="56" spans="2:4" x14ac:dyDescent="0.2">
      <c r="B56" s="81"/>
      <c r="C56" s="107"/>
      <c r="D56" s="107"/>
    </row>
    <row r="57" spans="2:4" x14ac:dyDescent="0.2">
      <c r="B57" s="81" t="s">
        <v>113</v>
      </c>
      <c r="C57" s="107">
        <v>1</v>
      </c>
      <c r="D57" s="107">
        <v>1</v>
      </c>
    </row>
    <row r="58" spans="2:4" x14ac:dyDescent="0.2">
      <c r="B58" s="81" t="s">
        <v>87</v>
      </c>
      <c r="C58" s="107">
        <v>20</v>
      </c>
      <c r="D58" s="107">
        <v>64</v>
      </c>
    </row>
    <row r="59" spans="2:4" x14ac:dyDescent="0.2">
      <c r="B59" s="81" t="s">
        <v>114</v>
      </c>
      <c r="C59" s="107">
        <v>24</v>
      </c>
      <c r="D59" s="107">
        <v>60</v>
      </c>
    </row>
    <row r="60" spans="2:4" x14ac:dyDescent="0.2">
      <c r="B60" s="81" t="s">
        <v>115</v>
      </c>
      <c r="C60" s="107">
        <v>30</v>
      </c>
      <c r="D60" s="107">
        <v>54</v>
      </c>
    </row>
    <row r="61" spans="2:4" x14ac:dyDescent="0.2">
      <c r="B61" s="81" t="s">
        <v>116</v>
      </c>
      <c r="C61" s="107">
        <v>34</v>
      </c>
      <c r="D61" s="107">
        <v>50</v>
      </c>
    </row>
    <row r="62" spans="2:4" x14ac:dyDescent="0.2">
      <c r="B62" s="81"/>
      <c r="C62" s="107"/>
      <c r="D62" s="107"/>
    </row>
    <row r="63" spans="2:4" x14ac:dyDescent="0.2">
      <c r="B63" s="81"/>
      <c r="C63" s="107"/>
      <c r="D63" s="107"/>
    </row>
    <row r="64" spans="2:4" ht="15.75" x14ac:dyDescent="0.2">
      <c r="B64" s="68" t="s">
        <v>117</v>
      </c>
      <c r="C64" s="107"/>
      <c r="D64" s="107"/>
    </row>
    <row r="65" spans="2:4" x14ac:dyDescent="0.2">
      <c r="B65" s="76" t="s">
        <v>108</v>
      </c>
      <c r="C65" s="107"/>
      <c r="D65" s="107"/>
    </row>
    <row r="66" spans="2:4" x14ac:dyDescent="0.2">
      <c r="B66" s="82" t="s">
        <v>101</v>
      </c>
      <c r="C66" s="107">
        <v>12</v>
      </c>
      <c r="D66" s="107">
        <v>40</v>
      </c>
    </row>
    <row r="67" spans="2:4" x14ac:dyDescent="0.2">
      <c r="B67" s="81" t="s">
        <v>118</v>
      </c>
      <c r="C67" s="107">
        <v>11</v>
      </c>
      <c r="D67" s="107">
        <v>40</v>
      </c>
    </row>
    <row r="68" spans="2:4" x14ac:dyDescent="0.2">
      <c r="B68" s="81"/>
      <c r="C68" s="107"/>
      <c r="D68" s="107"/>
    </row>
    <row r="69" spans="2:4" x14ac:dyDescent="0.2">
      <c r="B69" s="81" t="s">
        <v>113</v>
      </c>
      <c r="C69" s="107">
        <v>1</v>
      </c>
      <c r="D69" s="107">
        <v>1</v>
      </c>
    </row>
    <row r="70" spans="2:4" x14ac:dyDescent="0.2">
      <c r="B70" s="81" t="s">
        <v>144</v>
      </c>
      <c r="C70" s="78">
        <v>34</v>
      </c>
      <c r="D70" s="78">
        <v>50</v>
      </c>
    </row>
    <row r="71" spans="2:4" x14ac:dyDescent="0.2">
      <c r="B71" s="81" t="s">
        <v>145</v>
      </c>
      <c r="C71" s="107">
        <v>30</v>
      </c>
      <c r="D71" s="107">
        <v>54</v>
      </c>
    </row>
    <row r="72" spans="2:4" x14ac:dyDescent="0.2">
      <c r="B72" s="81" t="s">
        <v>142</v>
      </c>
      <c r="C72" s="107">
        <v>24</v>
      </c>
      <c r="D72" s="107">
        <v>60</v>
      </c>
    </row>
    <row r="73" spans="2:4" x14ac:dyDescent="0.2">
      <c r="B73" s="81" t="s">
        <v>143</v>
      </c>
      <c r="C73" s="107">
        <v>20</v>
      </c>
      <c r="D73" s="107">
        <v>64</v>
      </c>
    </row>
    <row r="74" spans="2:4" x14ac:dyDescent="0.2">
      <c r="B74" s="81"/>
      <c r="C74" s="107"/>
      <c r="D74" s="107"/>
    </row>
    <row r="75" spans="2:4" x14ac:dyDescent="0.2">
      <c r="B75" s="81" t="s">
        <v>103</v>
      </c>
      <c r="C75" s="107">
        <v>14</v>
      </c>
      <c r="D75" s="107">
        <v>40</v>
      </c>
    </row>
    <row r="76" spans="2:4" x14ac:dyDescent="0.2">
      <c r="B76" s="81" t="s">
        <v>119</v>
      </c>
      <c r="C76" s="107">
        <v>20</v>
      </c>
      <c r="D76" s="107">
        <v>34</v>
      </c>
    </row>
    <row r="77" spans="2:4" x14ac:dyDescent="0.2">
      <c r="B77" s="81" t="s">
        <v>120</v>
      </c>
      <c r="C77" s="107">
        <v>24</v>
      </c>
      <c r="D77" s="107">
        <v>30</v>
      </c>
    </row>
    <row r="78" spans="2:4" x14ac:dyDescent="0.2">
      <c r="C78" s="78"/>
      <c r="D78" s="78"/>
    </row>
    <row r="79" spans="2:4" x14ac:dyDescent="0.2">
      <c r="C79" s="78"/>
      <c r="D79" s="78"/>
    </row>
    <row r="80" spans="2:4" ht="15.75" x14ac:dyDescent="0.2">
      <c r="B80" s="68" t="s">
        <v>152</v>
      </c>
      <c r="C80" s="78"/>
      <c r="D80" s="78"/>
    </row>
    <row r="81" spans="2:4" x14ac:dyDescent="0.2">
      <c r="B81" s="77" t="s">
        <v>73</v>
      </c>
      <c r="C81" s="78"/>
      <c r="D81" s="78"/>
    </row>
    <row r="82" spans="2:4" x14ac:dyDescent="0.2">
      <c r="B82" s="82" t="s">
        <v>153</v>
      </c>
      <c r="C82" s="78">
        <v>11</v>
      </c>
      <c r="D82" s="78">
        <v>50</v>
      </c>
    </row>
    <row r="83" spans="2:4" x14ac:dyDescent="0.2">
      <c r="B83" s="82" t="s">
        <v>154</v>
      </c>
      <c r="C83" s="78">
        <v>12</v>
      </c>
      <c r="D83" s="78">
        <v>50</v>
      </c>
    </row>
    <row r="84" spans="2:4" x14ac:dyDescent="0.2">
      <c r="B84" s="82" t="s">
        <v>155</v>
      </c>
      <c r="C84" s="78">
        <v>13</v>
      </c>
      <c r="D84" s="78">
        <v>50</v>
      </c>
    </row>
    <row r="85" spans="2:4" x14ac:dyDescent="0.2">
      <c r="B85" s="82" t="s">
        <v>156</v>
      </c>
      <c r="C85" s="78">
        <v>14</v>
      </c>
      <c r="D85" s="78">
        <v>50</v>
      </c>
    </row>
    <row r="86" spans="2:4" x14ac:dyDescent="0.2">
      <c r="C86" s="78"/>
      <c r="D86" s="78"/>
    </row>
    <row r="87" spans="2:4" x14ac:dyDescent="0.2">
      <c r="B87" s="77" t="s">
        <v>157</v>
      </c>
      <c r="C87" s="78"/>
      <c r="D87" s="78"/>
    </row>
    <row r="88" spans="2:4" x14ac:dyDescent="0.2">
      <c r="B88" s="83" t="s">
        <v>158</v>
      </c>
      <c r="C88" s="78">
        <v>34</v>
      </c>
      <c r="D88" s="78">
        <v>40</v>
      </c>
    </row>
    <row r="89" spans="2:4" x14ac:dyDescent="0.2">
      <c r="B89" s="83" t="s">
        <v>159</v>
      </c>
      <c r="C89" s="78">
        <v>30</v>
      </c>
      <c r="D89" s="78">
        <v>44</v>
      </c>
    </row>
    <row r="90" spans="2:4" x14ac:dyDescent="0.2">
      <c r="B90" s="106" t="s">
        <v>160</v>
      </c>
      <c r="C90" s="78">
        <v>24</v>
      </c>
      <c r="D90" s="78">
        <v>50</v>
      </c>
    </row>
    <row r="91" spans="2:4" x14ac:dyDescent="0.2">
      <c r="B91" s="106" t="s">
        <v>161</v>
      </c>
      <c r="C91" s="78">
        <v>20</v>
      </c>
      <c r="D91" s="78">
        <v>54</v>
      </c>
    </row>
    <row r="92" spans="2:4" x14ac:dyDescent="0.2">
      <c r="B92" s="106" t="s">
        <v>162</v>
      </c>
      <c r="C92" s="78">
        <v>14</v>
      </c>
      <c r="D92" s="78">
        <v>60</v>
      </c>
    </row>
  </sheetData>
  <pageMargins left="0.75" right="0.75" top="1" bottom="1" header="0.5" footer="0.5"/>
  <pageSetup orientation="portrait" horizontalDpi="4294967292" verticalDpi="4294967292"/>
  <ignoredErrors>
    <ignoredError sqref="G15:G20" emptyCellReference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M18"/>
  <sheetViews>
    <sheetView tabSelected="1" workbookViewId="0">
      <selection activeCell="O22" sqref="O22"/>
    </sheetView>
  </sheetViews>
  <sheetFormatPr defaultColWidth="10.875" defaultRowHeight="15.75" x14ac:dyDescent="0.25"/>
  <cols>
    <col min="1" max="1" width="5.875" style="33" customWidth="1"/>
    <col min="2" max="2" width="3.5" style="33" customWidth="1"/>
    <col min="3" max="3" width="11.125" style="33" customWidth="1"/>
    <col min="4" max="7" width="10.875" style="33"/>
    <col min="8" max="8" width="4.125" style="33" customWidth="1"/>
    <col min="9" max="10" width="10.875" style="33"/>
    <col min="11" max="11" width="13.5" style="33" customWidth="1"/>
    <col min="12" max="12" width="2.875" style="33" customWidth="1"/>
    <col min="13" max="16384" width="10.875" style="33"/>
  </cols>
  <sheetData>
    <row r="1" spans="1:13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16.5" thickBot="1" x14ac:dyDescent="0.3">
      <c r="A2" s="1"/>
      <c r="B2" s="84" t="s">
        <v>56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x14ac:dyDescent="0.25">
      <c r="A3" s="1"/>
      <c r="B3" s="2"/>
      <c r="C3" s="34"/>
      <c r="D3" s="3"/>
      <c r="E3" s="3"/>
      <c r="F3" s="3"/>
      <c r="G3" s="3"/>
      <c r="H3" s="3"/>
      <c r="I3" s="3"/>
      <c r="J3" s="3"/>
      <c r="K3" s="3"/>
      <c r="L3" s="4"/>
      <c r="M3" s="1"/>
    </row>
    <row r="4" spans="1:13" ht="47.25" x14ac:dyDescent="0.25">
      <c r="A4" s="5"/>
      <c r="B4" s="6"/>
      <c r="C4" s="5"/>
      <c r="D4" s="7" t="s">
        <v>0</v>
      </c>
      <c r="E4" s="7" t="s">
        <v>1</v>
      </c>
      <c r="F4" s="7" t="s">
        <v>2</v>
      </c>
      <c r="G4" s="7" t="s">
        <v>3</v>
      </c>
      <c r="H4" s="5"/>
      <c r="I4" s="7" t="s">
        <v>138</v>
      </c>
      <c r="J4" s="7" t="s">
        <v>5</v>
      </c>
      <c r="K4" s="5"/>
      <c r="L4" s="8"/>
      <c r="M4" s="5"/>
    </row>
    <row r="5" spans="1:13" x14ac:dyDescent="0.25">
      <c r="A5" s="9"/>
      <c r="B5" s="10"/>
      <c r="C5" s="74" t="s">
        <v>6</v>
      </c>
      <c r="D5" s="12">
        <f>VLOOKUP(C5,Specs,2,FALSE)</f>
        <v>5330</v>
      </c>
      <c r="E5" s="12">
        <f>VLOOKUP(C5,Specs,3,FALSE)</f>
        <v>2.41</v>
      </c>
      <c r="F5" s="12">
        <f>VLOOKUP(C5,Specs,4,FALSE)</f>
        <v>131</v>
      </c>
      <c r="G5" s="12">
        <f>VLOOKUP(C5,Specs,5,FALSE)</f>
        <v>2.7</v>
      </c>
      <c r="H5" s="9"/>
      <c r="I5" s="13">
        <v>0.81</v>
      </c>
      <c r="J5" s="13">
        <v>0.9</v>
      </c>
      <c r="K5" s="9"/>
      <c r="L5" s="14"/>
      <c r="M5" s="9"/>
    </row>
    <row r="6" spans="1:13" x14ac:dyDescent="0.25">
      <c r="A6" s="1"/>
      <c r="B6" s="15"/>
      <c r="C6" s="16"/>
      <c r="D6" s="16"/>
      <c r="E6" s="17"/>
      <c r="F6" s="17"/>
      <c r="G6" s="1"/>
      <c r="H6" s="1"/>
      <c r="I6" s="1"/>
      <c r="J6" s="1"/>
      <c r="K6" s="1"/>
      <c r="L6" s="18"/>
      <c r="M6" s="1"/>
    </row>
    <row r="7" spans="1:13" ht="47.25" x14ac:dyDescent="0.25">
      <c r="A7" s="1"/>
      <c r="B7" s="15"/>
      <c r="C7" s="7" t="s">
        <v>19</v>
      </c>
      <c r="D7" s="7" t="s">
        <v>20</v>
      </c>
      <c r="E7" s="9"/>
      <c r="F7" s="7" t="s">
        <v>24</v>
      </c>
      <c r="G7" s="7" t="s">
        <v>8</v>
      </c>
      <c r="H7" s="1"/>
      <c r="I7" s="35" t="s">
        <v>9</v>
      </c>
      <c r="J7" s="35" t="s">
        <v>10</v>
      </c>
      <c r="L7" s="18"/>
      <c r="M7" s="1"/>
    </row>
    <row r="8" spans="1:13" x14ac:dyDescent="0.25">
      <c r="A8" s="1"/>
      <c r="B8" s="15"/>
      <c r="C8" s="19">
        <v>2</v>
      </c>
      <c r="D8" s="19">
        <v>2</v>
      </c>
      <c r="E8" s="1"/>
      <c r="F8" s="19">
        <v>154</v>
      </c>
      <c r="G8" s="13">
        <v>1</v>
      </c>
      <c r="H8" s="1"/>
      <c r="I8" s="19">
        <v>6</v>
      </c>
      <c r="J8" s="19">
        <v>1.1000000000000001</v>
      </c>
      <c r="L8" s="18"/>
      <c r="M8" s="1"/>
    </row>
    <row r="9" spans="1:13" ht="16.5" thickBot="1" x14ac:dyDescent="0.3">
      <c r="A9" s="1"/>
      <c r="B9" s="20"/>
      <c r="C9" s="21"/>
      <c r="D9" s="21"/>
      <c r="E9" s="22"/>
      <c r="F9" s="22"/>
      <c r="G9" s="22"/>
      <c r="H9" s="22"/>
      <c r="I9" s="23"/>
      <c r="J9" s="24"/>
      <c r="K9" s="24"/>
      <c r="L9" s="25"/>
      <c r="M9" s="1"/>
    </row>
    <row r="10" spans="1:13" x14ac:dyDescent="0.25">
      <c r="A10" s="1"/>
      <c r="B10" s="2"/>
      <c r="C10" s="34"/>
      <c r="D10" s="26"/>
      <c r="E10" s="3"/>
      <c r="F10" s="3"/>
      <c r="G10" s="3"/>
      <c r="H10" s="3"/>
      <c r="I10" s="27"/>
      <c r="J10" s="28"/>
      <c r="K10" s="28"/>
      <c r="L10" s="4"/>
      <c r="M10" s="1"/>
    </row>
    <row r="11" spans="1:13" ht="63" x14ac:dyDescent="0.25">
      <c r="A11" s="5"/>
      <c r="B11" s="6"/>
      <c r="C11" s="36" t="s">
        <v>11</v>
      </c>
      <c r="D11" s="36" t="s">
        <v>12</v>
      </c>
      <c r="E11" s="5"/>
      <c r="F11" s="109" t="s">
        <v>13</v>
      </c>
      <c r="G11" s="109" t="s">
        <v>14</v>
      </c>
      <c r="H11" s="5"/>
      <c r="I11" s="109" t="s">
        <v>27</v>
      </c>
      <c r="J11" s="110" t="s">
        <v>137</v>
      </c>
      <c r="K11" s="110" t="s">
        <v>165</v>
      </c>
      <c r="L11" s="8"/>
      <c r="M11" s="5"/>
    </row>
    <row r="12" spans="1:13" x14ac:dyDescent="0.25">
      <c r="A12" s="9"/>
      <c r="B12" s="10"/>
      <c r="C12" s="19">
        <v>12</v>
      </c>
      <c r="D12" s="19">
        <v>40</v>
      </c>
      <c r="E12" s="9"/>
      <c r="F12" s="19">
        <v>40</v>
      </c>
      <c r="G12" s="19">
        <v>44</v>
      </c>
      <c r="H12" s="9"/>
      <c r="I12" s="41">
        <f>J12/I$5</f>
        <v>19.028055504129089</v>
      </c>
      <c r="J12" s="41">
        <f>D$5*I$5*((I$8*0.0254/2)*2*PI())/(0.3048*60)*C12/D12*C13/D13*C14/D14*F12/G12</f>
        <v>15.412724958344562</v>
      </c>
      <c r="K12" s="42">
        <f>((F$5-G$5)/E$5*(F$8*G$8*J$8/C$8*4.44822161526*I$8*0.0254/2/J$5/D$8*C12/D12*C13/D13*C14/D14*F12/G12))+G$5</f>
        <v>118.48718095919114</v>
      </c>
      <c r="L12" s="14"/>
      <c r="M12" s="9"/>
    </row>
    <row r="13" spans="1:13" x14ac:dyDescent="0.25">
      <c r="A13" s="1"/>
      <c r="B13" s="15"/>
      <c r="C13" s="19">
        <v>1</v>
      </c>
      <c r="D13" s="19">
        <v>1</v>
      </c>
      <c r="E13" s="1"/>
      <c r="F13" s="1"/>
      <c r="G13" s="1"/>
      <c r="H13" s="1"/>
      <c r="I13" s="38">
        <f>D12*D13*D14*G12/C12/C13/C14/F12</f>
        <v>7.333333333333333</v>
      </c>
      <c r="J13" s="1" t="s">
        <v>21</v>
      </c>
      <c r="K13" s="1"/>
      <c r="L13" s="18"/>
      <c r="M13" s="1"/>
    </row>
    <row r="14" spans="1:13" x14ac:dyDescent="0.25">
      <c r="A14" s="1"/>
      <c r="B14" s="15"/>
      <c r="C14" s="19">
        <v>12</v>
      </c>
      <c r="D14" s="19">
        <v>24</v>
      </c>
      <c r="E14" s="1"/>
      <c r="F14" s="1"/>
      <c r="G14" s="1"/>
      <c r="H14" s="1"/>
      <c r="I14" s="29"/>
      <c r="J14" s="1"/>
      <c r="K14" s="1"/>
      <c r="L14" s="18"/>
      <c r="M14" s="1"/>
    </row>
    <row r="15" spans="1:13" ht="63" x14ac:dyDescent="0.25">
      <c r="A15" s="1"/>
      <c r="B15" s="15"/>
      <c r="C15" s="1"/>
      <c r="D15" s="1"/>
      <c r="E15" s="1"/>
      <c r="F15" s="37" t="s">
        <v>15</v>
      </c>
      <c r="G15" s="37" t="s">
        <v>16</v>
      </c>
      <c r="H15" s="1"/>
      <c r="I15" s="37" t="s">
        <v>28</v>
      </c>
      <c r="J15" s="72" t="s">
        <v>136</v>
      </c>
      <c r="K15" s="72" t="s">
        <v>165</v>
      </c>
      <c r="L15" s="18"/>
      <c r="M15" s="1"/>
    </row>
    <row r="16" spans="1:13" x14ac:dyDescent="0.25">
      <c r="A16" s="1"/>
      <c r="B16" s="15"/>
      <c r="C16" s="40">
        <f>I12/I16</f>
        <v>2.2727272727272729</v>
      </c>
      <c r="D16" s="1" t="s">
        <v>17</v>
      </c>
      <c r="E16" s="1"/>
      <c r="F16" s="19">
        <v>24</v>
      </c>
      <c r="G16" s="19">
        <v>60</v>
      </c>
      <c r="H16" s="1"/>
      <c r="I16" s="41">
        <f>J16/I$5</f>
        <v>8.3723444218167984</v>
      </c>
      <c r="J16" s="41">
        <f>D$5*I$5*I$8*0.0254/2*2*PI()/(0.3048*60)*C12/D12*C13/D13*C14/D14*F16/G16</f>
        <v>6.7815989816716069</v>
      </c>
      <c r="K16" s="42">
        <f>((F$5-G$5)/E$5*(F$8*G$8*J$8/C$8*4.44822161526*I$8*0.0254/2/J$5/D$8*C12/D12*C13/D13*C14/D14*F16/G16))+G$5</f>
        <v>53.646359622044102</v>
      </c>
      <c r="L16" s="18"/>
      <c r="M16" s="1"/>
    </row>
    <row r="17" spans="1:13" x14ac:dyDescent="0.25">
      <c r="A17" s="1"/>
      <c r="B17" s="15"/>
      <c r="C17" s="1"/>
      <c r="D17" s="1"/>
      <c r="E17" s="1"/>
      <c r="F17" s="1"/>
      <c r="G17" s="1"/>
      <c r="H17" s="1"/>
      <c r="I17" s="38">
        <f>D12*D13*D14*G16/C12/C13/C14/F16</f>
        <v>16.666666666666668</v>
      </c>
      <c r="J17" s="33" t="s">
        <v>22</v>
      </c>
      <c r="K17" s="1"/>
      <c r="L17" s="18"/>
      <c r="M17" s="1"/>
    </row>
    <row r="18" spans="1:13" ht="16.5" thickBot="1" x14ac:dyDescent="0.3">
      <c r="A18" s="1"/>
      <c r="B18" s="20"/>
      <c r="C18" s="22"/>
      <c r="D18" s="22"/>
      <c r="E18" s="22"/>
      <c r="F18" s="22"/>
      <c r="G18" s="22"/>
      <c r="H18" s="22"/>
      <c r="I18" s="22"/>
      <c r="J18" s="22"/>
      <c r="K18" s="22"/>
      <c r="L18" s="25"/>
      <c r="M18" s="1"/>
    </row>
  </sheetData>
  <sortState ref="I27:N70">
    <sortCondition descending="1" ref="M27:M70"/>
  </sortState>
  <dataValidations disablePrompts="1" count="1">
    <dataValidation type="list" allowBlank="1" showInputMessage="1" showErrorMessage="1" sqref="C5">
      <formula1>Motors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J32"/>
  <sheetViews>
    <sheetView workbookViewId="0"/>
  </sheetViews>
  <sheetFormatPr defaultColWidth="10.875" defaultRowHeight="15.75" x14ac:dyDescent="0.25"/>
  <cols>
    <col min="1" max="1" width="5.875" style="33" customWidth="1"/>
    <col min="2" max="2" width="2.625" style="33" customWidth="1"/>
    <col min="3" max="3" width="23.125" style="33" customWidth="1"/>
    <col min="4" max="4" width="11.125" style="33" customWidth="1"/>
    <col min="5" max="5" width="10.875" style="33"/>
    <col min="6" max="6" width="13.375" style="33" customWidth="1"/>
    <col min="7" max="7" width="12.125" style="33" customWidth="1"/>
    <col min="8" max="8" width="2.5" style="33" customWidth="1"/>
    <col min="9" max="16384" width="10.875" style="33"/>
  </cols>
  <sheetData>
    <row r="1" spans="1:10" x14ac:dyDescent="0.25">
      <c r="A1" s="1"/>
      <c r="B1" s="1"/>
      <c r="C1" s="1"/>
      <c r="D1" s="1"/>
      <c r="E1" s="1"/>
      <c r="F1" s="1"/>
      <c r="G1" s="1"/>
      <c r="H1" s="1"/>
      <c r="I1" s="1"/>
    </row>
    <row r="2" spans="1:10" ht="16.5" thickBot="1" x14ac:dyDescent="0.3">
      <c r="A2" s="1"/>
      <c r="B2" s="84" t="s">
        <v>166</v>
      </c>
      <c r="C2" s="84"/>
      <c r="D2" s="1"/>
      <c r="F2" s="1"/>
      <c r="G2" s="1"/>
      <c r="H2" s="1"/>
      <c r="I2" s="1"/>
    </row>
    <row r="3" spans="1:10" x14ac:dyDescent="0.25">
      <c r="A3" s="1"/>
      <c r="B3" s="2"/>
      <c r="C3" s="3"/>
      <c r="D3" s="70"/>
      <c r="E3" s="3"/>
      <c r="F3" s="3"/>
      <c r="G3" s="3"/>
      <c r="H3" s="4"/>
      <c r="I3" s="1"/>
      <c r="J3" s="111" t="s">
        <v>175</v>
      </c>
    </row>
    <row r="4" spans="1:10" ht="31.5" x14ac:dyDescent="0.25">
      <c r="A4" s="5"/>
      <c r="B4" s="6"/>
      <c r="C4" s="85" t="s">
        <v>78</v>
      </c>
      <c r="D4" s="7" t="s">
        <v>0</v>
      </c>
      <c r="E4" s="7" t="s">
        <v>1</v>
      </c>
      <c r="F4" s="7" t="s">
        <v>2</v>
      </c>
      <c r="G4" s="7" t="s">
        <v>3</v>
      </c>
      <c r="H4" s="8"/>
      <c r="I4" s="5"/>
    </row>
    <row r="5" spans="1:10" x14ac:dyDescent="0.25">
      <c r="A5" s="9"/>
      <c r="B5" s="10"/>
      <c r="C5" s="74" t="s">
        <v>79</v>
      </c>
      <c r="D5" s="86">
        <f>VLOOKUP(C5,Motor,2,FALSE)</f>
        <v>5330</v>
      </c>
      <c r="E5" s="12">
        <f>VLOOKUP(C5,Motor,3,FALSE)</f>
        <v>4.82</v>
      </c>
      <c r="F5" s="12">
        <f>VLOOKUP(C5,Motor,4,FALSE)</f>
        <v>262</v>
      </c>
      <c r="G5" s="12">
        <f>VLOOKUP(C5,Motor,5,FALSE)</f>
        <v>5.4</v>
      </c>
      <c r="H5" s="14"/>
      <c r="I5" s="9"/>
    </row>
    <row r="6" spans="1:10" x14ac:dyDescent="0.25">
      <c r="A6" s="1"/>
      <c r="B6" s="15"/>
      <c r="C6" s="1"/>
      <c r="D6" s="16"/>
      <c r="E6" s="16"/>
      <c r="F6" s="17"/>
      <c r="G6" s="17"/>
      <c r="H6" s="18"/>
      <c r="I6" s="1"/>
    </row>
    <row r="7" spans="1:10" ht="47.25" x14ac:dyDescent="0.25">
      <c r="A7" s="1"/>
      <c r="B7" s="15"/>
      <c r="C7" s="1"/>
      <c r="D7" s="87" t="s">
        <v>9</v>
      </c>
      <c r="E7" s="87" t="s">
        <v>80</v>
      </c>
      <c r="F7" s="7" t="s">
        <v>24</v>
      </c>
      <c r="G7" s="7" t="s">
        <v>8</v>
      </c>
      <c r="H7" s="18"/>
      <c r="I7" s="1"/>
    </row>
    <row r="8" spans="1:10" x14ac:dyDescent="0.25">
      <c r="A8" s="1"/>
      <c r="B8" s="15"/>
      <c r="C8" s="1"/>
      <c r="D8" s="19">
        <v>4</v>
      </c>
      <c r="E8" s="19">
        <v>1.1000000000000001</v>
      </c>
      <c r="F8" s="19">
        <v>154</v>
      </c>
      <c r="G8" s="13">
        <v>1</v>
      </c>
      <c r="H8" s="18"/>
      <c r="I8" s="1"/>
    </row>
    <row r="9" spans="1:10" ht="16.5" thickBot="1" x14ac:dyDescent="0.3">
      <c r="A9" s="1"/>
      <c r="B9" s="20"/>
      <c r="C9" s="22"/>
      <c r="D9" s="21"/>
      <c r="E9" s="21"/>
      <c r="F9" s="22"/>
      <c r="G9" s="22"/>
      <c r="H9" s="25"/>
      <c r="I9" s="1"/>
    </row>
    <row r="10" spans="1:10" x14ac:dyDescent="0.25">
      <c r="A10" s="1"/>
      <c r="B10" s="88"/>
      <c r="C10" s="89" t="s">
        <v>81</v>
      </c>
      <c r="D10" s="26"/>
      <c r="E10" s="26"/>
      <c r="F10" s="3"/>
      <c r="G10" s="3"/>
      <c r="H10" s="4"/>
      <c r="I10" s="1"/>
    </row>
    <row r="11" spans="1:10" ht="16.5" thickBot="1" x14ac:dyDescent="0.3">
      <c r="A11" s="1"/>
      <c r="B11" s="90"/>
      <c r="C11" s="91"/>
      <c r="D11" s="17"/>
      <c r="E11" s="17"/>
      <c r="F11" s="1"/>
      <c r="G11" s="1"/>
      <c r="H11" s="18"/>
      <c r="I11" s="1"/>
    </row>
    <row r="12" spans="1:10" ht="16.5" thickBot="1" x14ac:dyDescent="0.3">
      <c r="A12" s="1"/>
      <c r="B12" s="92"/>
      <c r="C12" s="11" t="s">
        <v>82</v>
      </c>
      <c r="D12" s="115" t="s">
        <v>83</v>
      </c>
      <c r="E12" s="116"/>
      <c r="F12" s="116"/>
      <c r="G12" s="117"/>
      <c r="H12" s="18"/>
      <c r="I12" s="1"/>
    </row>
    <row r="13" spans="1:10" ht="16.5" thickBot="1" x14ac:dyDescent="0.3">
      <c r="A13" s="1"/>
      <c r="B13" s="92"/>
      <c r="C13" s="11" t="s">
        <v>84</v>
      </c>
      <c r="D13" s="115" t="s">
        <v>85</v>
      </c>
      <c r="E13" s="116"/>
      <c r="F13" s="116"/>
      <c r="G13" s="117"/>
      <c r="H13" s="18"/>
      <c r="I13" s="1"/>
    </row>
    <row r="14" spans="1:10" ht="16.5" thickBot="1" x14ac:dyDescent="0.3">
      <c r="A14" s="1"/>
      <c r="B14" s="92"/>
      <c r="C14" s="11" t="s">
        <v>86</v>
      </c>
      <c r="D14" s="115" t="s">
        <v>87</v>
      </c>
      <c r="E14" s="116"/>
      <c r="F14" s="116"/>
      <c r="G14" s="117"/>
      <c r="H14" s="18"/>
      <c r="I14" s="1"/>
    </row>
    <row r="15" spans="1:10" x14ac:dyDescent="0.25">
      <c r="A15" s="1"/>
      <c r="B15" s="92"/>
      <c r="C15" s="93"/>
      <c r="D15" s="29"/>
      <c r="E15" s="1"/>
      <c r="F15" s="29"/>
      <c r="G15" s="16"/>
      <c r="H15" s="18"/>
      <c r="I15" s="1"/>
    </row>
    <row r="16" spans="1:10" ht="31.5" x14ac:dyDescent="0.25">
      <c r="A16" s="1"/>
      <c r="B16" s="92"/>
      <c r="C16" s="93"/>
      <c r="D16" s="87" t="s">
        <v>11</v>
      </c>
      <c r="E16" s="87" t="s">
        <v>12</v>
      </c>
      <c r="F16" s="29"/>
      <c r="G16" s="16"/>
      <c r="H16" s="18"/>
      <c r="I16" s="1"/>
    </row>
    <row r="17" spans="1:9" x14ac:dyDescent="0.25">
      <c r="A17" s="1"/>
      <c r="B17" s="92"/>
      <c r="C17" s="11" t="s">
        <v>88</v>
      </c>
      <c r="D17" s="19">
        <v>1</v>
      </c>
      <c r="E17" s="19">
        <v>1</v>
      </c>
      <c r="F17" s="29"/>
      <c r="G17" s="16"/>
      <c r="H17" s="18"/>
      <c r="I17" s="1"/>
    </row>
    <row r="18" spans="1:9" ht="16.5" thickBot="1" x14ac:dyDescent="0.3">
      <c r="A18" s="1"/>
      <c r="B18" s="20"/>
      <c r="C18" s="22"/>
      <c r="D18" s="21"/>
      <c r="E18" s="21"/>
      <c r="F18" s="22"/>
      <c r="G18" s="22"/>
      <c r="H18" s="25"/>
      <c r="I18" s="1"/>
    </row>
    <row r="19" spans="1:9" x14ac:dyDescent="0.25">
      <c r="A19" s="1"/>
      <c r="B19" s="15"/>
      <c r="C19" s="91" t="s">
        <v>89</v>
      </c>
      <c r="D19" s="1"/>
      <c r="E19" s="1"/>
      <c r="F19" s="1"/>
      <c r="H19" s="18"/>
      <c r="I19" s="1"/>
    </row>
    <row r="20" spans="1:9" ht="47.25" x14ac:dyDescent="0.25">
      <c r="A20" s="1"/>
      <c r="B20" s="15"/>
      <c r="C20" s="1"/>
      <c r="D20" s="87" t="s">
        <v>25</v>
      </c>
      <c r="E20" s="87" t="s">
        <v>90</v>
      </c>
      <c r="F20" s="87" t="s">
        <v>180</v>
      </c>
      <c r="G20" s="87" t="s">
        <v>91</v>
      </c>
      <c r="H20" s="18"/>
      <c r="I20" s="1"/>
    </row>
    <row r="21" spans="1:9" x14ac:dyDescent="0.25">
      <c r="A21" s="1"/>
      <c r="B21" s="15"/>
      <c r="C21" s="11" t="s">
        <v>92</v>
      </c>
      <c r="D21" s="94">
        <f>E21/0.81</f>
        <v>10.260226007128427</v>
      </c>
      <c r="E21" s="94">
        <f>D$5*0.81*((D$8*0.0254/2)*2*PI())/(0.3048*60)*D26/E26*D29/E29*D30/E30*D27/E27</f>
        <v>8.3107830657740269</v>
      </c>
      <c r="F21" s="42">
        <f>IF((((F$5-G$5)/E$5*(F$8*G$8*E$8/2*4.44822161526*D$8*0.0254/0.9/2*D26/E26*D29/E29*D30/E30*D27/E27))+G$5)&gt;F5,F5,(((F$5-G$5)/E$5*(F$8*G$8*E$8/2*4.44822161526*D$8*0.0254/0.9/2*D26/E26*D29/E29*D30/E30*D27/E27))+G$5))</f>
        <v>130.26852848540219</v>
      </c>
      <c r="G21" s="95">
        <f>E26*E29*E30*E27/D26/D29/D30/D27</f>
        <v>9.0666666666666664</v>
      </c>
      <c r="H21" s="18"/>
      <c r="I21" s="1"/>
    </row>
    <row r="22" spans="1:9" x14ac:dyDescent="0.25">
      <c r="A22" s="1"/>
      <c r="B22" s="15"/>
      <c r="C22" s="11" t="s">
        <v>93</v>
      </c>
      <c r="D22" s="94">
        <f>E22/0.81</f>
        <v>4.7443285056961848</v>
      </c>
      <c r="E22" s="94">
        <f>D$5*0.81*D$8*0.0254/2*2*PI()/(0.3048*60)*D26/E26*D29/E29*D30/E30*D28/E28</f>
        <v>3.8429060896139102</v>
      </c>
      <c r="F22" s="42">
        <f>IF((((F$5-G$5)/E$5*(F$8*G$8*E$8/2*4.44822161526*D$8*0.0254/0.9/2*D26/E26*D29/E29*D30/E30*D28/E28))+G$5)&gt;F5,F5,(((F$5-G$5)/E$5*(F$8*G$8*E$8/2*4.44822161526*D$8*0.0254/0.9/2*D26/E26*D29/E29*D30/E30*D28/E28))+G$5))</f>
        <v>63.139207571649976</v>
      </c>
      <c r="G22" s="95">
        <f>E26*E29*E30*E28/D26/D29/D30/D28</f>
        <v>19.607843137254903</v>
      </c>
      <c r="H22" s="18"/>
      <c r="I22" s="1"/>
    </row>
    <row r="23" spans="1:9" ht="16.5" thickBot="1" x14ac:dyDescent="0.3">
      <c r="A23" s="1"/>
      <c r="B23" s="20"/>
      <c r="C23" s="22"/>
      <c r="D23" s="22"/>
      <c r="E23" s="22"/>
      <c r="F23" s="22"/>
      <c r="G23" s="22"/>
      <c r="H23" s="25"/>
      <c r="I23" s="1"/>
    </row>
    <row r="24" spans="1:9" x14ac:dyDescent="0.25">
      <c r="A24" s="1"/>
      <c r="B24" s="15"/>
      <c r="C24" s="91" t="s">
        <v>94</v>
      </c>
      <c r="D24" s="69"/>
      <c r="E24" s="17"/>
      <c r="F24" s="1"/>
      <c r="G24" s="1"/>
      <c r="H24" s="18"/>
      <c r="I24" s="1"/>
    </row>
    <row r="25" spans="1:9" ht="31.5" x14ac:dyDescent="0.25">
      <c r="A25" s="5"/>
      <c r="B25" s="6"/>
      <c r="C25" s="5"/>
      <c r="D25" s="87" t="s">
        <v>11</v>
      </c>
      <c r="E25" s="87" t="s">
        <v>12</v>
      </c>
      <c r="F25" s="5"/>
      <c r="G25" s="97"/>
      <c r="H25" s="8"/>
      <c r="I25" s="5"/>
    </row>
    <row r="26" spans="1:9" x14ac:dyDescent="0.25">
      <c r="A26" s="9"/>
      <c r="B26" s="92"/>
      <c r="C26" s="11" t="s">
        <v>95</v>
      </c>
      <c r="D26" s="73">
        <f>VLOOKUP(D12,initial3CIM,2,FALSE)</f>
        <v>12</v>
      </c>
      <c r="E26" s="73">
        <f>VLOOKUP(D12,initial3CIM,3,FALSE)</f>
        <v>50</v>
      </c>
      <c r="F26" s="98"/>
      <c r="G26" s="98"/>
      <c r="H26" s="14"/>
      <c r="I26" s="9"/>
    </row>
    <row r="27" spans="1:9" x14ac:dyDescent="0.25">
      <c r="A27" s="9"/>
      <c r="B27" s="92"/>
      <c r="C27" s="11" t="s">
        <v>96</v>
      </c>
      <c r="D27" s="73">
        <v>50</v>
      </c>
      <c r="E27" s="73">
        <v>34</v>
      </c>
      <c r="F27" s="11"/>
      <c r="G27" s="17"/>
      <c r="H27" s="14"/>
      <c r="I27" s="9"/>
    </row>
    <row r="28" spans="1:9" x14ac:dyDescent="0.25">
      <c r="A28" s="9"/>
      <c r="B28" s="92"/>
      <c r="C28" s="11" t="s">
        <v>97</v>
      </c>
      <c r="D28" s="73">
        <f>VLOOKUP(D13,lowgear3CIM,2,FALSE)</f>
        <v>34</v>
      </c>
      <c r="E28" s="73">
        <f>VLOOKUP(D13,lowgear3CIM,3,FALSE)</f>
        <v>50</v>
      </c>
      <c r="F28" s="11"/>
      <c r="G28" s="17"/>
      <c r="H28" s="14"/>
      <c r="I28" s="9"/>
    </row>
    <row r="29" spans="1:9" x14ac:dyDescent="0.25">
      <c r="A29" s="1"/>
      <c r="B29" s="92"/>
      <c r="C29" s="11" t="s">
        <v>98</v>
      </c>
      <c r="D29" s="73">
        <f>VLOOKUP(D14,thirdstage3CIM,2,FALSE)</f>
        <v>20</v>
      </c>
      <c r="E29" s="73">
        <f>VLOOKUP(D14,thirdstage3CIM,3,FALSE)</f>
        <v>64</v>
      </c>
      <c r="F29" s="98"/>
      <c r="G29" s="98"/>
      <c r="H29" s="18"/>
      <c r="I29" s="1"/>
    </row>
    <row r="30" spans="1:9" x14ac:dyDescent="0.25">
      <c r="A30" s="1"/>
      <c r="B30" s="99"/>
      <c r="C30" s="11" t="s">
        <v>99</v>
      </c>
      <c r="D30" s="73">
        <f>D17</f>
        <v>1</v>
      </c>
      <c r="E30" s="73">
        <f>E17</f>
        <v>1</v>
      </c>
      <c r="F30" s="1"/>
      <c r="G30" s="98"/>
      <c r="H30" s="18"/>
      <c r="I30" s="1"/>
    </row>
    <row r="31" spans="1:9" x14ac:dyDescent="0.25">
      <c r="A31" s="1"/>
      <c r="B31" s="15"/>
      <c r="C31" s="11" t="s">
        <v>100</v>
      </c>
      <c r="D31" s="40">
        <f>D21/D22</f>
        <v>2.1626297577854672</v>
      </c>
      <c r="E31" s="1"/>
      <c r="F31" s="1"/>
      <c r="G31" s="98"/>
      <c r="H31" s="18"/>
      <c r="I31" s="1"/>
    </row>
    <row r="32" spans="1:9" ht="16.5" thickBot="1" x14ac:dyDescent="0.3">
      <c r="A32" s="1"/>
      <c r="B32" s="20"/>
      <c r="C32" s="22"/>
      <c r="D32" s="100"/>
      <c r="E32" s="22"/>
      <c r="F32" s="22"/>
      <c r="G32" s="101"/>
      <c r="H32" s="25"/>
      <c r="I32" s="1"/>
    </row>
  </sheetData>
  <mergeCells count="3">
    <mergeCell ref="D12:G12"/>
    <mergeCell ref="D13:G13"/>
    <mergeCell ref="D14:G14"/>
  </mergeCells>
  <dataValidations count="4">
    <dataValidation type="list" allowBlank="1" showInputMessage="1" showErrorMessage="1" sqref="D14">
      <formula1>thirdstage3CIMchoice</formula1>
    </dataValidation>
    <dataValidation type="list" allowBlank="1" showInputMessage="1" showErrorMessage="1" sqref="D13">
      <formula1>lowgear3CIMchoice</formula1>
    </dataValidation>
    <dataValidation type="list" allowBlank="1" showInputMessage="1" showErrorMessage="1" sqref="D12">
      <formula1>initial3CIMchoice</formula1>
    </dataValidation>
    <dataValidation type="list" allowBlank="1" showInputMessage="1" showErrorMessage="1" sqref="C5">
      <formula1>MotorChoice</formula1>
    </dataValidation>
  </dataValidations>
  <hyperlinks>
    <hyperlink ref="J3" r:id="rId1"/>
  </hyperlinks>
  <pageMargins left="0.75" right="0.75" top="1" bottom="1" header="0.5" footer="0.5"/>
  <pageSetup orientation="portrait" horizontalDpi="4294967292" verticalDpi="4294967292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J31"/>
  <sheetViews>
    <sheetView topLeftCell="B4" workbookViewId="0">
      <selection activeCell="D25" sqref="D25"/>
    </sheetView>
  </sheetViews>
  <sheetFormatPr defaultColWidth="10.875" defaultRowHeight="15.75" x14ac:dyDescent="0.25"/>
  <cols>
    <col min="1" max="1" width="5.875" style="33" customWidth="1"/>
    <col min="2" max="2" width="2.625" style="33" customWidth="1"/>
    <col min="3" max="3" width="23.125" style="33" customWidth="1"/>
    <col min="4" max="4" width="11.125" style="33" customWidth="1"/>
    <col min="5" max="5" width="10.875" style="33"/>
    <col min="6" max="6" width="13.375" style="33" customWidth="1"/>
    <col min="7" max="7" width="12.125" style="33" customWidth="1"/>
    <col min="8" max="8" width="2.5" style="33" customWidth="1"/>
    <col min="9" max="16384" width="10.875" style="33"/>
  </cols>
  <sheetData>
    <row r="1" spans="1:10" x14ac:dyDescent="0.25">
      <c r="A1" s="1"/>
      <c r="B1" s="1"/>
      <c r="C1" s="1"/>
      <c r="D1" s="1"/>
      <c r="E1" s="1"/>
      <c r="F1" s="1"/>
      <c r="G1" s="1"/>
      <c r="H1" s="1"/>
      <c r="I1" s="1"/>
    </row>
    <row r="2" spans="1:10" ht="16.5" thickBot="1" x14ac:dyDescent="0.3">
      <c r="A2" s="1"/>
      <c r="B2" s="84" t="s">
        <v>167</v>
      </c>
      <c r="C2" s="84"/>
      <c r="D2" s="1"/>
      <c r="F2" s="1"/>
      <c r="G2" s="1"/>
      <c r="H2" s="1"/>
      <c r="I2" s="1"/>
    </row>
    <row r="3" spans="1:10" x14ac:dyDescent="0.25">
      <c r="A3" s="1"/>
      <c r="B3" s="2"/>
      <c r="C3" s="3"/>
      <c r="D3" s="70"/>
      <c r="E3" s="3"/>
      <c r="F3" s="3"/>
      <c r="G3" s="3"/>
      <c r="H3" s="4"/>
      <c r="I3" s="1"/>
      <c r="J3" s="112" t="s">
        <v>176</v>
      </c>
    </row>
    <row r="4" spans="1:10" ht="31.5" x14ac:dyDescent="0.25">
      <c r="A4" s="5"/>
      <c r="B4" s="6"/>
      <c r="C4" s="85" t="s">
        <v>78</v>
      </c>
      <c r="D4" s="7" t="s">
        <v>0</v>
      </c>
      <c r="E4" s="7" t="s">
        <v>1</v>
      </c>
      <c r="F4" s="7" t="s">
        <v>2</v>
      </c>
      <c r="G4" s="7" t="s">
        <v>3</v>
      </c>
      <c r="H4" s="8"/>
      <c r="I4" s="5"/>
    </row>
    <row r="5" spans="1:10" x14ac:dyDescent="0.25">
      <c r="A5" s="9"/>
      <c r="B5" s="10"/>
      <c r="C5" s="74" t="s">
        <v>79</v>
      </c>
      <c r="D5" s="12">
        <f>VLOOKUP(C5,MotorTwo,2,FALSE)</f>
        <v>5330</v>
      </c>
      <c r="E5" s="12">
        <f>VLOOKUP(C5,MotorTwo,3,FALSE)</f>
        <v>4.82</v>
      </c>
      <c r="F5" s="12">
        <f>VLOOKUP(C5,MotorTwo,4,FALSE)</f>
        <v>262</v>
      </c>
      <c r="G5" s="12">
        <f>VLOOKUP(C5,MotorTwo,5,FALSE)</f>
        <v>5.4</v>
      </c>
      <c r="H5" s="14"/>
      <c r="I5" s="9"/>
    </row>
    <row r="6" spans="1:10" x14ac:dyDescent="0.25">
      <c r="A6" s="1"/>
      <c r="B6" s="15"/>
      <c r="C6" s="1"/>
      <c r="D6" s="16"/>
      <c r="E6" s="16"/>
      <c r="F6" s="17"/>
      <c r="G6" s="17"/>
      <c r="H6" s="18"/>
      <c r="I6" s="1"/>
    </row>
    <row r="7" spans="1:10" ht="47.25" x14ac:dyDescent="0.25">
      <c r="A7" s="1"/>
      <c r="B7" s="15"/>
      <c r="C7" s="1"/>
      <c r="D7" s="87" t="s">
        <v>9</v>
      </c>
      <c r="E7" s="87" t="s">
        <v>80</v>
      </c>
      <c r="F7" s="7" t="s">
        <v>24</v>
      </c>
      <c r="G7" s="7" t="s">
        <v>8</v>
      </c>
      <c r="H7" s="18"/>
      <c r="I7" s="1"/>
    </row>
    <row r="8" spans="1:10" x14ac:dyDescent="0.25">
      <c r="A8" s="1"/>
      <c r="B8" s="15"/>
      <c r="C8" s="1"/>
      <c r="D8" s="19">
        <v>6</v>
      </c>
      <c r="E8" s="19">
        <v>1</v>
      </c>
      <c r="F8" s="19">
        <v>150</v>
      </c>
      <c r="G8" s="13">
        <v>1</v>
      </c>
      <c r="H8" s="18"/>
      <c r="I8" s="1"/>
    </row>
    <row r="9" spans="1:10" ht="16.5" thickBot="1" x14ac:dyDescent="0.3">
      <c r="A9" s="1"/>
      <c r="B9" s="20"/>
      <c r="C9" s="22"/>
      <c r="D9" s="21"/>
      <c r="E9" s="21"/>
      <c r="F9" s="22"/>
      <c r="G9" s="22"/>
      <c r="H9" s="25"/>
      <c r="I9" s="1"/>
    </row>
    <row r="10" spans="1:10" x14ac:dyDescent="0.25">
      <c r="A10" s="1"/>
      <c r="B10" s="88"/>
      <c r="C10" s="89" t="s">
        <v>81</v>
      </c>
      <c r="D10" s="26"/>
      <c r="E10" s="26"/>
      <c r="F10" s="3"/>
      <c r="G10" s="3"/>
      <c r="H10" s="4"/>
      <c r="I10" s="1"/>
    </row>
    <row r="11" spans="1:10" ht="16.5" thickBot="1" x14ac:dyDescent="0.3">
      <c r="A11" s="1"/>
      <c r="B11" s="90"/>
      <c r="C11" s="91"/>
      <c r="D11" s="17"/>
      <c r="E11" s="17"/>
      <c r="F11" s="1"/>
      <c r="G11" s="1"/>
      <c r="H11" s="18"/>
      <c r="I11" s="1"/>
    </row>
    <row r="12" spans="1:10" ht="16.5" thickBot="1" x14ac:dyDescent="0.3">
      <c r="A12" s="1"/>
      <c r="B12" s="92"/>
      <c r="C12" s="11" t="s">
        <v>82</v>
      </c>
      <c r="D12" s="115" t="s">
        <v>118</v>
      </c>
      <c r="E12" s="116"/>
      <c r="F12" s="116"/>
      <c r="G12" s="117"/>
      <c r="H12" s="18"/>
      <c r="I12" s="1"/>
    </row>
    <row r="13" spans="1:10" ht="16.5" thickBot="1" x14ac:dyDescent="0.3">
      <c r="A13" s="1"/>
      <c r="B13" s="92"/>
      <c r="C13" s="11" t="s">
        <v>86</v>
      </c>
      <c r="D13" s="115" t="s">
        <v>113</v>
      </c>
      <c r="E13" s="116"/>
      <c r="F13" s="116"/>
      <c r="G13" s="117"/>
      <c r="H13" s="18"/>
      <c r="I13" s="1"/>
    </row>
    <row r="14" spans="1:10" x14ac:dyDescent="0.25">
      <c r="A14" s="1"/>
      <c r="B14" s="92"/>
      <c r="C14" s="93"/>
      <c r="D14" s="29"/>
      <c r="E14" s="1"/>
      <c r="F14" s="29"/>
      <c r="G14" s="16"/>
      <c r="H14" s="18"/>
      <c r="I14" s="1"/>
    </row>
    <row r="15" spans="1:10" ht="31.5" x14ac:dyDescent="0.25">
      <c r="A15" s="1"/>
      <c r="B15" s="92"/>
      <c r="C15" s="93"/>
      <c r="D15" s="87" t="s">
        <v>11</v>
      </c>
      <c r="E15" s="87" t="s">
        <v>12</v>
      </c>
      <c r="F15" s="29"/>
      <c r="G15" s="16"/>
      <c r="H15" s="18"/>
      <c r="I15" s="1"/>
    </row>
    <row r="16" spans="1:10" x14ac:dyDescent="0.25">
      <c r="A16" s="1"/>
      <c r="B16" s="92"/>
      <c r="C16" s="11" t="s">
        <v>88</v>
      </c>
      <c r="D16" s="19">
        <v>1</v>
      </c>
      <c r="E16" s="19">
        <v>1</v>
      </c>
      <c r="F16" s="29"/>
      <c r="G16" s="16"/>
      <c r="H16" s="18"/>
      <c r="I16" s="1"/>
    </row>
    <row r="17" spans="1:9" ht="16.5" thickBot="1" x14ac:dyDescent="0.3">
      <c r="A17" s="1"/>
      <c r="B17" s="20"/>
      <c r="C17" s="22"/>
      <c r="D17" s="21"/>
      <c r="E17" s="21"/>
      <c r="F17" s="22"/>
      <c r="G17" s="22"/>
      <c r="H17" s="25"/>
      <c r="I17" s="1"/>
    </row>
    <row r="18" spans="1:9" x14ac:dyDescent="0.25">
      <c r="A18" s="1"/>
      <c r="B18" s="15"/>
      <c r="C18" s="91" t="s">
        <v>89</v>
      </c>
      <c r="D18" s="1"/>
      <c r="E18" s="1"/>
      <c r="F18" s="1"/>
      <c r="H18" s="18"/>
      <c r="I18" s="1"/>
    </row>
    <row r="19" spans="1:9" ht="47.25" x14ac:dyDescent="0.25">
      <c r="A19" s="1"/>
      <c r="B19" s="15"/>
      <c r="C19" s="1"/>
      <c r="D19" s="87" t="s">
        <v>25</v>
      </c>
      <c r="E19" s="87" t="s">
        <v>90</v>
      </c>
      <c r="F19" s="87" t="s">
        <v>180</v>
      </c>
      <c r="G19" s="87" t="s">
        <v>91</v>
      </c>
      <c r="H19" s="18"/>
      <c r="I19" s="1"/>
    </row>
    <row r="20" spans="1:9" x14ac:dyDescent="0.25">
      <c r="A20" s="1"/>
      <c r="B20" s="15"/>
      <c r="C20" s="11" t="s">
        <v>92</v>
      </c>
      <c r="D20" s="94">
        <f>E20/0.81</f>
        <v>34.884768424236654</v>
      </c>
      <c r="E20" s="94">
        <f>D$5*0.81*((D$8*0.0254/2)*2*PI())/(0.3048*60)*D25/E25*D28/E28*D29/E29*D26/E26</f>
        <v>28.256662423631692</v>
      </c>
      <c r="F20" s="42">
        <f>IF((((F$5-G$5)/E$5*(F$8*G$8*E$8/2*4.44822161526*D$8*0.0254/0.9/2*D25/E25*D28/E28*D29/E29*D26/E26))+G$5)&gt;F5,F5,(((F$5-G$5)/E$5*(F$8*G$8*E$8/2*4.44822161526*D$8*0.0254/0.9/2*D25/E25*D28/E28*D29/E29*D26/E26))+G$5))</f>
        <v>262</v>
      </c>
      <c r="G20" s="95">
        <f>E25*E28*E29*E26/D25/D28/D29/D26</f>
        <v>4</v>
      </c>
      <c r="H20" s="18"/>
      <c r="I20" s="1"/>
    </row>
    <row r="21" spans="1:9" x14ac:dyDescent="0.25">
      <c r="A21" s="1"/>
      <c r="B21" s="15"/>
      <c r="C21" s="11" t="s">
        <v>93</v>
      </c>
      <c r="D21" s="94">
        <f>E21/0.81</f>
        <v>15.349298106664127</v>
      </c>
      <c r="E21" s="94">
        <f>D$5*0.81*D$8*0.0254/2*2*PI()/(0.3048*60)*D25/E25*D28/E28*D29/E29*D27/E27</f>
        <v>12.432931466397944</v>
      </c>
      <c r="F21" s="42">
        <f>IF((((F$5-G$5)/E$5*(F$8*G$8*E$8/2*4.44822161526*D$8*0.0254/0.9/2*D25/E25*D28/E28*D29/E29*D27/E27))+G$5)&gt;F5,F5,(((F$5-G$5)/E$5*(F$8*G$8*E$8/2*4.44822161526*D$8*0.0254/0.9/2*D25/E25*D28/E28*D29/E29*D27/E27))+G$5))</f>
        <v>170.81025851313018</v>
      </c>
      <c r="G21" s="95">
        <f>E25*E28*E29*E27/D25/D28/D29/D27</f>
        <v>9.0909090909090917</v>
      </c>
      <c r="H21" s="18"/>
      <c r="I21" s="1"/>
    </row>
    <row r="22" spans="1:9" ht="16.5" thickBot="1" x14ac:dyDescent="0.3">
      <c r="A22" s="1"/>
      <c r="B22" s="20"/>
      <c r="C22" s="22"/>
      <c r="D22" s="22"/>
      <c r="E22" s="22"/>
      <c r="F22" s="22"/>
      <c r="G22" s="22"/>
      <c r="H22" s="25"/>
      <c r="I22" s="1"/>
    </row>
    <row r="23" spans="1:9" x14ac:dyDescent="0.25">
      <c r="A23" s="1"/>
      <c r="B23" s="15"/>
      <c r="C23" s="91" t="s">
        <v>94</v>
      </c>
      <c r="D23" s="69"/>
      <c r="E23" s="17"/>
      <c r="F23" s="1"/>
      <c r="G23" s="1"/>
      <c r="H23" s="18"/>
      <c r="I23" s="1"/>
    </row>
    <row r="24" spans="1:9" ht="31.5" x14ac:dyDescent="0.25">
      <c r="A24" s="5"/>
      <c r="B24" s="6"/>
      <c r="C24" s="5"/>
      <c r="D24" s="87" t="s">
        <v>11</v>
      </c>
      <c r="E24" s="87" t="s">
        <v>12</v>
      </c>
      <c r="F24" s="5"/>
      <c r="G24" s="97"/>
      <c r="H24" s="8"/>
      <c r="I24" s="5"/>
    </row>
    <row r="25" spans="1:9" x14ac:dyDescent="0.25">
      <c r="A25" s="9"/>
      <c r="B25" s="92"/>
      <c r="C25" s="11" t="s">
        <v>95</v>
      </c>
      <c r="D25" s="73">
        <f>VLOOKUP(D12,initial2CIM,2,FALSE)</f>
        <v>11</v>
      </c>
      <c r="E25" s="73">
        <f>VLOOKUP(D12,initial2CIM,3,FALSE)</f>
        <v>40</v>
      </c>
      <c r="F25" s="98"/>
      <c r="G25" s="98"/>
      <c r="H25" s="14"/>
      <c r="I25" s="9"/>
    </row>
    <row r="26" spans="1:9" x14ac:dyDescent="0.25">
      <c r="A26" s="9"/>
      <c r="B26" s="92"/>
      <c r="C26" s="11" t="s">
        <v>96</v>
      </c>
      <c r="D26" s="73">
        <v>40</v>
      </c>
      <c r="E26" s="73">
        <v>44</v>
      </c>
      <c r="F26" s="11"/>
      <c r="G26" s="17"/>
      <c r="H26" s="14"/>
      <c r="I26" s="9"/>
    </row>
    <row r="27" spans="1:9" x14ac:dyDescent="0.25">
      <c r="A27" s="9"/>
      <c r="B27" s="92"/>
      <c r="C27" s="11" t="s">
        <v>97</v>
      </c>
      <c r="D27" s="73">
        <v>24</v>
      </c>
      <c r="E27" s="73">
        <v>60</v>
      </c>
      <c r="F27" s="11"/>
      <c r="G27" s="17"/>
      <c r="H27" s="14"/>
      <c r="I27" s="9"/>
    </row>
    <row r="28" spans="1:9" x14ac:dyDescent="0.25">
      <c r="A28" s="1"/>
      <c r="B28" s="92"/>
      <c r="C28" s="11" t="s">
        <v>98</v>
      </c>
      <c r="D28" s="73">
        <f>VLOOKUP(D13,thirdstage2CIM,2,FALSE)</f>
        <v>1</v>
      </c>
      <c r="E28" s="73">
        <f>VLOOKUP(D13,thirdstage2CIM,3,FALSE)</f>
        <v>1</v>
      </c>
      <c r="F28" s="98"/>
      <c r="G28" s="98"/>
      <c r="H28" s="18"/>
      <c r="I28" s="1"/>
    </row>
    <row r="29" spans="1:9" x14ac:dyDescent="0.25">
      <c r="A29" s="1"/>
      <c r="B29" s="99"/>
      <c r="C29" s="11" t="s">
        <v>99</v>
      </c>
      <c r="D29" s="73">
        <f>D16</f>
        <v>1</v>
      </c>
      <c r="E29" s="73">
        <f>E16</f>
        <v>1</v>
      </c>
      <c r="F29" s="1"/>
      <c r="G29" s="98"/>
      <c r="H29" s="18"/>
      <c r="I29" s="1"/>
    </row>
    <row r="30" spans="1:9" x14ac:dyDescent="0.25">
      <c r="A30" s="1"/>
      <c r="B30" s="15"/>
      <c r="C30" s="11" t="s">
        <v>100</v>
      </c>
      <c r="D30" s="40">
        <f>D20/D21</f>
        <v>2.2727272727272729</v>
      </c>
      <c r="E30" s="1"/>
      <c r="F30" s="1"/>
      <c r="G30" s="98"/>
      <c r="H30" s="18"/>
      <c r="I30" s="1"/>
    </row>
    <row r="31" spans="1:9" ht="16.5" thickBot="1" x14ac:dyDescent="0.3">
      <c r="A31" s="1"/>
      <c r="B31" s="20"/>
      <c r="C31" s="22"/>
      <c r="D31" s="100"/>
      <c r="E31" s="22"/>
      <c r="F31" s="22"/>
      <c r="G31" s="101"/>
      <c r="H31" s="25"/>
      <c r="I31" s="1"/>
    </row>
  </sheetData>
  <mergeCells count="2">
    <mergeCell ref="D12:G12"/>
    <mergeCell ref="D13:G13"/>
  </mergeCells>
  <dataValidations count="3">
    <dataValidation type="list" allowBlank="1" showInputMessage="1" showErrorMessage="1" sqref="D12:G12">
      <formula1>initial2CIMchoice</formula1>
    </dataValidation>
    <dataValidation type="list" allowBlank="1" showInputMessage="1" showErrorMessage="1" sqref="D13:G13">
      <formula1>thirdstage2CIMchoice</formula1>
    </dataValidation>
    <dataValidation type="list" allowBlank="1" showInputMessage="1" showErrorMessage="1" sqref="C5">
      <formula1>MotorTwochoice</formula1>
    </dataValidation>
  </dataValidations>
  <hyperlinks>
    <hyperlink ref="J3" r:id="rId1"/>
  </hyperlinks>
  <pageMargins left="0.75" right="0.75" top="1" bottom="1" header="0.5" footer="0.5"/>
  <pageSetup orientation="portrait" horizontalDpi="4294967292" verticalDpi="4294967292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J31"/>
  <sheetViews>
    <sheetView workbookViewId="0"/>
  </sheetViews>
  <sheetFormatPr defaultColWidth="10.875" defaultRowHeight="15.75" x14ac:dyDescent="0.25"/>
  <cols>
    <col min="1" max="1" width="5.875" style="33" customWidth="1"/>
    <col min="2" max="2" width="2.625" style="33" customWidth="1"/>
    <col min="3" max="3" width="23.125" style="33" customWidth="1"/>
    <col min="4" max="4" width="11.125" style="33" customWidth="1"/>
    <col min="5" max="5" width="10.875" style="33"/>
    <col min="6" max="6" width="13.375" style="33" customWidth="1"/>
    <col min="7" max="7" width="12.125" style="33" customWidth="1"/>
    <col min="8" max="8" width="2.5" style="33" customWidth="1"/>
    <col min="9" max="16384" width="10.875" style="33"/>
  </cols>
  <sheetData>
    <row r="1" spans="1:10" x14ac:dyDescent="0.25">
      <c r="A1" s="1"/>
      <c r="B1" s="1"/>
      <c r="C1" s="1"/>
      <c r="D1" s="1"/>
      <c r="E1" s="1"/>
      <c r="F1" s="1"/>
      <c r="G1" s="1"/>
      <c r="H1" s="1"/>
      <c r="I1" s="1"/>
    </row>
    <row r="2" spans="1:10" ht="16.5" thickBot="1" x14ac:dyDescent="0.3">
      <c r="A2" s="1"/>
      <c r="B2" s="84" t="s">
        <v>168</v>
      </c>
      <c r="C2" s="84"/>
      <c r="D2" s="1"/>
      <c r="E2" s="1"/>
      <c r="F2" s="1"/>
      <c r="G2" s="1"/>
      <c r="H2" s="1"/>
      <c r="I2" s="1"/>
    </row>
    <row r="3" spans="1:10" x14ac:dyDescent="0.25">
      <c r="A3" s="1"/>
      <c r="B3" s="2"/>
      <c r="C3" s="3"/>
      <c r="D3" s="70"/>
      <c r="E3" s="3"/>
      <c r="F3" s="3"/>
      <c r="G3" s="3"/>
      <c r="H3" s="4"/>
      <c r="I3" s="1"/>
      <c r="J3" s="111" t="s">
        <v>177</v>
      </c>
    </row>
    <row r="4" spans="1:10" ht="31.5" x14ac:dyDescent="0.25">
      <c r="A4" s="5"/>
      <c r="B4" s="6"/>
      <c r="C4" s="85" t="s">
        <v>78</v>
      </c>
      <c r="D4" s="7" t="s">
        <v>0</v>
      </c>
      <c r="E4" s="7" t="s">
        <v>1</v>
      </c>
      <c r="F4" s="7" t="s">
        <v>2</v>
      </c>
      <c r="G4" s="7" t="s">
        <v>3</v>
      </c>
      <c r="H4" s="8"/>
      <c r="I4" s="5"/>
    </row>
    <row r="5" spans="1:10" x14ac:dyDescent="0.25">
      <c r="A5" s="9"/>
      <c r="B5" s="10"/>
      <c r="C5" s="74" t="s">
        <v>106</v>
      </c>
      <c r="D5" s="86">
        <f>VLOOKUP(C5,Motor,2,FALSE)</f>
        <v>5330</v>
      </c>
      <c r="E5" s="12">
        <f>VLOOKUP(C5,Motor,3,FALSE)</f>
        <v>7.23</v>
      </c>
      <c r="F5" s="12">
        <f>VLOOKUP(C5,Motor,4,FALSE)</f>
        <v>393</v>
      </c>
      <c r="G5" s="12">
        <f>VLOOKUP(C5,Motor,5,FALSE)</f>
        <v>8.1000000000000014</v>
      </c>
      <c r="H5" s="14"/>
      <c r="I5" s="9"/>
    </row>
    <row r="6" spans="1:10" x14ac:dyDescent="0.25">
      <c r="A6" s="1"/>
      <c r="B6" s="15"/>
      <c r="C6" s="1"/>
      <c r="D6" s="16"/>
      <c r="E6" s="16"/>
      <c r="F6" s="17"/>
      <c r="G6" s="17"/>
      <c r="H6" s="18"/>
      <c r="I6" s="1"/>
    </row>
    <row r="7" spans="1:10" ht="47.25" x14ac:dyDescent="0.25">
      <c r="A7" s="1"/>
      <c r="B7" s="15"/>
      <c r="C7" s="1"/>
      <c r="D7" s="87" t="s">
        <v>9</v>
      </c>
      <c r="E7" s="87" t="s">
        <v>80</v>
      </c>
      <c r="F7" s="7" t="s">
        <v>24</v>
      </c>
      <c r="G7" s="7" t="s">
        <v>8</v>
      </c>
      <c r="H7" s="18"/>
      <c r="I7" s="1"/>
    </row>
    <row r="8" spans="1:10" x14ac:dyDescent="0.25">
      <c r="A8" s="1"/>
      <c r="B8" s="15"/>
      <c r="C8" s="1"/>
      <c r="D8" s="19">
        <v>4</v>
      </c>
      <c r="E8" s="19">
        <v>1.1000000000000001</v>
      </c>
      <c r="F8" s="19">
        <v>154</v>
      </c>
      <c r="G8" s="13">
        <v>1</v>
      </c>
      <c r="H8" s="18"/>
      <c r="I8" s="1"/>
    </row>
    <row r="9" spans="1:10" ht="16.5" thickBot="1" x14ac:dyDescent="0.3">
      <c r="A9" s="1"/>
      <c r="B9" s="20"/>
      <c r="C9" s="22"/>
      <c r="D9" s="21"/>
      <c r="E9" s="21"/>
      <c r="F9" s="22"/>
      <c r="G9" s="22"/>
      <c r="H9" s="25"/>
      <c r="I9" s="1"/>
    </row>
    <row r="10" spans="1:10" x14ac:dyDescent="0.25">
      <c r="A10" s="1"/>
      <c r="B10" s="88"/>
      <c r="C10" s="89" t="s">
        <v>139</v>
      </c>
      <c r="D10" s="26"/>
      <c r="E10" s="26"/>
      <c r="F10" s="3"/>
      <c r="G10" s="3"/>
      <c r="H10" s="4"/>
      <c r="I10" s="1"/>
    </row>
    <row r="11" spans="1:10" ht="16.5" thickBot="1" x14ac:dyDescent="0.3">
      <c r="A11" s="1"/>
      <c r="B11" s="90"/>
      <c r="C11" s="91"/>
      <c r="D11" s="17"/>
      <c r="E11" s="17"/>
      <c r="F11" s="1"/>
      <c r="G11" s="1"/>
      <c r="H11" s="18"/>
      <c r="I11" s="1"/>
    </row>
    <row r="12" spans="1:10" ht="16.5" thickBot="1" x14ac:dyDescent="0.3">
      <c r="A12" s="1"/>
      <c r="B12" s="92"/>
      <c r="C12" s="11" t="s">
        <v>140</v>
      </c>
      <c r="D12" s="118" t="s">
        <v>123</v>
      </c>
      <c r="E12" s="119"/>
      <c r="F12" s="120"/>
      <c r="G12" s="16"/>
      <c r="H12" s="18"/>
      <c r="I12" s="1"/>
    </row>
    <row r="13" spans="1:10" ht="16.5" thickBot="1" x14ac:dyDescent="0.3">
      <c r="A13" s="1"/>
      <c r="B13" s="92"/>
      <c r="C13" s="11" t="s">
        <v>84</v>
      </c>
      <c r="D13" s="118" t="s">
        <v>128</v>
      </c>
      <c r="E13" s="119"/>
      <c r="F13" s="120"/>
      <c r="G13" s="16"/>
      <c r="H13" s="18"/>
      <c r="I13" s="1"/>
    </row>
    <row r="14" spans="1:10" ht="16.5" thickBot="1" x14ac:dyDescent="0.3">
      <c r="A14" s="1"/>
      <c r="B14" s="92"/>
      <c r="C14" s="11" t="s">
        <v>141</v>
      </c>
      <c r="D14" s="118" t="s">
        <v>131</v>
      </c>
      <c r="E14" s="119"/>
      <c r="F14" s="120"/>
      <c r="G14" s="16"/>
      <c r="H14" s="18"/>
      <c r="I14" s="1"/>
    </row>
    <row r="15" spans="1:10" x14ac:dyDescent="0.25">
      <c r="A15" s="1"/>
      <c r="B15" s="92"/>
      <c r="C15" s="93"/>
      <c r="D15" s="29"/>
      <c r="E15" s="1"/>
      <c r="F15" s="29"/>
      <c r="G15" s="16"/>
      <c r="H15" s="18"/>
      <c r="I15" s="1"/>
    </row>
    <row r="16" spans="1:10" ht="31.5" x14ac:dyDescent="0.25">
      <c r="A16" s="1"/>
      <c r="B16" s="92"/>
      <c r="C16" s="93"/>
      <c r="D16" s="87" t="s">
        <v>11</v>
      </c>
      <c r="E16" s="87" t="s">
        <v>12</v>
      </c>
      <c r="F16" s="29"/>
      <c r="G16" s="16"/>
      <c r="H16" s="18"/>
      <c r="I16" s="1"/>
    </row>
    <row r="17" spans="1:10" x14ac:dyDescent="0.25">
      <c r="A17" s="1"/>
      <c r="B17" s="92"/>
      <c r="C17" s="11" t="s">
        <v>88</v>
      </c>
      <c r="D17" s="19">
        <v>1</v>
      </c>
      <c r="E17" s="19">
        <v>1</v>
      </c>
      <c r="F17" s="29"/>
      <c r="G17" s="16"/>
      <c r="H17" s="18"/>
      <c r="I17" s="1"/>
    </row>
    <row r="18" spans="1:10" ht="16.5" thickBot="1" x14ac:dyDescent="0.3">
      <c r="A18" s="1"/>
      <c r="B18" s="20"/>
      <c r="C18" s="22"/>
      <c r="D18" s="21"/>
      <c r="E18" s="21"/>
      <c r="F18" s="22"/>
      <c r="G18" s="22"/>
      <c r="H18" s="25"/>
      <c r="I18" s="1"/>
    </row>
    <row r="19" spans="1:10" x14ac:dyDescent="0.25">
      <c r="A19" s="1"/>
      <c r="B19" s="15"/>
      <c r="C19" s="91" t="s">
        <v>89</v>
      </c>
      <c r="D19" s="1"/>
      <c r="E19" s="1"/>
      <c r="F19" s="1"/>
      <c r="H19" s="18"/>
      <c r="I19" s="1"/>
    </row>
    <row r="20" spans="1:10" ht="47.25" x14ac:dyDescent="0.25">
      <c r="A20" s="1"/>
      <c r="B20" s="15"/>
      <c r="C20" s="1"/>
      <c r="D20" s="87" t="s">
        <v>25</v>
      </c>
      <c r="E20" s="87" t="s">
        <v>90</v>
      </c>
      <c r="F20" s="87" t="s">
        <v>180</v>
      </c>
      <c r="G20" s="87" t="s">
        <v>91</v>
      </c>
      <c r="H20" s="18"/>
      <c r="I20" s="1"/>
    </row>
    <row r="21" spans="1:10" x14ac:dyDescent="0.25">
      <c r="A21" s="1"/>
      <c r="B21" s="15"/>
      <c r="C21" s="11" t="s">
        <v>92</v>
      </c>
      <c r="D21" s="94">
        <f>E21/0.81</f>
        <v>18.12195762298008</v>
      </c>
      <c r="E21" s="94">
        <f>D$5*0.81*((D$8*0.0254/2)*2*PI())/(0.3048*60)*D26/E26*D29/E29*D28/E28</f>
        <v>14.678785674613865</v>
      </c>
      <c r="F21" s="42">
        <f>IF((((F$5-G$5)/E$5*(F$8*G$8*E$8/2*4.44822161526*D$8*0.0254/0.9/2*D26/E26*D29/E29*D28/E28))+G$5)&gt;F5,F5,(((F$5-G$5)/E$5*(F$8*G$8*E$8/2*4.44822161526*D$8*0.0254/0.9/2*D26/E26*D29/E29*D28/E28))+G$5))</f>
        <v>228.64701135084024</v>
      </c>
      <c r="G21" s="95">
        <f>E26*E29*E28/D26/D29/D28</f>
        <v>5.1333333333333337</v>
      </c>
      <c r="H21" s="18"/>
      <c r="I21" s="1"/>
    </row>
    <row r="22" spans="1:10" x14ac:dyDescent="0.25">
      <c r="A22" s="1"/>
      <c r="B22" s="15"/>
      <c r="C22" s="11" t="s">
        <v>93</v>
      </c>
      <c r="D22" s="94">
        <f>E22/0.81</f>
        <v>12.757858166577977</v>
      </c>
      <c r="E22" s="94">
        <f>D$5*0.81*D$8*0.0254/2*2*PI()/(0.3048*60)*D26/E26*D29/E29*D27/E27</f>
        <v>10.333865114928162</v>
      </c>
      <c r="F22" s="42">
        <f>IF((((F$5-G$5)/E$5*(F$8*G$8*E$8/2*4.44822161526*D$8*0.0254/0.9/2*D26/E26*D29/E29*D27/E27))+G$5)&gt;F5,F5,(((F$5-G$5)/E$5*(F$8*G$8*E$8/2*4.44822161526*D$8*0.0254/0.9/2*D26/E26*D29/E29*D27/E27))+G$5))</f>
        <v>163.36509599099151</v>
      </c>
      <c r="G22" s="95">
        <f>E26*E29*E27/D26/D29/D27</f>
        <v>7.291666666666667</v>
      </c>
      <c r="H22" s="18"/>
      <c r="I22" s="1"/>
    </row>
    <row r="23" spans="1:10" ht="16.5" thickBot="1" x14ac:dyDescent="0.3">
      <c r="A23" s="1"/>
      <c r="B23" s="20"/>
      <c r="C23" s="22"/>
      <c r="D23" s="22"/>
      <c r="E23" s="22"/>
      <c r="F23" s="22"/>
      <c r="G23" s="22"/>
      <c r="H23" s="25"/>
      <c r="I23" s="1"/>
      <c r="J23" s="96"/>
    </row>
    <row r="24" spans="1:10" x14ac:dyDescent="0.25">
      <c r="A24" s="1"/>
      <c r="B24" s="15"/>
      <c r="C24" s="91" t="s">
        <v>94</v>
      </c>
      <c r="D24" s="69"/>
      <c r="E24" s="17"/>
      <c r="F24" s="1"/>
      <c r="G24" s="1"/>
      <c r="H24" s="18"/>
      <c r="I24" s="1"/>
    </row>
    <row r="25" spans="1:10" ht="31.5" x14ac:dyDescent="0.25">
      <c r="A25" s="5"/>
      <c r="B25" s="6"/>
      <c r="C25" s="5"/>
      <c r="D25" s="87" t="s">
        <v>11</v>
      </c>
      <c r="E25" s="87" t="s">
        <v>12</v>
      </c>
      <c r="F25" s="5"/>
      <c r="G25" s="97"/>
      <c r="H25" s="8"/>
      <c r="I25" s="5"/>
    </row>
    <row r="26" spans="1:10" x14ac:dyDescent="0.25">
      <c r="A26" s="9"/>
      <c r="B26" s="92"/>
      <c r="C26" s="11" t="s">
        <v>95</v>
      </c>
      <c r="D26" s="73">
        <f>VLOOKUP(D12,WCPDSinput,2,FALSE)</f>
        <v>12</v>
      </c>
      <c r="E26" s="73">
        <f>VLOOKUP(D12,WCPDSinput,3,FALSE)</f>
        <v>42</v>
      </c>
      <c r="F26" s="98"/>
      <c r="G26" s="98"/>
      <c r="H26" s="14"/>
      <c r="I26" s="9"/>
    </row>
    <row r="27" spans="1:10" x14ac:dyDescent="0.25">
      <c r="A27" s="9"/>
      <c r="B27" s="92"/>
      <c r="C27" s="11" t="s">
        <v>97</v>
      </c>
      <c r="D27" s="73">
        <f>VLOOKUP(D13,WCPDSlowgear,2,FALSE)</f>
        <v>24</v>
      </c>
      <c r="E27" s="73">
        <f>VLOOKUP(D13,WCPDSlowgear,3,FALSE)</f>
        <v>50</v>
      </c>
      <c r="F27" s="11"/>
      <c r="G27" s="17"/>
      <c r="H27" s="14"/>
      <c r="I27" s="9"/>
    </row>
    <row r="28" spans="1:10" x14ac:dyDescent="0.25">
      <c r="A28" s="9"/>
      <c r="B28" s="92"/>
      <c r="C28" s="11" t="s">
        <v>96</v>
      </c>
      <c r="D28" s="73">
        <f>VLOOKUP(D14,WCPDShighgear,2,FALSE)</f>
        <v>30</v>
      </c>
      <c r="E28" s="73">
        <f>VLOOKUP(D14,WCPDShighgear,3,FALSE)</f>
        <v>44</v>
      </c>
      <c r="F28" s="11"/>
      <c r="G28" s="17"/>
      <c r="H28" s="14"/>
      <c r="I28" s="9"/>
    </row>
    <row r="29" spans="1:10" x14ac:dyDescent="0.25">
      <c r="A29" s="1"/>
      <c r="B29" s="99"/>
      <c r="C29" s="11" t="s">
        <v>99</v>
      </c>
      <c r="D29" s="73">
        <f>D17</f>
        <v>1</v>
      </c>
      <c r="E29" s="73">
        <f>E17</f>
        <v>1</v>
      </c>
      <c r="F29" s="1"/>
      <c r="G29" s="98"/>
      <c r="H29" s="18"/>
      <c r="I29" s="1"/>
    </row>
    <row r="30" spans="1:10" x14ac:dyDescent="0.25">
      <c r="A30" s="1"/>
      <c r="B30" s="15"/>
      <c r="C30" s="11" t="s">
        <v>100</v>
      </c>
      <c r="D30" s="40">
        <f>D21/D22</f>
        <v>1.4204545454545454</v>
      </c>
      <c r="E30" s="1"/>
      <c r="F30" s="1"/>
      <c r="G30" s="98"/>
      <c r="H30" s="18"/>
      <c r="I30" s="1"/>
    </row>
    <row r="31" spans="1:10" ht="16.5" thickBot="1" x14ac:dyDescent="0.3">
      <c r="A31" s="1"/>
      <c r="B31" s="20"/>
      <c r="C31" s="22"/>
      <c r="D31" s="100"/>
      <c r="E31" s="22"/>
      <c r="F31" s="22"/>
      <c r="G31" s="101"/>
      <c r="H31" s="25"/>
      <c r="I31" s="1"/>
    </row>
  </sheetData>
  <mergeCells count="3">
    <mergeCell ref="D12:F12"/>
    <mergeCell ref="D13:F13"/>
    <mergeCell ref="D14:F14"/>
  </mergeCells>
  <dataValidations count="4">
    <dataValidation type="list" allowBlank="1" showInputMessage="1" showErrorMessage="1" sqref="C5">
      <formula1>MotorChoice</formula1>
    </dataValidation>
    <dataValidation type="list" allowBlank="1" showInputMessage="1" showErrorMessage="1" sqref="D12">
      <formula1>WCPDSinputchoice</formula1>
    </dataValidation>
    <dataValidation type="list" allowBlank="1" showInputMessage="1" showErrorMessage="1" sqref="D13">
      <formula1>WCPDSlowgearchoice</formula1>
    </dataValidation>
    <dataValidation type="list" allowBlank="1" showInputMessage="1" showErrorMessage="1" sqref="D14">
      <formula1>WCPDShighgearchoice</formula1>
    </dataValidation>
  </dataValidations>
  <hyperlinks>
    <hyperlink ref="J3" r:id="rId1"/>
  </hyperlinks>
  <pageMargins left="0.75" right="0.75" top="1" bottom="1" header="0.5" footer="0.5"/>
  <pageSetup orientation="portrait" horizontalDpi="4294967292" verticalDpi="4294967292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A1:L17"/>
  <sheetViews>
    <sheetView workbookViewId="0">
      <selection activeCell="F14" sqref="F14"/>
    </sheetView>
  </sheetViews>
  <sheetFormatPr defaultColWidth="10.875" defaultRowHeight="15.75" x14ac:dyDescent="0.25"/>
  <cols>
    <col min="1" max="1" width="5.875" style="33" customWidth="1"/>
    <col min="2" max="2" width="3.5" style="33" customWidth="1"/>
    <col min="3" max="3" width="11.625" style="33" customWidth="1"/>
    <col min="4" max="4" width="11.125" style="33" customWidth="1"/>
    <col min="5" max="5" width="10.875" style="33"/>
    <col min="6" max="6" width="10.125" style="33" customWidth="1"/>
    <col min="7" max="7" width="10.875" style="33"/>
    <col min="8" max="8" width="4.125" style="33" customWidth="1"/>
    <col min="9" max="9" width="12.625" style="33" customWidth="1"/>
    <col min="10" max="10" width="10.875" style="33"/>
    <col min="11" max="11" width="2.875" style="33" customWidth="1"/>
    <col min="12" max="16384" width="10.875" style="33"/>
  </cols>
  <sheetData>
    <row r="1" spans="1:12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6.5" thickBot="1" x14ac:dyDescent="0.3">
      <c r="A2" s="1"/>
      <c r="B2" s="84" t="s">
        <v>55</v>
      </c>
      <c r="C2" s="1"/>
      <c r="D2" s="1"/>
      <c r="E2" s="1"/>
      <c r="F2" s="1"/>
      <c r="G2" s="1"/>
      <c r="H2" s="1"/>
      <c r="I2" s="1"/>
      <c r="J2" s="1"/>
      <c r="K2" s="1"/>
      <c r="L2" s="1"/>
    </row>
    <row r="3" spans="1:12" x14ac:dyDescent="0.25">
      <c r="A3" s="1"/>
      <c r="B3" s="2"/>
      <c r="C3" s="34"/>
      <c r="D3" s="3"/>
      <c r="E3" s="3"/>
      <c r="F3" s="3"/>
      <c r="G3" s="3"/>
      <c r="H3" s="3"/>
      <c r="I3" s="3"/>
      <c r="J3" s="3"/>
      <c r="K3" s="4"/>
      <c r="L3" s="1"/>
    </row>
    <row r="4" spans="1:12" ht="47.25" x14ac:dyDescent="0.25">
      <c r="A4" s="5"/>
      <c r="B4" s="6"/>
      <c r="C4" s="5"/>
      <c r="D4" s="7" t="s">
        <v>0</v>
      </c>
      <c r="E4" s="7" t="s">
        <v>1</v>
      </c>
      <c r="F4" s="7" t="s">
        <v>2</v>
      </c>
      <c r="G4" s="7" t="s">
        <v>3</v>
      </c>
      <c r="H4" s="5"/>
      <c r="I4" s="7" t="s">
        <v>4</v>
      </c>
      <c r="J4" s="7" t="s">
        <v>5</v>
      </c>
      <c r="K4" s="8"/>
      <c r="L4" s="5"/>
    </row>
    <row r="5" spans="1:12" x14ac:dyDescent="0.25">
      <c r="A5" s="9"/>
      <c r="B5" s="10"/>
      <c r="C5" s="74" t="s">
        <v>6</v>
      </c>
      <c r="D5" s="12">
        <f>VLOOKUP(C5,Specs,2,FALSE)</f>
        <v>5330</v>
      </c>
      <c r="E5" s="12">
        <f>VLOOKUP(C5,Specs,3,FALSE)</f>
        <v>2.41</v>
      </c>
      <c r="F5" s="12">
        <f>VLOOKUP(C5,Specs,4,FALSE)</f>
        <v>131</v>
      </c>
      <c r="G5" s="12">
        <f>VLOOKUP(C5,Specs,5,FALSE)</f>
        <v>2.7</v>
      </c>
      <c r="H5" s="9"/>
      <c r="I5" s="13">
        <v>0.81</v>
      </c>
      <c r="J5" s="13">
        <v>0.9</v>
      </c>
      <c r="K5" s="14"/>
      <c r="L5" s="9"/>
    </row>
    <row r="6" spans="1:12" x14ac:dyDescent="0.25">
      <c r="A6" s="1"/>
      <c r="B6" s="15"/>
      <c r="C6" s="16"/>
      <c r="D6" s="16"/>
      <c r="E6" s="17"/>
      <c r="F6" s="17"/>
      <c r="G6" s="1"/>
      <c r="H6" s="1"/>
      <c r="I6" s="1"/>
      <c r="J6" s="1"/>
      <c r="K6" s="18"/>
      <c r="L6" s="1"/>
    </row>
    <row r="7" spans="1:12" ht="47.25" x14ac:dyDescent="0.25">
      <c r="A7" s="1"/>
      <c r="B7" s="15"/>
      <c r="C7" s="7" t="s">
        <v>19</v>
      </c>
      <c r="D7" s="7" t="s">
        <v>20</v>
      </c>
      <c r="E7" s="9"/>
      <c r="F7" s="7" t="s">
        <v>7</v>
      </c>
      <c r="G7" s="7" t="s">
        <v>8</v>
      </c>
      <c r="I7" s="35" t="s">
        <v>9</v>
      </c>
      <c r="J7" s="35" t="s">
        <v>10</v>
      </c>
      <c r="K7" s="18"/>
      <c r="L7" s="1"/>
    </row>
    <row r="8" spans="1:12" x14ac:dyDescent="0.25">
      <c r="A8" s="1"/>
      <c r="B8" s="15"/>
      <c r="C8" s="19">
        <v>2</v>
      </c>
      <c r="D8" s="19">
        <v>2</v>
      </c>
      <c r="E8" s="1"/>
      <c r="F8" s="19">
        <v>154</v>
      </c>
      <c r="G8" s="13">
        <v>1</v>
      </c>
      <c r="I8" s="19">
        <v>4</v>
      </c>
      <c r="J8" s="19">
        <v>1.1000000000000001</v>
      </c>
      <c r="K8" s="18"/>
      <c r="L8" s="1"/>
    </row>
    <row r="9" spans="1:12" ht="16.5" thickBot="1" x14ac:dyDescent="0.3">
      <c r="A9" s="1"/>
      <c r="B9" s="20"/>
      <c r="C9" s="21"/>
      <c r="D9" s="21"/>
      <c r="E9" s="22"/>
      <c r="F9" s="22"/>
      <c r="G9" s="22"/>
      <c r="H9" s="22"/>
      <c r="I9" s="23"/>
      <c r="J9" s="24"/>
      <c r="K9" s="25"/>
      <c r="L9" s="1"/>
    </row>
    <row r="10" spans="1:12" x14ac:dyDescent="0.25">
      <c r="A10" s="1"/>
      <c r="B10" s="2"/>
      <c r="C10" s="34"/>
      <c r="D10" s="26"/>
      <c r="E10" s="3"/>
      <c r="F10" s="3"/>
      <c r="G10" s="3"/>
      <c r="H10" s="3"/>
      <c r="I10" s="27"/>
      <c r="J10" s="28"/>
      <c r="K10" s="4"/>
      <c r="L10" s="1"/>
    </row>
    <row r="11" spans="1:12" ht="47.25" x14ac:dyDescent="0.25">
      <c r="A11" s="5"/>
      <c r="B11" s="6"/>
      <c r="C11" s="36" t="s">
        <v>11</v>
      </c>
      <c r="D11" s="36" t="s">
        <v>12</v>
      </c>
      <c r="E11" s="5"/>
      <c r="F11" s="109" t="s">
        <v>25</v>
      </c>
      <c r="G11" s="109" t="s">
        <v>26</v>
      </c>
      <c r="I11" s="110" t="s">
        <v>165</v>
      </c>
      <c r="K11" s="8"/>
      <c r="L11" s="5"/>
    </row>
    <row r="12" spans="1:12" x14ac:dyDescent="0.25">
      <c r="A12" s="9"/>
      <c r="B12" s="10"/>
      <c r="C12" s="19">
        <v>12</v>
      </c>
      <c r="D12" s="19">
        <v>40</v>
      </c>
      <c r="E12" s="9"/>
      <c r="F12" s="41">
        <f>G12/I$5</f>
        <v>6.6598194264451784</v>
      </c>
      <c r="G12" s="41">
        <f>D$5*I$5*((I$8*0.0254/2)*2*PI())/(0.3048*60)*C12/D12*C13/D13*C14/D14*C15/D15</f>
        <v>5.394453735420595</v>
      </c>
      <c r="I12" s="42">
        <f>((F$5-G$5)/E$5*(F$8*G$8*J$8/C$8*4.44822161526*I$8*0.0254/2/J$5/D$8*C12/D12*C13/D13*C14/D14*C15/D15))+G$5</f>
        <v>43.225513335716904</v>
      </c>
      <c r="K12" s="14"/>
      <c r="L12" s="9"/>
    </row>
    <row r="13" spans="1:12" x14ac:dyDescent="0.25">
      <c r="A13" s="1"/>
      <c r="B13" s="15"/>
      <c r="C13" s="19">
        <v>14</v>
      </c>
      <c r="D13" s="19">
        <v>40</v>
      </c>
      <c r="E13" s="1"/>
      <c r="F13" s="39">
        <f>D12*D13*D14*D15/C12/C13/C14/C15</f>
        <v>13.96825396825397</v>
      </c>
      <c r="G13" s="1" t="s">
        <v>23</v>
      </c>
      <c r="H13" s="1"/>
      <c r="I13" s="1"/>
      <c r="K13" s="18"/>
      <c r="L13" s="1"/>
    </row>
    <row r="14" spans="1:12" x14ac:dyDescent="0.25">
      <c r="A14" s="1"/>
      <c r="B14" s="15"/>
      <c r="C14" s="19">
        <v>15</v>
      </c>
      <c r="D14" s="19">
        <v>22</v>
      </c>
      <c r="E14" s="1"/>
      <c r="F14" s="1"/>
      <c r="G14" s="1"/>
      <c r="H14" s="1"/>
      <c r="I14" s="29"/>
      <c r="J14" s="1"/>
      <c r="K14" s="18"/>
      <c r="L14" s="1"/>
    </row>
    <row r="15" spans="1:12" x14ac:dyDescent="0.25">
      <c r="A15" s="1"/>
      <c r="B15" s="15"/>
      <c r="C15" s="19">
        <v>1</v>
      </c>
      <c r="D15" s="19">
        <v>1</v>
      </c>
      <c r="E15" s="1"/>
      <c r="F15" s="1"/>
      <c r="G15" s="1"/>
      <c r="H15" s="1"/>
      <c r="I15" s="30"/>
      <c r="J15" s="1"/>
      <c r="K15" s="18"/>
      <c r="L15" s="1"/>
    </row>
    <row r="16" spans="1:12" ht="16.5" thickBot="1" x14ac:dyDescent="0.3">
      <c r="A16" s="1"/>
      <c r="B16" s="20"/>
      <c r="C16" s="22"/>
      <c r="D16" s="22"/>
      <c r="E16" s="22"/>
      <c r="F16" s="22"/>
      <c r="G16" s="22"/>
      <c r="H16" s="22"/>
      <c r="I16" s="22"/>
      <c r="J16" s="22"/>
      <c r="K16" s="25"/>
      <c r="L16" s="1"/>
    </row>
    <row r="17" spans="1:12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</row>
  </sheetData>
  <dataValidations count="1">
    <dataValidation type="list" allowBlank="1" showInputMessage="1" showErrorMessage="1" sqref="C5">
      <formula1>Motors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A1:J27"/>
  <sheetViews>
    <sheetView workbookViewId="0"/>
  </sheetViews>
  <sheetFormatPr defaultColWidth="10.875" defaultRowHeight="15.75" x14ac:dyDescent="0.25"/>
  <cols>
    <col min="1" max="1" width="5.875" style="33" customWidth="1"/>
    <col min="2" max="2" width="2.625" style="33" customWidth="1"/>
    <col min="3" max="3" width="25.875" style="33" customWidth="1"/>
    <col min="4" max="4" width="11.125" style="33" customWidth="1"/>
    <col min="5" max="5" width="10.875" style="33"/>
    <col min="6" max="6" width="13.375" style="33" customWidth="1"/>
    <col min="7" max="7" width="12.125" style="33" customWidth="1"/>
    <col min="8" max="8" width="2.5" style="33" customWidth="1"/>
    <col min="9" max="16384" width="10.875" style="33"/>
  </cols>
  <sheetData>
    <row r="1" spans="1:10" x14ac:dyDescent="0.25">
      <c r="A1" s="1"/>
      <c r="B1" s="1"/>
      <c r="C1" s="1"/>
      <c r="D1" s="1"/>
      <c r="E1" s="1"/>
      <c r="F1" s="1"/>
      <c r="G1" s="1"/>
      <c r="H1" s="1"/>
      <c r="I1" s="1"/>
    </row>
    <row r="2" spans="1:10" ht="16.5" thickBot="1" x14ac:dyDescent="0.3">
      <c r="A2" s="1"/>
      <c r="B2" s="84" t="s">
        <v>169</v>
      </c>
      <c r="C2" s="84"/>
      <c r="D2" s="1"/>
      <c r="E2" s="1"/>
      <c r="F2" s="1"/>
      <c r="G2" s="1"/>
      <c r="H2" s="1"/>
      <c r="I2" s="1"/>
    </row>
    <row r="3" spans="1:10" x14ac:dyDescent="0.25">
      <c r="A3" s="1"/>
      <c r="B3" s="2"/>
      <c r="C3" s="3"/>
      <c r="D3" s="70"/>
      <c r="E3" s="3"/>
      <c r="F3" s="3"/>
      <c r="G3" s="3"/>
      <c r="H3" s="4"/>
      <c r="I3" s="1"/>
      <c r="J3" s="111" t="s">
        <v>178</v>
      </c>
    </row>
    <row r="4" spans="1:10" ht="31.5" x14ac:dyDescent="0.25">
      <c r="A4" s="5"/>
      <c r="B4" s="6"/>
      <c r="C4" s="85" t="s">
        <v>78</v>
      </c>
      <c r="D4" s="7" t="s">
        <v>0</v>
      </c>
      <c r="E4" s="7" t="s">
        <v>1</v>
      </c>
      <c r="F4" s="7" t="s">
        <v>2</v>
      </c>
      <c r="G4" s="7" t="s">
        <v>3</v>
      </c>
      <c r="H4" s="8"/>
      <c r="I4" s="5"/>
    </row>
    <row r="5" spans="1:10" x14ac:dyDescent="0.25">
      <c r="A5" s="9"/>
      <c r="B5" s="10"/>
      <c r="C5" s="74" t="s">
        <v>79</v>
      </c>
      <c r="D5" s="12">
        <f>VLOOKUP(C5,MotorTwo,2,FALSE)</f>
        <v>5330</v>
      </c>
      <c r="E5" s="12">
        <f>VLOOKUP(C5,MotorTwo,3,FALSE)</f>
        <v>4.82</v>
      </c>
      <c r="F5" s="12">
        <f>VLOOKUP(C5,MotorTwo,4,FALSE)</f>
        <v>262</v>
      </c>
      <c r="G5" s="12">
        <f>VLOOKUP(C5,MotorTwo,5,FALSE)</f>
        <v>5.4</v>
      </c>
      <c r="H5" s="14"/>
      <c r="I5" s="9"/>
    </row>
    <row r="6" spans="1:10" x14ac:dyDescent="0.25">
      <c r="A6" s="1"/>
      <c r="B6" s="15"/>
      <c r="C6" s="1"/>
      <c r="D6" s="16"/>
      <c r="E6" s="16"/>
      <c r="F6" s="17"/>
      <c r="G6" s="17"/>
      <c r="H6" s="18"/>
      <c r="I6" s="1"/>
    </row>
    <row r="7" spans="1:10" ht="47.25" x14ac:dyDescent="0.25">
      <c r="A7" s="1"/>
      <c r="B7" s="15"/>
      <c r="C7" s="1"/>
      <c r="D7" s="87" t="s">
        <v>9</v>
      </c>
      <c r="E7" s="87" t="s">
        <v>80</v>
      </c>
      <c r="F7" s="7" t="s">
        <v>24</v>
      </c>
      <c r="G7" s="7" t="s">
        <v>8</v>
      </c>
      <c r="H7" s="18"/>
      <c r="I7" s="1"/>
    </row>
    <row r="8" spans="1:10" x14ac:dyDescent="0.25">
      <c r="A8" s="1"/>
      <c r="B8" s="15"/>
      <c r="C8" s="1"/>
      <c r="D8" s="19">
        <v>4</v>
      </c>
      <c r="E8" s="19">
        <v>1.1000000000000001</v>
      </c>
      <c r="F8" s="19">
        <v>154</v>
      </c>
      <c r="G8" s="13">
        <v>1</v>
      </c>
      <c r="H8" s="18"/>
      <c r="I8" s="1"/>
    </row>
    <row r="9" spans="1:10" ht="16.5" thickBot="1" x14ac:dyDescent="0.3">
      <c r="A9" s="1"/>
      <c r="B9" s="20"/>
      <c r="C9" s="22"/>
      <c r="D9" s="21"/>
      <c r="E9" s="21"/>
      <c r="F9" s="22"/>
      <c r="G9" s="22"/>
      <c r="H9" s="25"/>
      <c r="I9" s="1"/>
    </row>
    <row r="10" spans="1:10" x14ac:dyDescent="0.25">
      <c r="A10" s="1"/>
      <c r="B10" s="88"/>
      <c r="C10" s="89" t="s">
        <v>81</v>
      </c>
      <c r="D10" s="26"/>
      <c r="E10" s="26"/>
      <c r="F10" s="3"/>
      <c r="G10" s="3"/>
      <c r="H10" s="4"/>
      <c r="I10" s="1"/>
    </row>
    <row r="11" spans="1:10" ht="16.5" thickBot="1" x14ac:dyDescent="0.3">
      <c r="A11" s="1"/>
      <c r="B11" s="90"/>
      <c r="C11" s="91"/>
      <c r="D11" s="17"/>
      <c r="E11" s="17"/>
      <c r="F11" s="1"/>
      <c r="G11" s="1"/>
      <c r="H11" s="18"/>
      <c r="I11" s="1"/>
    </row>
    <row r="12" spans="1:10" ht="16.5" thickBot="1" x14ac:dyDescent="0.3">
      <c r="A12" s="1"/>
      <c r="B12" s="92"/>
      <c r="C12" s="11" t="s">
        <v>82</v>
      </c>
      <c r="D12" s="115" t="s">
        <v>101</v>
      </c>
      <c r="E12" s="116"/>
      <c r="F12" s="116"/>
      <c r="G12" s="117"/>
      <c r="H12" s="18"/>
      <c r="I12" s="1"/>
    </row>
    <row r="13" spans="1:10" ht="16.5" thickBot="1" x14ac:dyDescent="0.3">
      <c r="A13" s="1"/>
      <c r="B13" s="92"/>
      <c r="C13" s="11" t="s">
        <v>102</v>
      </c>
      <c r="D13" s="115" t="s">
        <v>103</v>
      </c>
      <c r="E13" s="116"/>
      <c r="F13" s="116"/>
      <c r="G13" s="117"/>
      <c r="H13" s="18"/>
      <c r="I13" s="1"/>
    </row>
    <row r="14" spans="1:10" x14ac:dyDescent="0.25">
      <c r="A14" s="1"/>
      <c r="B14" s="92"/>
      <c r="C14" s="93"/>
      <c r="D14" s="29"/>
      <c r="E14" s="1"/>
      <c r="F14" s="29"/>
      <c r="G14" s="16"/>
      <c r="H14" s="18"/>
      <c r="I14" s="1"/>
    </row>
    <row r="15" spans="1:10" ht="31.5" x14ac:dyDescent="0.25">
      <c r="A15" s="1"/>
      <c r="B15" s="92"/>
      <c r="C15" s="93"/>
      <c r="D15" s="87" t="s">
        <v>11</v>
      </c>
      <c r="E15" s="87" t="s">
        <v>12</v>
      </c>
      <c r="F15" s="29"/>
      <c r="G15" s="16"/>
      <c r="H15" s="18"/>
      <c r="I15" s="1"/>
    </row>
    <row r="16" spans="1:10" x14ac:dyDescent="0.25">
      <c r="A16" s="1"/>
      <c r="B16" s="92"/>
      <c r="C16" s="11" t="s">
        <v>133</v>
      </c>
      <c r="D16" s="19">
        <v>1</v>
      </c>
      <c r="E16" s="19">
        <v>1</v>
      </c>
      <c r="F16" s="29"/>
      <c r="G16" s="16"/>
      <c r="H16" s="18"/>
      <c r="I16" s="1"/>
    </row>
    <row r="17" spans="1:9" ht="16.5" thickBot="1" x14ac:dyDescent="0.3">
      <c r="A17" s="1"/>
      <c r="B17" s="20"/>
      <c r="C17" s="22"/>
      <c r="D17" s="21"/>
      <c r="E17" s="21"/>
      <c r="F17" s="22"/>
      <c r="G17" s="22"/>
      <c r="H17" s="25"/>
      <c r="I17" s="1"/>
    </row>
    <row r="18" spans="1:9" x14ac:dyDescent="0.25">
      <c r="A18" s="1"/>
      <c r="B18" s="15"/>
      <c r="C18" s="91" t="s">
        <v>89</v>
      </c>
      <c r="D18" s="1"/>
      <c r="E18" s="1"/>
      <c r="F18" s="1"/>
      <c r="H18" s="18"/>
      <c r="I18" s="1"/>
    </row>
    <row r="19" spans="1:9" ht="47.25" x14ac:dyDescent="0.25">
      <c r="A19" s="1"/>
      <c r="B19" s="15"/>
      <c r="C19" s="1"/>
      <c r="D19" s="87" t="s">
        <v>25</v>
      </c>
      <c r="E19" s="87" t="s">
        <v>90</v>
      </c>
      <c r="F19" s="87" t="s">
        <v>180</v>
      </c>
      <c r="G19" s="87" t="s">
        <v>91</v>
      </c>
      <c r="H19" s="18"/>
      <c r="I19" s="1"/>
    </row>
    <row r="20" spans="1:9" x14ac:dyDescent="0.25">
      <c r="A20" s="1"/>
      <c r="B20" s="15"/>
      <c r="C20" s="11"/>
      <c r="D20" s="94">
        <f>E20/0.81</f>
        <v>9.7677351587862624</v>
      </c>
      <c r="E20" s="94">
        <f>D$5*0.81*((D$8*0.0254/2)*2*PI())/(0.3048*60)*D24/E24*D25/E25*D26/E26</f>
        <v>7.9118654786168729</v>
      </c>
      <c r="F20" s="42">
        <f>IF((((F$5-G$5)/E$5*(F$8*G$8*E$8/2*4.44822161526*D$8*0.0254/0.9/2*D24/E24*D25/E25*D26/E26))+G$5)&gt;F5,F5,(((F$5-G$5)/E$5*(F$8*G$8*E$8/2*4.44822161526*D$8*0.0254/0.9/2*D24/E24*D25/E25*D26/E26))+G$5))</f>
        <v>124.27483911810292</v>
      </c>
      <c r="G20" s="95">
        <f>E24*E25*E26/D24/D25/D26</f>
        <v>9.5238095238095237</v>
      </c>
      <c r="H20" s="18"/>
      <c r="I20" s="1"/>
    </row>
    <row r="21" spans="1:9" ht="16.5" thickBot="1" x14ac:dyDescent="0.3">
      <c r="A21" s="1"/>
      <c r="B21" s="20"/>
      <c r="C21" s="22"/>
      <c r="D21" s="22"/>
      <c r="E21" s="22"/>
      <c r="F21" s="22"/>
      <c r="G21" s="22"/>
      <c r="H21" s="25"/>
      <c r="I21" s="1"/>
    </row>
    <row r="22" spans="1:9" x14ac:dyDescent="0.25">
      <c r="A22" s="1"/>
      <c r="B22" s="15"/>
      <c r="C22" s="91" t="s">
        <v>94</v>
      </c>
      <c r="D22" s="69"/>
      <c r="E22" s="17"/>
      <c r="F22" s="1"/>
      <c r="G22" s="1"/>
      <c r="H22" s="18"/>
      <c r="I22" s="1"/>
    </row>
    <row r="23" spans="1:9" ht="31.5" x14ac:dyDescent="0.25">
      <c r="A23" s="5"/>
      <c r="B23" s="6"/>
      <c r="C23" s="5"/>
      <c r="D23" s="87" t="s">
        <v>11</v>
      </c>
      <c r="E23" s="87" t="s">
        <v>12</v>
      </c>
      <c r="F23" s="5"/>
      <c r="G23" s="97"/>
      <c r="H23" s="8"/>
      <c r="I23" s="5"/>
    </row>
    <row r="24" spans="1:9" x14ac:dyDescent="0.25">
      <c r="A24" s="9"/>
      <c r="B24" s="92"/>
      <c r="C24" s="11" t="s">
        <v>95</v>
      </c>
      <c r="D24" s="73">
        <f>VLOOKUP(D12,initial2CIM,2,FALSE)</f>
        <v>12</v>
      </c>
      <c r="E24" s="73">
        <f>VLOOKUP(D12,initial2CIM,3,FALSE)</f>
        <v>40</v>
      </c>
      <c r="F24" s="98"/>
      <c r="G24" s="98"/>
      <c r="H24" s="14"/>
      <c r="I24" s="9"/>
    </row>
    <row r="25" spans="1:9" x14ac:dyDescent="0.25">
      <c r="A25" s="1"/>
      <c r="B25" s="92"/>
      <c r="C25" s="11" t="s">
        <v>104</v>
      </c>
      <c r="D25" s="73">
        <f>VLOOKUP(D13,SSDR,2,FALSE)</f>
        <v>14</v>
      </c>
      <c r="E25" s="73">
        <f>VLOOKUP(D13,SSDR,3,FALSE)</f>
        <v>40</v>
      </c>
      <c r="F25" s="98"/>
      <c r="G25" s="98"/>
      <c r="H25" s="18"/>
      <c r="I25" s="1"/>
    </row>
    <row r="26" spans="1:9" x14ac:dyDescent="0.25">
      <c r="A26" s="1"/>
      <c r="B26" s="99"/>
      <c r="C26" s="11" t="s">
        <v>99</v>
      </c>
      <c r="D26" s="73">
        <f>D16</f>
        <v>1</v>
      </c>
      <c r="E26" s="73">
        <f>E16</f>
        <v>1</v>
      </c>
      <c r="F26" s="1"/>
      <c r="G26" s="98"/>
      <c r="H26" s="18"/>
      <c r="I26" s="1"/>
    </row>
    <row r="27" spans="1:9" ht="16.5" thickBot="1" x14ac:dyDescent="0.3">
      <c r="A27" s="1"/>
      <c r="B27" s="20"/>
      <c r="C27" s="22"/>
      <c r="D27" s="100"/>
      <c r="E27" s="22"/>
      <c r="F27" s="22"/>
      <c r="G27" s="101"/>
      <c r="H27" s="25"/>
      <c r="I27" s="1"/>
    </row>
  </sheetData>
  <mergeCells count="2">
    <mergeCell ref="D12:G12"/>
    <mergeCell ref="D13:G13"/>
  </mergeCells>
  <dataValidations count="3">
    <dataValidation type="list" allowBlank="1" showInputMessage="1" showErrorMessage="1" sqref="C5">
      <formula1>MotorTwochoice</formula1>
    </dataValidation>
    <dataValidation type="list" allowBlank="1" showInputMessage="1" showErrorMessage="1" sqref="D13:G13">
      <formula1>SSDRchoice</formula1>
    </dataValidation>
    <dataValidation type="list" allowBlank="1" showInputMessage="1" showErrorMessage="1" sqref="D12:G12">
      <formula1>initial2CIMchoice</formula1>
    </dataValidation>
  </dataValidations>
  <hyperlinks>
    <hyperlink ref="J3" r:id="rId1"/>
  </hyperlinks>
  <pageMargins left="0.75" right="0.75" top="1" bottom="1" header="0.5" footer="0.5"/>
  <pageSetup orientation="portrait" horizontalDpi="4294967292" verticalDpi="4294967292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A1:J27"/>
  <sheetViews>
    <sheetView workbookViewId="0"/>
  </sheetViews>
  <sheetFormatPr defaultColWidth="10.875" defaultRowHeight="15.75" x14ac:dyDescent="0.25"/>
  <cols>
    <col min="1" max="1" width="5.875" style="33" customWidth="1"/>
    <col min="2" max="2" width="2.625" style="33" customWidth="1"/>
    <col min="3" max="3" width="25.875" style="33" customWidth="1"/>
    <col min="4" max="4" width="11.125" style="33" customWidth="1"/>
    <col min="5" max="5" width="10.875" style="33"/>
    <col min="6" max="6" width="13.375" style="33" customWidth="1"/>
    <col min="7" max="7" width="12.125" style="33" customWidth="1"/>
    <col min="8" max="8" width="2.5" style="33" customWidth="1"/>
    <col min="9" max="16384" width="10.875" style="33"/>
  </cols>
  <sheetData>
    <row r="1" spans="1:10" x14ac:dyDescent="0.25">
      <c r="A1" s="1"/>
      <c r="B1" s="1"/>
      <c r="C1" s="1"/>
      <c r="D1" s="1"/>
      <c r="E1" s="1"/>
      <c r="F1" s="1"/>
      <c r="G1" s="1"/>
      <c r="H1" s="1"/>
      <c r="I1" s="1"/>
    </row>
    <row r="2" spans="1:10" ht="16.5" thickBot="1" x14ac:dyDescent="0.3">
      <c r="A2" s="1"/>
      <c r="B2" s="84" t="s">
        <v>170</v>
      </c>
      <c r="C2" s="84"/>
      <c r="D2" s="1"/>
      <c r="E2" s="1"/>
      <c r="F2" s="1"/>
      <c r="G2" s="1"/>
      <c r="H2" s="1"/>
      <c r="I2" s="1"/>
    </row>
    <row r="3" spans="1:10" x14ac:dyDescent="0.25">
      <c r="A3" s="1"/>
      <c r="B3" s="2"/>
      <c r="C3" s="3"/>
      <c r="D3" s="70"/>
      <c r="E3" s="3"/>
      <c r="F3" s="3"/>
      <c r="G3" s="3"/>
      <c r="H3" s="4"/>
      <c r="I3" s="1"/>
      <c r="J3" s="111" t="s">
        <v>179</v>
      </c>
    </row>
    <row r="4" spans="1:10" ht="31.5" x14ac:dyDescent="0.25">
      <c r="A4" s="5"/>
      <c r="B4" s="6"/>
      <c r="C4" s="85" t="s">
        <v>78</v>
      </c>
      <c r="D4" s="7" t="s">
        <v>0</v>
      </c>
      <c r="E4" s="7" t="s">
        <v>1</v>
      </c>
      <c r="F4" s="7" t="s">
        <v>2</v>
      </c>
      <c r="G4" s="7" t="s">
        <v>3</v>
      </c>
      <c r="H4" s="8"/>
      <c r="I4" s="5"/>
    </row>
    <row r="5" spans="1:10" x14ac:dyDescent="0.25">
      <c r="A5" s="9"/>
      <c r="B5" s="10"/>
      <c r="C5" s="74" t="s">
        <v>106</v>
      </c>
      <c r="D5" s="12">
        <f>VLOOKUP(C5,Motor,2,FALSE)</f>
        <v>5330</v>
      </c>
      <c r="E5" s="12">
        <f>VLOOKUP(C5,Motor,3,FALSE)</f>
        <v>7.23</v>
      </c>
      <c r="F5" s="12">
        <f>VLOOKUP(C5,Motor,4,FALSE)</f>
        <v>393</v>
      </c>
      <c r="G5" s="12">
        <f>VLOOKUP(C5,Motor,5,FALSE)</f>
        <v>8.1000000000000014</v>
      </c>
      <c r="H5" s="14"/>
      <c r="I5" s="9"/>
    </row>
    <row r="6" spans="1:10" x14ac:dyDescent="0.25">
      <c r="A6" s="1"/>
      <c r="B6" s="15"/>
      <c r="C6" s="1"/>
      <c r="D6" s="16"/>
      <c r="E6" s="16"/>
      <c r="F6" s="17"/>
      <c r="G6" s="17"/>
      <c r="H6" s="18"/>
      <c r="I6" s="1"/>
    </row>
    <row r="7" spans="1:10" ht="47.25" x14ac:dyDescent="0.25">
      <c r="A7" s="1"/>
      <c r="B7" s="15"/>
      <c r="C7" s="1"/>
      <c r="D7" s="87" t="s">
        <v>9</v>
      </c>
      <c r="E7" s="87" t="s">
        <v>80</v>
      </c>
      <c r="F7" s="7" t="s">
        <v>24</v>
      </c>
      <c r="G7" s="7" t="s">
        <v>8</v>
      </c>
      <c r="H7" s="18"/>
      <c r="I7" s="1"/>
    </row>
    <row r="8" spans="1:10" x14ac:dyDescent="0.25">
      <c r="A8" s="1"/>
      <c r="B8" s="15"/>
      <c r="C8" s="1"/>
      <c r="D8" s="19">
        <v>4</v>
      </c>
      <c r="E8" s="19">
        <v>1.1000000000000001</v>
      </c>
      <c r="F8" s="19">
        <v>154</v>
      </c>
      <c r="G8" s="13">
        <v>1</v>
      </c>
      <c r="H8" s="18"/>
      <c r="I8" s="1"/>
    </row>
    <row r="9" spans="1:10" ht="16.5" thickBot="1" x14ac:dyDescent="0.3">
      <c r="A9" s="1"/>
      <c r="B9" s="20"/>
      <c r="C9" s="22"/>
      <c r="D9" s="21"/>
      <c r="E9" s="21"/>
      <c r="F9" s="22"/>
      <c r="G9" s="22"/>
      <c r="H9" s="25"/>
      <c r="I9" s="1"/>
    </row>
    <row r="10" spans="1:10" x14ac:dyDescent="0.25">
      <c r="A10" s="1"/>
      <c r="B10" s="88"/>
      <c r="C10" s="89" t="s">
        <v>81</v>
      </c>
      <c r="D10" s="26"/>
      <c r="E10" s="26"/>
      <c r="F10" s="3"/>
      <c r="G10" s="3"/>
      <c r="H10" s="4"/>
      <c r="I10" s="1"/>
    </row>
    <row r="11" spans="1:10" ht="16.5" thickBot="1" x14ac:dyDescent="0.3">
      <c r="A11" s="1"/>
      <c r="B11" s="90"/>
      <c r="C11" s="91"/>
      <c r="D11" s="17"/>
      <c r="E11" s="17"/>
      <c r="F11" s="1"/>
      <c r="G11" s="1"/>
      <c r="H11" s="18"/>
      <c r="I11" s="1"/>
    </row>
    <row r="12" spans="1:10" ht="16.5" thickBot="1" x14ac:dyDescent="0.3">
      <c r="A12" s="1"/>
      <c r="B12" s="92"/>
      <c r="C12" s="11" t="s">
        <v>82</v>
      </c>
      <c r="D12" s="115" t="s">
        <v>153</v>
      </c>
      <c r="E12" s="116"/>
      <c r="F12" s="116"/>
      <c r="G12" s="117"/>
      <c r="H12" s="18"/>
      <c r="I12" s="1"/>
    </row>
    <row r="13" spans="1:10" ht="16.5" thickBot="1" x14ac:dyDescent="0.3">
      <c r="A13" s="1"/>
      <c r="B13" s="92"/>
      <c r="C13" s="11" t="s">
        <v>102</v>
      </c>
      <c r="D13" s="115" t="s">
        <v>158</v>
      </c>
      <c r="E13" s="116"/>
      <c r="F13" s="116"/>
      <c r="G13" s="117"/>
      <c r="H13" s="18"/>
      <c r="I13" s="1"/>
    </row>
    <row r="14" spans="1:10" x14ac:dyDescent="0.25">
      <c r="A14" s="1"/>
      <c r="B14" s="92"/>
      <c r="C14" s="93"/>
      <c r="D14" s="29"/>
      <c r="E14" s="1"/>
      <c r="F14" s="29"/>
      <c r="G14" s="16"/>
      <c r="H14" s="18"/>
      <c r="I14" s="1"/>
    </row>
    <row r="15" spans="1:10" ht="31.5" x14ac:dyDescent="0.25">
      <c r="A15" s="1"/>
      <c r="B15" s="92"/>
      <c r="C15" s="93"/>
      <c r="D15" s="87" t="s">
        <v>11</v>
      </c>
      <c r="E15" s="87" t="s">
        <v>12</v>
      </c>
      <c r="F15" s="29"/>
      <c r="G15" s="16"/>
      <c r="H15" s="18"/>
      <c r="I15" s="1"/>
    </row>
    <row r="16" spans="1:10" x14ac:dyDescent="0.25">
      <c r="A16" s="1"/>
      <c r="B16" s="92"/>
      <c r="C16" s="11" t="s">
        <v>133</v>
      </c>
      <c r="D16" s="19">
        <v>1</v>
      </c>
      <c r="E16" s="19">
        <v>1</v>
      </c>
      <c r="F16" s="29"/>
      <c r="G16" s="16"/>
      <c r="H16" s="18"/>
      <c r="I16" s="1"/>
    </row>
    <row r="17" spans="1:9" ht="16.5" thickBot="1" x14ac:dyDescent="0.3">
      <c r="A17" s="1"/>
      <c r="B17" s="20"/>
      <c r="C17" s="22"/>
      <c r="D17" s="21"/>
      <c r="E17" s="21"/>
      <c r="F17" s="22"/>
      <c r="G17" s="22"/>
      <c r="H17" s="25"/>
      <c r="I17" s="1"/>
    </row>
    <row r="18" spans="1:9" x14ac:dyDescent="0.25">
      <c r="A18" s="1"/>
      <c r="B18" s="15"/>
      <c r="C18" s="91" t="s">
        <v>89</v>
      </c>
      <c r="D18" s="1"/>
      <c r="E18" s="1"/>
      <c r="F18" s="1"/>
      <c r="H18" s="18"/>
      <c r="I18" s="1"/>
    </row>
    <row r="19" spans="1:9" ht="47.25" x14ac:dyDescent="0.25">
      <c r="A19" s="1"/>
      <c r="B19" s="15"/>
      <c r="C19" s="1"/>
      <c r="D19" s="87" t="s">
        <v>25</v>
      </c>
      <c r="E19" s="87" t="s">
        <v>90</v>
      </c>
      <c r="F19" s="87" t="s">
        <v>180</v>
      </c>
      <c r="G19" s="87" t="s">
        <v>91</v>
      </c>
      <c r="H19" s="18"/>
      <c r="I19" s="1"/>
    </row>
    <row r="20" spans="1:9" x14ac:dyDescent="0.25">
      <c r="A20" s="1"/>
      <c r="B20" s="15"/>
      <c r="C20" s="11"/>
      <c r="D20" s="94">
        <f>E20/0.81</f>
        <v>17.395871187552679</v>
      </c>
      <c r="E20" s="94">
        <f>D$5*0.81*((D$8*0.0254/2)*2*PI())/(0.3048*60)*D24/E24*D25/E25*D26/E26</f>
        <v>14.090655661917671</v>
      </c>
      <c r="F20" s="42">
        <f>IF((((F$5-G$5)/E$5*(F$8*G$8*E$8/2*4.44822161526*D$8*0.0254/0.9/2*D24/E24*D25/E25*D26/E26))+G$5)&gt;F5,F5,(((F$5-G$5)/E$5*(F$8*G$8*E$8/2*4.44822161526*D$8*0.0254/0.9/2*D24/E24*D25/E25*D26/E26))+G$5))</f>
        <v>219.81042776271656</v>
      </c>
      <c r="G20" s="95">
        <f>E24*E25*E26/D24/D25/D26</f>
        <v>5.3475935828877006</v>
      </c>
      <c r="H20" s="18"/>
      <c r="I20" s="1"/>
    </row>
    <row r="21" spans="1:9" ht="16.5" thickBot="1" x14ac:dyDescent="0.3">
      <c r="A21" s="1"/>
      <c r="B21" s="20"/>
      <c r="C21" s="22"/>
      <c r="D21" s="22"/>
      <c r="E21" s="22"/>
      <c r="F21" s="22"/>
      <c r="G21" s="22"/>
      <c r="H21" s="25"/>
      <c r="I21" s="1"/>
    </row>
    <row r="22" spans="1:9" x14ac:dyDescent="0.25">
      <c r="A22" s="1"/>
      <c r="B22" s="15"/>
      <c r="C22" s="91" t="s">
        <v>94</v>
      </c>
      <c r="D22" s="69"/>
      <c r="E22" s="17"/>
      <c r="F22" s="1"/>
      <c r="G22" s="1"/>
      <c r="H22" s="18"/>
      <c r="I22" s="1"/>
    </row>
    <row r="23" spans="1:9" ht="31.5" x14ac:dyDescent="0.25">
      <c r="A23" s="5"/>
      <c r="B23" s="6"/>
      <c r="C23" s="5"/>
      <c r="D23" s="87" t="s">
        <v>11</v>
      </c>
      <c r="E23" s="87" t="s">
        <v>12</v>
      </c>
      <c r="F23" s="5"/>
      <c r="G23" s="97"/>
      <c r="H23" s="8"/>
      <c r="I23" s="5"/>
    </row>
    <row r="24" spans="1:9" x14ac:dyDescent="0.25">
      <c r="A24" s="9"/>
      <c r="B24" s="92"/>
      <c r="C24" s="11" t="s">
        <v>95</v>
      </c>
      <c r="D24" s="73">
        <f>VLOOKUP(D12,WCPSSinput,2,FALSE)</f>
        <v>11</v>
      </c>
      <c r="E24" s="73">
        <f>VLOOKUP(D12,WCPSSinput,3,FALSE)</f>
        <v>50</v>
      </c>
      <c r="F24" s="98"/>
      <c r="G24" s="98"/>
      <c r="H24" s="14"/>
      <c r="I24" s="9"/>
    </row>
    <row r="25" spans="1:9" x14ac:dyDescent="0.25">
      <c r="A25" s="1"/>
      <c r="B25" s="92"/>
      <c r="C25" s="11" t="s">
        <v>104</v>
      </c>
      <c r="D25" s="73">
        <f>VLOOKUP(D13,WCPSSsecond,2,FALSE)</f>
        <v>34</v>
      </c>
      <c r="E25" s="73">
        <f>VLOOKUP(D13,WCPSSsecond,3,FALSE)</f>
        <v>40</v>
      </c>
      <c r="F25" s="98"/>
      <c r="G25" s="98"/>
      <c r="H25" s="18"/>
      <c r="I25" s="1"/>
    </row>
    <row r="26" spans="1:9" x14ac:dyDescent="0.25">
      <c r="A26" s="1"/>
      <c r="B26" s="99"/>
      <c r="C26" s="11" t="s">
        <v>99</v>
      </c>
      <c r="D26" s="73">
        <f>D16</f>
        <v>1</v>
      </c>
      <c r="E26" s="73">
        <f>E16</f>
        <v>1</v>
      </c>
      <c r="F26" s="1"/>
      <c r="G26" s="98"/>
      <c r="H26" s="18"/>
      <c r="I26" s="1"/>
    </row>
    <row r="27" spans="1:9" ht="16.5" thickBot="1" x14ac:dyDescent="0.3">
      <c r="A27" s="1"/>
      <c r="B27" s="20"/>
      <c r="C27" s="22"/>
      <c r="D27" s="100"/>
      <c r="E27" s="22"/>
      <c r="F27" s="22"/>
      <c r="G27" s="101"/>
      <c r="H27" s="25"/>
      <c r="I27" s="1"/>
    </row>
  </sheetData>
  <mergeCells count="2">
    <mergeCell ref="D12:G12"/>
    <mergeCell ref="D13:G13"/>
  </mergeCells>
  <dataValidations count="3">
    <dataValidation type="list" allowBlank="1" showInputMessage="1" showErrorMessage="1" sqref="D12:G12">
      <formula1>WCPSSinputchoice</formula1>
    </dataValidation>
    <dataValidation type="list" allowBlank="1" showInputMessage="1" showErrorMessage="1" sqref="D13:G13">
      <formula1>WCPSSsecondchoice</formula1>
    </dataValidation>
    <dataValidation type="list" allowBlank="1" showInputMessage="1" showErrorMessage="1" sqref="C5">
      <formula1>MotorChoice</formula1>
    </dataValidation>
  </dataValidations>
  <hyperlinks>
    <hyperlink ref="J3" r:id="rId1"/>
  </hyperlinks>
  <pageMargins left="0.75" right="0.75" top="1" bottom="1" header="0.5" footer="0.5"/>
  <pageSetup orientation="portrait" horizontalDpi="4294967292" verticalDpi="4294967292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P18"/>
  <sheetViews>
    <sheetView workbookViewId="0"/>
  </sheetViews>
  <sheetFormatPr defaultColWidth="10.875" defaultRowHeight="15.75" x14ac:dyDescent="0.25"/>
  <cols>
    <col min="1" max="1" width="4" style="33" customWidth="1"/>
    <col min="2" max="2" width="2.875" style="33" customWidth="1"/>
    <col min="3" max="3" width="11.875" style="33" customWidth="1"/>
    <col min="4" max="4" width="11.125" style="33" customWidth="1"/>
    <col min="5" max="7" width="10.875" style="33"/>
    <col min="8" max="8" width="3.625" style="33" customWidth="1"/>
    <col min="9" max="10" width="10.875" style="33"/>
    <col min="11" max="11" width="13.875" style="33" customWidth="1"/>
    <col min="12" max="12" width="5.875" style="33" bestFit="1" customWidth="1"/>
    <col min="13" max="16384" width="10.875" style="33"/>
  </cols>
  <sheetData>
    <row r="1" spans="1:16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16.5" thickBot="1" x14ac:dyDescent="0.3">
      <c r="A2" s="1"/>
      <c r="B2" s="84" t="s">
        <v>71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x14ac:dyDescent="0.25">
      <c r="A3" s="1"/>
      <c r="B3" s="2"/>
      <c r="C3" s="70"/>
      <c r="D3" s="3"/>
      <c r="E3" s="3"/>
      <c r="F3" s="3"/>
      <c r="G3" s="3"/>
      <c r="H3" s="3"/>
      <c r="I3" s="3"/>
      <c r="J3" s="3"/>
      <c r="K3" s="3"/>
      <c r="L3" s="4"/>
      <c r="M3" s="1"/>
      <c r="N3" s="1"/>
      <c r="O3" s="1"/>
      <c r="P3" s="1"/>
    </row>
    <row r="4" spans="1:16" ht="48" customHeight="1" x14ac:dyDescent="0.25">
      <c r="A4" s="5"/>
      <c r="B4" s="6"/>
      <c r="C4" s="5"/>
      <c r="D4" s="7" t="s">
        <v>0</v>
      </c>
      <c r="E4" s="7" t="s">
        <v>1</v>
      </c>
      <c r="F4" s="7" t="s">
        <v>2</v>
      </c>
      <c r="G4" s="7" t="s">
        <v>3</v>
      </c>
      <c r="H4" s="5"/>
      <c r="I4" s="7" t="s">
        <v>4</v>
      </c>
      <c r="J4" s="7" t="s">
        <v>5</v>
      </c>
      <c r="K4" s="5"/>
      <c r="L4" s="8"/>
      <c r="M4" s="5"/>
      <c r="N4" s="5"/>
      <c r="O4" s="5"/>
      <c r="P4" s="5"/>
    </row>
    <row r="5" spans="1:16" x14ac:dyDescent="0.25">
      <c r="A5" s="9"/>
      <c r="B5" s="10"/>
      <c r="C5" s="74" t="s">
        <v>6</v>
      </c>
      <c r="D5" s="12">
        <f>VLOOKUP(C5,Specs,2,FALSE)</f>
        <v>5330</v>
      </c>
      <c r="E5" s="12">
        <f>VLOOKUP(C5,Specs,3,FALSE)</f>
        <v>2.41</v>
      </c>
      <c r="F5" s="12">
        <f>VLOOKUP(C5,Specs,4,FALSE)</f>
        <v>131</v>
      </c>
      <c r="G5" s="12">
        <f>VLOOKUP(C5,Specs,5,FALSE)</f>
        <v>2.7</v>
      </c>
      <c r="H5" s="9"/>
      <c r="I5" s="13">
        <v>0.81</v>
      </c>
      <c r="J5" s="13">
        <v>0.9</v>
      </c>
      <c r="K5" s="9"/>
      <c r="L5" s="14"/>
      <c r="M5" s="9"/>
      <c r="N5" s="9"/>
      <c r="O5" s="9"/>
      <c r="P5" s="9"/>
    </row>
    <row r="6" spans="1:16" x14ac:dyDescent="0.25">
      <c r="A6" s="1"/>
      <c r="B6" s="15"/>
      <c r="C6" s="16"/>
      <c r="D6" s="16"/>
      <c r="E6" s="17"/>
      <c r="F6" s="17"/>
      <c r="G6" s="1"/>
      <c r="H6" s="1"/>
      <c r="I6" s="1"/>
      <c r="J6" s="1"/>
      <c r="K6" s="1"/>
      <c r="L6" s="18"/>
      <c r="M6" s="1"/>
      <c r="N6" s="1"/>
      <c r="O6" s="1"/>
      <c r="P6" s="1"/>
    </row>
    <row r="7" spans="1:16" ht="47.25" x14ac:dyDescent="0.25">
      <c r="A7" s="1"/>
      <c r="B7" s="15"/>
      <c r="C7" s="7" t="s">
        <v>19</v>
      </c>
      <c r="D7" s="7" t="s">
        <v>20</v>
      </c>
      <c r="E7" s="9"/>
      <c r="F7" s="7" t="s">
        <v>7</v>
      </c>
      <c r="G7" s="7" t="s">
        <v>8</v>
      </c>
      <c r="I7" s="7" t="s">
        <v>62</v>
      </c>
      <c r="J7" s="7" t="s">
        <v>63</v>
      </c>
      <c r="K7" s="7" t="s">
        <v>64</v>
      </c>
      <c r="L7" s="18"/>
      <c r="M7" s="1"/>
      <c r="N7" s="1"/>
      <c r="O7" s="1"/>
      <c r="P7" s="1"/>
    </row>
    <row r="8" spans="1:16" x14ac:dyDescent="0.25">
      <c r="A8" s="1"/>
      <c r="B8" s="15"/>
      <c r="C8" s="19">
        <v>4</v>
      </c>
      <c r="D8" s="19">
        <v>1</v>
      </c>
      <c r="E8" s="1"/>
      <c r="F8" s="19">
        <f>SUM(I8:K8)</f>
        <v>154</v>
      </c>
      <c r="G8" s="13">
        <v>1</v>
      </c>
      <c r="I8" s="19">
        <v>120</v>
      </c>
      <c r="J8" s="19">
        <v>20</v>
      </c>
      <c r="K8" s="19">
        <v>14</v>
      </c>
      <c r="L8" s="18"/>
      <c r="M8" s="1"/>
      <c r="N8" s="1"/>
      <c r="O8" s="1"/>
      <c r="P8" s="1"/>
    </row>
    <row r="9" spans="1:16" ht="16.5" thickBot="1" x14ac:dyDescent="0.3">
      <c r="A9" s="1"/>
      <c r="B9" s="20"/>
      <c r="C9" s="21"/>
      <c r="D9" s="21"/>
      <c r="E9" s="22"/>
      <c r="F9" s="22"/>
      <c r="G9" s="22"/>
      <c r="H9" s="22"/>
      <c r="I9" s="23"/>
      <c r="J9" s="24"/>
      <c r="K9" s="22"/>
      <c r="L9" s="25"/>
      <c r="M9" s="1"/>
      <c r="N9" s="1"/>
      <c r="O9" s="1"/>
      <c r="P9" s="1"/>
    </row>
    <row r="10" spans="1:16" x14ac:dyDescent="0.25">
      <c r="A10" s="1"/>
      <c r="B10" s="2"/>
      <c r="C10" s="70" t="s">
        <v>163</v>
      </c>
      <c r="D10" s="26"/>
      <c r="E10" s="3"/>
      <c r="F10" s="3"/>
      <c r="G10" s="3"/>
      <c r="H10" s="3"/>
      <c r="I10" s="27"/>
      <c r="J10" s="28"/>
      <c r="K10" s="3"/>
      <c r="L10" s="4"/>
      <c r="M10" s="1"/>
      <c r="N10" s="1"/>
      <c r="O10" s="1"/>
      <c r="P10" s="1"/>
    </row>
    <row r="11" spans="1:16" ht="47.25" x14ac:dyDescent="0.25">
      <c r="A11" s="5"/>
      <c r="B11" s="6"/>
      <c r="C11" s="110" t="s">
        <v>65</v>
      </c>
      <c r="D11" s="110" t="s">
        <v>66</v>
      </c>
      <c r="E11" s="5"/>
      <c r="F11" s="110" t="s">
        <v>11</v>
      </c>
      <c r="G11" s="110" t="s">
        <v>12</v>
      </c>
      <c r="H11" s="5"/>
      <c r="I11" s="110" t="s">
        <v>67</v>
      </c>
      <c r="J11" s="110" t="s">
        <v>68</v>
      </c>
      <c r="K11" s="110" t="s">
        <v>165</v>
      </c>
      <c r="L11" s="8"/>
      <c r="M11" s="5"/>
      <c r="N11" s="5"/>
      <c r="O11" s="5"/>
      <c r="P11" s="5"/>
    </row>
    <row r="12" spans="1:16" x14ac:dyDescent="0.25">
      <c r="A12" s="9"/>
      <c r="B12" s="10"/>
      <c r="C12" s="19">
        <v>4</v>
      </c>
      <c r="D12" s="19">
        <v>1.1000000000000001</v>
      </c>
      <c r="E12" s="9"/>
      <c r="F12" s="19">
        <v>12</v>
      </c>
      <c r="G12" s="19">
        <v>64</v>
      </c>
      <c r="H12" s="9"/>
      <c r="I12" s="71">
        <f>J12/I$5</f>
        <v>17.442384212118331</v>
      </c>
      <c r="J12" s="71">
        <f>D$5*(F12/G12*F13/G13)*I$5*((C12*0.0254/2)*2*PI())/(0.3048*60)</f>
        <v>14.128331211815848</v>
      </c>
      <c r="K12" s="42">
        <f>((((F$5)-(G$5))/(E$5))*(((F$8*G$8*D12/C$8*4.44822161526*C12*0.0254/2/$J$5)*(F12/G12*F13/G13))/D$8))+(G$5)</f>
        <v>108.83824921259188</v>
      </c>
      <c r="L12" s="14"/>
      <c r="M12" s="9"/>
      <c r="N12" s="9"/>
      <c r="O12" s="9"/>
      <c r="P12" s="9"/>
    </row>
    <row r="13" spans="1:16" x14ac:dyDescent="0.25">
      <c r="A13" s="1"/>
      <c r="B13" s="15"/>
      <c r="C13" s="1"/>
      <c r="D13" s="1"/>
      <c r="E13" s="1"/>
      <c r="F13" s="19">
        <v>1</v>
      </c>
      <c r="G13" s="19">
        <v>1</v>
      </c>
      <c r="H13" s="1"/>
      <c r="I13" s="1"/>
      <c r="J13" s="1"/>
      <c r="K13" s="1"/>
      <c r="L13" s="18"/>
      <c r="M13" s="1"/>
      <c r="N13" s="1"/>
      <c r="O13" s="1"/>
      <c r="P13" s="1"/>
    </row>
    <row r="14" spans="1:16" x14ac:dyDescent="0.25">
      <c r="A14" s="1"/>
      <c r="B14" s="15"/>
      <c r="C14" s="1"/>
      <c r="D14" s="1"/>
      <c r="E14" s="1"/>
      <c r="F14" s="1"/>
      <c r="G14" s="1"/>
      <c r="H14" s="1"/>
      <c r="I14" s="29"/>
      <c r="J14" s="1"/>
      <c r="K14" s="1"/>
      <c r="L14" s="18"/>
      <c r="M14" s="1"/>
      <c r="N14" s="1"/>
      <c r="O14" s="1"/>
      <c r="P14" s="1"/>
    </row>
    <row r="15" spans="1:16" ht="47.25" x14ac:dyDescent="0.25">
      <c r="A15" s="1"/>
      <c r="B15" s="15"/>
      <c r="C15" s="72" t="s">
        <v>60</v>
      </c>
      <c r="D15" s="72" t="s">
        <v>61</v>
      </c>
      <c r="E15" s="1"/>
      <c r="F15" s="72" t="s">
        <v>11</v>
      </c>
      <c r="G15" s="72" t="s">
        <v>12</v>
      </c>
      <c r="H15" s="1"/>
      <c r="I15" s="72" t="s">
        <v>69</v>
      </c>
      <c r="J15" s="72" t="s">
        <v>70</v>
      </c>
      <c r="K15" s="72" t="s">
        <v>165</v>
      </c>
      <c r="L15" s="18"/>
      <c r="M15" s="1"/>
      <c r="N15" s="1"/>
      <c r="O15" s="1"/>
      <c r="P15" s="1"/>
    </row>
    <row r="16" spans="1:16" x14ac:dyDescent="0.25">
      <c r="A16" s="1"/>
      <c r="B16" s="15"/>
      <c r="C16" s="19">
        <v>4</v>
      </c>
      <c r="D16" s="19">
        <v>1.2</v>
      </c>
      <c r="E16" s="1"/>
      <c r="F16" s="73">
        <f>F12</f>
        <v>12</v>
      </c>
      <c r="G16" s="73">
        <f>G12</f>
        <v>64</v>
      </c>
      <c r="H16" s="1"/>
      <c r="I16" s="71">
        <f>J16/I$5</f>
        <v>7.4753075194792844</v>
      </c>
      <c r="J16" s="71">
        <f>D$5*(F16/G16*F17/G17)*I$5*C16*0.0254/2*2*PI()/(0.3048*60)</f>
        <v>6.054999090778221</v>
      </c>
      <c r="K16" s="42">
        <f>((F$5-G$5)/E$5*(F$8*G$8*D16/C$8*4.44822161526*C16*0.0254/2/J$5*F16/G16*F17/G17/D$8))+G$5</f>
        <v>52.323077553939058</v>
      </c>
      <c r="L16" s="18"/>
      <c r="M16" s="1"/>
      <c r="N16" s="1"/>
      <c r="O16" s="1"/>
      <c r="P16" s="1"/>
    </row>
    <row r="17" spans="1:16" x14ac:dyDescent="0.25">
      <c r="A17" s="1"/>
      <c r="B17" s="15"/>
      <c r="C17" s="1"/>
      <c r="D17" s="1"/>
      <c r="E17" s="1"/>
      <c r="F17" s="19">
        <v>18</v>
      </c>
      <c r="G17" s="19">
        <v>42</v>
      </c>
      <c r="H17" s="1"/>
      <c r="I17" s="9">
        <f>I12/I16</f>
        <v>2.3333333333333335</v>
      </c>
      <c r="J17" s="1" t="s">
        <v>59</v>
      </c>
      <c r="K17" s="1"/>
      <c r="L17" s="18"/>
      <c r="M17" s="1"/>
      <c r="N17" s="1"/>
      <c r="O17" s="1"/>
      <c r="P17" s="1"/>
    </row>
    <row r="18" spans="1:16" ht="16.5" thickBot="1" x14ac:dyDescent="0.3">
      <c r="A18" s="1"/>
      <c r="B18" s="20"/>
      <c r="C18" s="22"/>
      <c r="D18" s="22"/>
      <c r="E18" s="22"/>
      <c r="F18" s="22"/>
      <c r="G18" s="22"/>
      <c r="H18" s="22"/>
      <c r="I18" s="22"/>
      <c r="J18" s="22"/>
      <c r="K18" s="22"/>
      <c r="L18" s="25"/>
      <c r="M18" s="1"/>
      <c r="N18" s="1"/>
      <c r="O18" s="1"/>
      <c r="P18" s="1"/>
    </row>
  </sheetData>
  <dataValidations count="1">
    <dataValidation type="list" allowBlank="1" showInputMessage="1" showErrorMessage="1" sqref="C5">
      <formula1>Motors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28</vt:i4>
      </vt:variant>
    </vt:vector>
  </HeadingPairs>
  <TitlesOfParts>
    <vt:vector size="41" baseType="lpstr">
      <vt:lpstr>READ-ME</vt:lpstr>
      <vt:lpstr>Custom 2-Speed Drive</vt:lpstr>
      <vt:lpstr>VEXpro 3-CIM Ball Shifter</vt:lpstr>
      <vt:lpstr>VEXpro 2-CIM Ball Shifter</vt:lpstr>
      <vt:lpstr>WCP DS</vt:lpstr>
      <vt:lpstr>Custom 1-Speed Drive</vt:lpstr>
      <vt:lpstr>VEXpro SS,DR</vt:lpstr>
      <vt:lpstr>WCP SS</vt:lpstr>
      <vt:lpstr>Articulating Drive</vt:lpstr>
      <vt:lpstr>Rotary Mechanism</vt:lpstr>
      <vt:lpstr>Linear Mechanism</vt:lpstr>
      <vt:lpstr>Intake Mechanism</vt:lpstr>
      <vt:lpstr>DATA</vt:lpstr>
      <vt:lpstr>initial2CIM</vt:lpstr>
      <vt:lpstr>initial2CIMchoice</vt:lpstr>
      <vt:lpstr>initial3CIM</vt:lpstr>
      <vt:lpstr>initial3CIMchoice</vt:lpstr>
      <vt:lpstr>lowgear3CIM</vt:lpstr>
      <vt:lpstr>lowgear3CIMchoice</vt:lpstr>
      <vt:lpstr>Motor</vt:lpstr>
      <vt:lpstr>MotorChoice</vt:lpstr>
      <vt:lpstr>Motors</vt:lpstr>
      <vt:lpstr>MotorTwo</vt:lpstr>
      <vt:lpstr>MotorTwochoice</vt:lpstr>
      <vt:lpstr>Specs</vt:lpstr>
      <vt:lpstr>SSDR</vt:lpstr>
      <vt:lpstr>SSDRchoice</vt:lpstr>
      <vt:lpstr>thirdstage2CIM</vt:lpstr>
      <vt:lpstr>thirdstage2CIMchoice</vt:lpstr>
      <vt:lpstr>thirdstage3CIM</vt:lpstr>
      <vt:lpstr>thirdstage3CIMchoice</vt:lpstr>
      <vt:lpstr>WCPDShighgear</vt:lpstr>
      <vt:lpstr>WCPDShighgearchoice</vt:lpstr>
      <vt:lpstr>WCPDSinput</vt:lpstr>
      <vt:lpstr>WCPDSinputchoice</vt:lpstr>
      <vt:lpstr>WCPDSlowgear</vt:lpstr>
      <vt:lpstr>WCPDSlowgearchoice</vt:lpstr>
      <vt:lpstr>WCPSSinput</vt:lpstr>
      <vt:lpstr>WCPSSinputchoice</vt:lpstr>
      <vt:lpstr>WCPSSsecond</vt:lpstr>
      <vt:lpstr>WCPSSsecondchoice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V-Neun</dc:creator>
  <cp:lastModifiedBy>Michael Ray</cp:lastModifiedBy>
  <dcterms:created xsi:type="dcterms:W3CDTF">2012-08-11T00:19:30Z</dcterms:created>
  <dcterms:modified xsi:type="dcterms:W3CDTF">2017-06-15T01:21:38Z</dcterms:modified>
</cp:coreProperties>
</file>