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_CURSOS\_PROPRIOS\Alugueis\data\"/>
    </mc:Choice>
  </mc:AlternateContent>
  <xr:revisionPtr revIDLastSave="0" documentId="13_ncr:1_{B330AD93-964E-4699-BE48-D4D0AEDE6623}" xr6:coauthVersionLast="47" xr6:coauthVersionMax="47" xr10:uidLastSave="{00000000-0000-0000-0000-000000000000}"/>
  <bookViews>
    <workbookView xWindow="-108" yWindow="-108" windowWidth="23256" windowHeight="12456" activeTab="2" xr2:uid="{D7CFB2B7-1366-4E1D-8CBC-BAE09FC02B23}"/>
  </bookViews>
  <sheets>
    <sheet name="TIR" sheetId="2" r:id="rId1"/>
    <sheet name="TIR (2)" sheetId="3" r:id="rId2"/>
    <sheet name="VPL" sheetId="6" r:id="rId3"/>
    <sheet name="Aluguel" sheetId="4" r:id="rId4"/>
    <sheet name="Diversificaçã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B15" i="6" s="1"/>
  <c r="N3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B9" i="6"/>
  <c r="G27" i="6"/>
  <c r="J9" i="6" s="1"/>
  <c r="M6" i="5"/>
  <c r="G6" i="5"/>
  <c r="I6" i="5" s="1"/>
  <c r="E6" i="5"/>
  <c r="I5" i="5"/>
  <c r="I7" i="5" s="1"/>
  <c r="G5" i="5"/>
  <c r="M5" i="5" s="1"/>
  <c r="E5" i="5"/>
  <c r="E7" i="5" s="1"/>
  <c r="C28" i="4"/>
  <c r="E28" i="4" s="1"/>
  <c r="R24" i="4"/>
  <c r="R29" i="4" s="1"/>
  <c r="C23" i="4"/>
  <c r="C20" i="4"/>
  <c r="E20" i="4" s="1"/>
  <c r="R18" i="4"/>
  <c r="R32" i="4" s="1"/>
  <c r="R16" i="4"/>
  <c r="R15" i="4"/>
  <c r="R12" i="4"/>
  <c r="R33" i="4" s="1"/>
  <c r="R10" i="4"/>
  <c r="C8" i="4"/>
  <c r="H8" i="4" s="1"/>
  <c r="N7" i="4"/>
  <c r="B7" i="4"/>
  <c r="C31" i="4" s="1"/>
  <c r="R5" i="4"/>
  <c r="R6" i="4" s="1"/>
  <c r="R2" i="4"/>
  <c r="K23" i="3"/>
  <c r="D23" i="3"/>
  <c r="N22" i="3"/>
  <c r="K17" i="3"/>
  <c r="D17" i="3"/>
  <c r="K16" i="3"/>
  <c r="K14" i="3"/>
  <c r="J14" i="3"/>
  <c r="D14" i="3"/>
  <c r="E14" i="3" s="1"/>
  <c r="C14" i="3"/>
  <c r="J13" i="3"/>
  <c r="K13" i="3" s="1"/>
  <c r="C13" i="3"/>
  <c r="D13" i="3" s="1"/>
  <c r="J12" i="3"/>
  <c r="K12" i="3" s="1"/>
  <c r="C12" i="3"/>
  <c r="D12" i="3" s="1"/>
  <c r="L11" i="3"/>
  <c r="K11" i="3"/>
  <c r="J11" i="3"/>
  <c r="C11" i="3"/>
  <c r="D11" i="3" s="1"/>
  <c r="K10" i="3"/>
  <c r="J10" i="3"/>
  <c r="D10" i="3"/>
  <c r="C10" i="3"/>
  <c r="K9" i="3"/>
  <c r="M9" i="3" s="1"/>
  <c r="G9" i="3"/>
  <c r="F9" i="3"/>
  <c r="E9" i="3"/>
  <c r="D9" i="3"/>
  <c r="K23" i="2"/>
  <c r="D23" i="2"/>
  <c r="K17" i="2"/>
  <c r="D17" i="2"/>
  <c r="C14" i="2"/>
  <c r="D14" i="2" s="1"/>
  <c r="J13" i="2"/>
  <c r="K13" i="2" s="1"/>
  <c r="C13" i="2"/>
  <c r="D13" i="2" s="1"/>
  <c r="K12" i="2"/>
  <c r="J12" i="2"/>
  <c r="D12" i="2"/>
  <c r="C12" i="2"/>
  <c r="J11" i="2"/>
  <c r="K11" i="2" s="1"/>
  <c r="C11" i="2"/>
  <c r="D11" i="2" s="1"/>
  <c r="J10" i="2"/>
  <c r="K10" i="2" s="1"/>
  <c r="C10" i="2"/>
  <c r="D10" i="2" s="1"/>
  <c r="N9" i="2"/>
  <c r="M9" i="2"/>
  <c r="L9" i="2"/>
  <c r="K9" i="2"/>
  <c r="L18" i="2" s="1"/>
  <c r="D9" i="2"/>
  <c r="G9" i="2" s="1"/>
  <c r="N26" i="6" l="1"/>
  <c r="N25" i="6"/>
  <c r="N21" i="6"/>
  <c r="N18" i="6"/>
  <c r="N17" i="6"/>
  <c r="N15" i="6"/>
  <c r="N7" i="6"/>
  <c r="N5" i="6"/>
  <c r="N13" i="6"/>
  <c r="N24" i="6"/>
  <c r="N10" i="6"/>
  <c r="N23" i="6"/>
  <c r="N9" i="6"/>
  <c r="O9" i="6" s="1"/>
  <c r="N8" i="6"/>
  <c r="N16" i="6"/>
  <c r="N22" i="6"/>
  <c r="N14" i="6"/>
  <c r="N6" i="6"/>
  <c r="N20" i="6"/>
  <c r="N12" i="6"/>
  <c r="N4" i="6"/>
  <c r="N2" i="6"/>
  <c r="O2" i="6" s="1"/>
  <c r="N19" i="6"/>
  <c r="N11" i="6"/>
  <c r="J22" i="6"/>
  <c r="L22" i="6" s="1"/>
  <c r="J16" i="6"/>
  <c r="L16" i="6" s="1"/>
  <c r="J24" i="6"/>
  <c r="L24" i="6" s="1"/>
  <c r="J8" i="6"/>
  <c r="L8" i="6" s="1"/>
  <c r="J14" i="6"/>
  <c r="L14" i="6" s="1"/>
  <c r="J6" i="6"/>
  <c r="L6" i="6" s="1"/>
  <c r="L9" i="6"/>
  <c r="K9" i="6"/>
  <c r="M9" i="6" s="1"/>
  <c r="J23" i="6"/>
  <c r="J15" i="6"/>
  <c r="J7" i="6"/>
  <c r="K24" i="6"/>
  <c r="K16" i="6"/>
  <c r="K8" i="6"/>
  <c r="J21" i="6"/>
  <c r="J13" i="6"/>
  <c r="J5" i="6"/>
  <c r="K22" i="6"/>
  <c r="J20" i="6"/>
  <c r="J12" i="6"/>
  <c r="J4" i="6"/>
  <c r="J2" i="6"/>
  <c r="J19" i="6"/>
  <c r="J11" i="6"/>
  <c r="J3" i="6"/>
  <c r="J26" i="6"/>
  <c r="J18" i="6"/>
  <c r="J10" i="6"/>
  <c r="J25" i="6"/>
  <c r="J17" i="6"/>
  <c r="I27" i="6"/>
  <c r="J5" i="5"/>
  <c r="J6" i="5"/>
  <c r="I20" i="4"/>
  <c r="F20" i="4"/>
  <c r="J20" i="4" s="1"/>
  <c r="E31" i="4"/>
  <c r="I28" i="4"/>
  <c r="F28" i="4"/>
  <c r="J28" i="4" s="1"/>
  <c r="K28" i="4" s="1"/>
  <c r="L28" i="4"/>
  <c r="R3" i="4"/>
  <c r="R7" i="4" s="1"/>
  <c r="S7" i="4" s="1"/>
  <c r="E8" i="4"/>
  <c r="C16" i="4"/>
  <c r="C19" i="4"/>
  <c r="E23" i="4"/>
  <c r="C24" i="4"/>
  <c r="G8" i="4"/>
  <c r="C9" i="4"/>
  <c r="C13" i="4"/>
  <c r="C17" i="4"/>
  <c r="C21" i="4"/>
  <c r="C25" i="4"/>
  <c r="C29" i="4"/>
  <c r="C10" i="4"/>
  <c r="R13" i="4"/>
  <c r="R21" i="4"/>
  <c r="C14" i="4"/>
  <c r="C22" i="4"/>
  <c r="C26" i="4"/>
  <c r="C30" i="4"/>
  <c r="C11" i="4"/>
  <c r="R14" i="4"/>
  <c r="R25" i="4" s="1"/>
  <c r="R30" i="4" s="1"/>
  <c r="R17" i="4"/>
  <c r="C12" i="4"/>
  <c r="C15" i="4"/>
  <c r="C18" i="4"/>
  <c r="C27" i="4"/>
  <c r="G11" i="3"/>
  <c r="G12" i="3" s="1"/>
  <c r="G13" i="3" s="1"/>
  <c r="G14" i="3" s="1"/>
  <c r="F11" i="3"/>
  <c r="F12" i="3" s="1"/>
  <c r="F13" i="3" s="1"/>
  <c r="F14" i="3" s="1"/>
  <c r="E11" i="3"/>
  <c r="L12" i="3"/>
  <c r="N12" i="3"/>
  <c r="K19" i="3"/>
  <c r="E13" i="3"/>
  <c r="E12" i="3"/>
  <c r="D22" i="3"/>
  <c r="D19" i="3"/>
  <c r="K22" i="3"/>
  <c r="N13" i="3"/>
  <c r="N14" i="3" s="1"/>
  <c r="L13" i="3"/>
  <c r="G10" i="3"/>
  <c r="L9" i="3"/>
  <c r="E10" i="3"/>
  <c r="F10" i="3"/>
  <c r="K6" i="3"/>
  <c r="N9" i="3"/>
  <c r="N10" i="3" s="1"/>
  <c r="N11" i="3" s="1"/>
  <c r="L10" i="3"/>
  <c r="L14" i="3"/>
  <c r="K18" i="3"/>
  <c r="K21" i="3" s="1"/>
  <c r="L21" i="3" s="1"/>
  <c r="G22" i="3"/>
  <c r="D16" i="3"/>
  <c r="D6" i="3"/>
  <c r="D18" i="3"/>
  <c r="D21" i="3" s="1"/>
  <c r="E21" i="3" s="1"/>
  <c r="M10" i="3"/>
  <c r="M11" i="3" s="1"/>
  <c r="M12" i="3" s="1"/>
  <c r="M13" i="3" s="1"/>
  <c r="M14" i="3" s="1"/>
  <c r="G10" i="2"/>
  <c r="D16" i="2"/>
  <c r="E10" i="2"/>
  <c r="D21" i="2"/>
  <c r="D22" i="2" s="1"/>
  <c r="D6" i="2"/>
  <c r="E13" i="2"/>
  <c r="E14" i="2"/>
  <c r="M10" i="2"/>
  <c r="K21" i="2"/>
  <c r="K22" i="2" s="1"/>
  <c r="N10" i="2"/>
  <c r="N11" i="2" s="1"/>
  <c r="N12" i="2" s="1"/>
  <c r="N13" i="2" s="1"/>
  <c r="L10" i="2"/>
  <c r="K6" i="2"/>
  <c r="K16" i="2"/>
  <c r="E11" i="2"/>
  <c r="G11" i="2"/>
  <c r="G12" i="2" s="1"/>
  <c r="G13" i="2" s="1"/>
  <c r="G14" i="2" s="1"/>
  <c r="M11" i="2"/>
  <c r="M12" i="2" s="1"/>
  <c r="M13" i="2" s="1"/>
  <c r="L11" i="2"/>
  <c r="L13" i="2"/>
  <c r="E12" i="2"/>
  <c r="G21" i="2"/>
  <c r="E9" i="2"/>
  <c r="D18" i="2"/>
  <c r="D20" i="2" s="1"/>
  <c r="F9" i="2"/>
  <c r="F10" i="2" s="1"/>
  <c r="F11" i="2" s="1"/>
  <c r="F12" i="2" s="1"/>
  <c r="F13" i="2" s="1"/>
  <c r="F14" i="2" s="1"/>
  <c r="E18" i="2"/>
  <c r="N21" i="2"/>
  <c r="L12" i="2"/>
  <c r="K18" i="2"/>
  <c r="K20" i="2" s="1"/>
  <c r="K6" i="6" l="1"/>
  <c r="K14" i="6"/>
  <c r="K10" i="6"/>
  <c r="L10" i="6"/>
  <c r="L12" i="6"/>
  <c r="K12" i="6"/>
  <c r="K18" i="6"/>
  <c r="L18" i="6"/>
  <c r="L20" i="6"/>
  <c r="K20" i="6"/>
  <c r="M20" i="6" s="1"/>
  <c r="O20" i="6" s="1"/>
  <c r="K26" i="6"/>
  <c r="L26" i="6"/>
  <c r="L3" i="6"/>
  <c r="K3" i="6"/>
  <c r="L11" i="6"/>
  <c r="K11" i="6"/>
  <c r="K15" i="6"/>
  <c r="L15" i="6"/>
  <c r="L19" i="6"/>
  <c r="K19" i="6"/>
  <c r="L5" i="6"/>
  <c r="K5" i="6"/>
  <c r="K23" i="6"/>
  <c r="L23" i="6"/>
  <c r="L17" i="6"/>
  <c r="K17" i="6"/>
  <c r="M17" i="6" s="1"/>
  <c r="O17" i="6" s="1"/>
  <c r="L2" i="6"/>
  <c r="K2" i="6"/>
  <c r="M2" i="6" s="1"/>
  <c r="L13" i="6"/>
  <c r="K13" i="6"/>
  <c r="K7" i="6"/>
  <c r="L7" i="6"/>
  <c r="L25" i="6"/>
  <c r="K25" i="6"/>
  <c r="M25" i="6" s="1"/>
  <c r="O25" i="6" s="1"/>
  <c r="L4" i="6"/>
  <c r="K4" i="6"/>
  <c r="L21" i="6"/>
  <c r="K21" i="6"/>
  <c r="M5" i="6"/>
  <c r="O5" i="6" s="1"/>
  <c r="M14" i="6"/>
  <c r="O14" i="6" s="1"/>
  <c r="J27" i="6"/>
  <c r="K5" i="5"/>
  <c r="K7" i="5" s="1"/>
  <c r="N5" i="5"/>
  <c r="N7" i="5" s="1"/>
  <c r="K6" i="5"/>
  <c r="N6" i="5"/>
  <c r="E19" i="4"/>
  <c r="G27" i="4"/>
  <c r="H27" i="4"/>
  <c r="E27" i="4"/>
  <c r="E26" i="4"/>
  <c r="E21" i="4"/>
  <c r="E16" i="4"/>
  <c r="E18" i="4"/>
  <c r="H12" i="4"/>
  <c r="G12" i="4"/>
  <c r="E12" i="4"/>
  <c r="N28" i="4"/>
  <c r="M28" i="4"/>
  <c r="I8" i="4"/>
  <c r="F8" i="4"/>
  <c r="J8" i="4" s="1"/>
  <c r="E13" i="4"/>
  <c r="E9" i="4"/>
  <c r="R26" i="4"/>
  <c r="R31" i="4" s="1"/>
  <c r="R34" i="4" s="1"/>
  <c r="E25" i="4"/>
  <c r="H17" i="4"/>
  <c r="G17" i="4"/>
  <c r="E17" i="4"/>
  <c r="E14" i="4"/>
  <c r="E10" i="4"/>
  <c r="E24" i="4"/>
  <c r="K20" i="4"/>
  <c r="L20" i="4"/>
  <c r="E30" i="4"/>
  <c r="E22" i="4"/>
  <c r="H22" i="4"/>
  <c r="G22" i="4"/>
  <c r="E15" i="4"/>
  <c r="I31" i="4"/>
  <c r="F31" i="4"/>
  <c r="J31" i="4" s="1"/>
  <c r="E11" i="4"/>
  <c r="E29" i="4"/>
  <c r="F23" i="4"/>
  <c r="J23" i="4" s="1"/>
  <c r="I23" i="4"/>
  <c r="M22" i="6" l="1"/>
  <c r="O22" i="6" s="1"/>
  <c r="M4" i="6"/>
  <c r="O4" i="6" s="1"/>
  <c r="M10" i="6"/>
  <c r="O10" i="6" s="1"/>
  <c r="M26" i="6"/>
  <c r="O26" i="6" s="1"/>
  <c r="M16" i="6"/>
  <c r="O16" i="6" s="1"/>
  <c r="M6" i="6"/>
  <c r="O6" i="6" s="1"/>
  <c r="M19" i="6"/>
  <c r="O19" i="6" s="1"/>
  <c r="M15" i="6"/>
  <c r="O15" i="6" s="1"/>
  <c r="M21" i="6"/>
  <c r="O21" i="6" s="1"/>
  <c r="M7" i="6"/>
  <c r="O7" i="6" s="1"/>
  <c r="M8" i="6"/>
  <c r="O8" i="6" s="1"/>
  <c r="M24" i="6"/>
  <c r="O24" i="6" s="1"/>
  <c r="M18" i="6"/>
  <c r="O18" i="6" s="1"/>
  <c r="M23" i="6"/>
  <c r="O23" i="6" s="1"/>
  <c r="M11" i="6"/>
  <c r="O11" i="6" s="1"/>
  <c r="M13" i="6"/>
  <c r="O13" i="6" s="1"/>
  <c r="L27" i="6"/>
  <c r="M12" i="6"/>
  <c r="O12" i="6" s="1"/>
  <c r="K27" i="6"/>
  <c r="M3" i="6"/>
  <c r="K23" i="4"/>
  <c r="L23" i="4"/>
  <c r="I17" i="4"/>
  <c r="F17" i="4"/>
  <c r="J17" i="4" s="1"/>
  <c r="I24" i="4"/>
  <c r="F24" i="4"/>
  <c r="J24" i="4" s="1"/>
  <c r="I13" i="4"/>
  <c r="F13" i="4"/>
  <c r="J13" i="4" s="1"/>
  <c r="F26" i="4"/>
  <c r="I26" i="4"/>
  <c r="I12" i="4"/>
  <c r="F12" i="4"/>
  <c r="J12" i="4" s="1"/>
  <c r="I27" i="4"/>
  <c r="F27" i="4"/>
  <c r="J27" i="4" s="1"/>
  <c r="K8" i="4"/>
  <c r="L8" i="4"/>
  <c r="K31" i="4"/>
  <c r="L31" i="4"/>
  <c r="F14" i="4"/>
  <c r="I14" i="4"/>
  <c r="I29" i="4"/>
  <c r="F29" i="4"/>
  <c r="J29" i="4" s="1"/>
  <c r="I18" i="4"/>
  <c r="F18" i="4"/>
  <c r="J18" i="4" s="1"/>
  <c r="F11" i="4"/>
  <c r="I11" i="4"/>
  <c r="F22" i="4"/>
  <c r="I22" i="4"/>
  <c r="I10" i="4"/>
  <c r="F10" i="4"/>
  <c r="J10" i="4" s="1"/>
  <c r="I25" i="4"/>
  <c r="F25" i="4"/>
  <c r="J25" i="4" s="1"/>
  <c r="I16" i="4"/>
  <c r="F16" i="4"/>
  <c r="J16" i="4" s="1"/>
  <c r="F30" i="4"/>
  <c r="I30" i="4"/>
  <c r="I19" i="4"/>
  <c r="F19" i="4"/>
  <c r="J19" i="4" s="1"/>
  <c r="I15" i="4"/>
  <c r="F15" i="4"/>
  <c r="J15" i="4" s="1"/>
  <c r="N20" i="4"/>
  <c r="M20" i="4"/>
  <c r="I9" i="4"/>
  <c r="F9" i="4"/>
  <c r="J9" i="4" s="1"/>
  <c r="I21" i="4"/>
  <c r="F21" i="4"/>
  <c r="J21" i="4" s="1"/>
  <c r="O3" i="6" l="1"/>
  <c r="O27" i="6" s="1"/>
  <c r="B17" i="6"/>
  <c r="J30" i="4"/>
  <c r="M23" i="4"/>
  <c r="N23" i="4"/>
  <c r="K25" i="4"/>
  <c r="L25" i="4"/>
  <c r="K9" i="4"/>
  <c r="L9" i="4"/>
  <c r="N31" i="4"/>
  <c r="M31" i="4"/>
  <c r="J26" i="4"/>
  <c r="K13" i="4"/>
  <c r="L13" i="4"/>
  <c r="K19" i="4"/>
  <c r="L19" i="4"/>
  <c r="K29" i="4"/>
  <c r="L29" i="4"/>
  <c r="K24" i="4"/>
  <c r="L24" i="4"/>
  <c r="K17" i="4"/>
  <c r="L17" i="4"/>
  <c r="K16" i="4"/>
  <c r="L16" i="4"/>
  <c r="K15" i="4"/>
  <c r="L15" i="4"/>
  <c r="K18" i="4"/>
  <c r="L18" i="4"/>
  <c r="N8" i="4"/>
  <c r="M8" i="4"/>
  <c r="K21" i="4"/>
  <c r="L21" i="4"/>
  <c r="K10" i="4"/>
  <c r="L10" i="4"/>
  <c r="K27" i="4"/>
  <c r="L27" i="4"/>
  <c r="J22" i="4"/>
  <c r="J14" i="4"/>
  <c r="K12" i="4"/>
  <c r="L12" i="4"/>
  <c r="J11" i="4"/>
  <c r="K32" i="4" l="1"/>
  <c r="K30" i="4"/>
  <c r="L30" i="4"/>
  <c r="M21" i="4"/>
  <c r="N21" i="4"/>
  <c r="N19" i="4"/>
  <c r="M19" i="4"/>
  <c r="N15" i="4"/>
  <c r="M15" i="4"/>
  <c r="M9" i="4"/>
  <c r="N9" i="4"/>
  <c r="M12" i="4"/>
  <c r="N12" i="4"/>
  <c r="N16" i="4"/>
  <c r="M16" i="4"/>
  <c r="K14" i="4"/>
  <c r="L14" i="4"/>
  <c r="N17" i="4"/>
  <c r="M17" i="4"/>
  <c r="M13" i="4"/>
  <c r="N13" i="4"/>
  <c r="M25" i="4"/>
  <c r="N25" i="4"/>
  <c r="N10" i="4"/>
  <c r="M10" i="4"/>
  <c r="M29" i="4"/>
  <c r="N29" i="4"/>
  <c r="K11" i="4"/>
  <c r="L11" i="4"/>
  <c r="K22" i="4"/>
  <c r="L22" i="4"/>
  <c r="N27" i="4"/>
  <c r="M27" i="4"/>
  <c r="N18" i="4"/>
  <c r="M18" i="4"/>
  <c r="N24" i="4"/>
  <c r="M24" i="4"/>
  <c r="K26" i="4"/>
  <c r="L26" i="4"/>
  <c r="N26" i="4" l="1"/>
  <c r="M26" i="4"/>
  <c r="N22" i="4"/>
  <c r="M22" i="4"/>
  <c r="N11" i="4"/>
  <c r="M11" i="4"/>
  <c r="N14" i="4"/>
  <c r="M14" i="4"/>
  <c r="N30" i="4"/>
  <c r="M30" i="4"/>
  <c r="N33" i="4" l="1"/>
  <c r="N32" i="4"/>
  <c r="O32" i="4" s="1"/>
</calcChain>
</file>

<file path=xl/sharedStrings.xml><?xml version="1.0" encoding="utf-8"?>
<sst xmlns="http://schemas.openxmlformats.org/spreadsheetml/2006/main" count="211" uniqueCount="97">
  <si>
    <t>Projeto 1</t>
  </si>
  <si>
    <t>Projeto 2</t>
  </si>
  <si>
    <t>TMA</t>
  </si>
  <si>
    <t>a.a.</t>
  </si>
  <si>
    <t>Prazo</t>
  </si>
  <si>
    <t>anos</t>
  </si>
  <si>
    <t>Investimento</t>
  </si>
  <si>
    <t>VGV</t>
  </si>
  <si>
    <t>Lucratividade</t>
  </si>
  <si>
    <t>TIR</t>
  </si>
  <si>
    <t>Período</t>
  </si>
  <si>
    <t>FC</t>
  </si>
  <si>
    <t>FC Descontado</t>
  </si>
  <si>
    <t>FC Acumulado</t>
  </si>
  <si>
    <t>FC Acumulado Descontado</t>
  </si>
  <si>
    <t>FRC(15%,5)</t>
  </si>
  <si>
    <t>FRC(15%,4)</t>
  </si>
  <si>
    <t>VPL</t>
  </si>
  <si>
    <t>Rentabilidade (ROI)</t>
  </si>
  <si>
    <t>Payback</t>
  </si>
  <si>
    <t>Rentabilidade</t>
  </si>
  <si>
    <t>Simples</t>
  </si>
  <si>
    <t>CAGR</t>
  </si>
  <si>
    <t>Descontado</t>
  </si>
  <si>
    <t>R</t>
  </si>
  <si>
    <t>IRR(-10^6, cf = rep(400000,5), 1:5)</t>
  </si>
  <si>
    <t>IRR(-.8*10^6, cf = rep(400000,4), 1:4)</t>
  </si>
  <si>
    <t>i</t>
  </si>
  <si>
    <t>Rendimento Bruto do aluguel (a.a.)</t>
  </si>
  <si>
    <t>I</t>
  </si>
  <si>
    <t>R$</t>
  </si>
  <si>
    <t>g</t>
  </si>
  <si>
    <t>Crescimento anual do aluguel (a.a.)</t>
  </si>
  <si>
    <t>R$/ano</t>
  </si>
  <si>
    <t>adm</t>
  </si>
  <si>
    <t>Taxa de administração</t>
  </si>
  <si>
    <t>C</t>
  </si>
  <si>
    <t>T</t>
  </si>
  <si>
    <t>Ano</t>
  </si>
  <si>
    <t>Renda</t>
  </si>
  <si>
    <t>Vacância</t>
  </si>
  <si>
    <t>Renda Provável</t>
  </si>
  <si>
    <t>Taxa de Administração</t>
  </si>
  <si>
    <t>Taxa nova locação</t>
  </si>
  <si>
    <t>Reformas</t>
  </si>
  <si>
    <t>IR</t>
  </si>
  <si>
    <t>Despesas Totais</t>
  </si>
  <si>
    <t>Aluguel Líquido</t>
  </si>
  <si>
    <t>FCL</t>
  </si>
  <si>
    <t>taxa de capitalização (c)</t>
  </si>
  <si>
    <t>%</t>
  </si>
  <si>
    <t>FRC(c%,T)</t>
  </si>
  <si>
    <t>-</t>
  </si>
  <si>
    <r>
      <t>VPL</t>
    </r>
    <r>
      <rPr>
        <b/>
        <vertAlign val="subscript"/>
        <sz val="11"/>
        <color theme="1"/>
        <rFont val="Aptos Narrow"/>
        <family val="2"/>
        <scheme val="minor"/>
      </rPr>
      <t>simplificado</t>
    </r>
  </si>
  <si>
    <t>Método do Valor Atual</t>
  </si>
  <si>
    <t>Vida útil</t>
  </si>
  <si>
    <t>Aluguel Bruto</t>
  </si>
  <si>
    <t>Taxa de nova locação</t>
  </si>
  <si>
    <t>1/12</t>
  </si>
  <si>
    <t>Valor Residual</t>
  </si>
  <si>
    <t>Receitas</t>
  </si>
  <si>
    <t>Aluguel</t>
  </si>
  <si>
    <t>Despesas</t>
  </si>
  <si>
    <t>Capital (C)</t>
  </si>
  <si>
    <t>Renovações</t>
  </si>
  <si>
    <t>a cada</t>
  </si>
  <si>
    <t>Despesas Operacionais (M)</t>
  </si>
  <si>
    <t>Ccap</t>
  </si>
  <si>
    <t>Despesas Operacionais</t>
  </si>
  <si>
    <t>Q0</t>
  </si>
  <si>
    <t>P0</t>
  </si>
  <si>
    <t>P0.Q0</t>
  </si>
  <si>
    <t>P1</t>
  </si>
  <si>
    <t>Q_1</t>
  </si>
  <si>
    <t>P1.Q1</t>
  </si>
  <si>
    <t>Q2</t>
  </si>
  <si>
    <t>Q2.P1</t>
  </si>
  <si>
    <t>P2</t>
  </si>
  <si>
    <t>P2.Q2</t>
  </si>
  <si>
    <t>A</t>
  </si>
  <si>
    <t>B</t>
  </si>
  <si>
    <t>CUC</t>
  </si>
  <si>
    <t>S</t>
  </si>
  <si>
    <t>PU</t>
  </si>
  <si>
    <t>FCI</t>
  </si>
  <si>
    <t>FCV</t>
  </si>
  <si>
    <t>BDI_c</t>
  </si>
  <si>
    <t>CC</t>
  </si>
  <si>
    <t>Dv</t>
  </si>
  <si>
    <t>BDI_d</t>
  </si>
  <si>
    <t>Vendas</t>
  </si>
  <si>
    <t>% CC</t>
  </si>
  <si>
    <t>Taxa Livre</t>
  </si>
  <si>
    <t>Taxa Risco</t>
  </si>
  <si>
    <t>FCLd</t>
  </si>
  <si>
    <t>Fator VP</t>
  </si>
  <si>
    <t>VPL0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</si>
</sst>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&quot;R$&quot;\ #,##0.0000;[Red]\-&quot;R$&quot;\ #,##0.0000"/>
    <numFmt numFmtId="166" formatCode="0.0%"/>
    <numFmt numFmtId="167" formatCode="#,##0.00_ ;[Red]\-#,##0.00\ "/>
    <numFmt numFmtId="168" formatCode="_-* #,##0.0000_-;\-* #,##0.0000_-;_-* &quot;-&quot;??_-;_-@_-"/>
    <numFmt numFmtId="169" formatCode="0.000%"/>
    <numFmt numFmtId="171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44" fontId="0" fillId="2" borderId="0" xfId="1" applyFont="1" applyFill="1"/>
    <xf numFmtId="44" fontId="0" fillId="0" borderId="0" xfId="1" applyFont="1" applyFill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8" fontId="0" fillId="0" borderId="0" xfId="1" applyNumberFormat="1" applyFont="1"/>
    <xf numFmtId="8" fontId="0" fillId="0" borderId="0" xfId="0" applyNumberFormat="1"/>
    <xf numFmtId="4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10" fontId="0" fillId="2" borderId="0" xfId="0" applyNumberFormat="1" applyFill="1"/>
    <xf numFmtId="0" fontId="2" fillId="0" borderId="0" xfId="0" applyFont="1" applyAlignment="1">
      <alignment horizontal="right"/>
    </xf>
    <xf numFmtId="43" fontId="0" fillId="2" borderId="0" xfId="0" applyNumberFormat="1" applyFill="1"/>
    <xf numFmtId="43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9" fontId="0" fillId="0" borderId="0" xfId="2" applyFont="1"/>
    <xf numFmtId="40" fontId="0" fillId="2" borderId="0" xfId="0" applyNumberFormat="1" applyFill="1"/>
    <xf numFmtId="16" fontId="0" fillId="0" borderId="0" xfId="0" quotePrefix="1" applyNumberFormat="1"/>
    <xf numFmtId="40" fontId="0" fillId="0" borderId="0" xfId="0" applyNumberFormat="1"/>
    <xf numFmtId="169" fontId="0" fillId="2" borderId="0" xfId="0" applyNumberFormat="1" applyFill="1"/>
    <xf numFmtId="44" fontId="0" fillId="0" borderId="0" xfId="1" applyFont="1"/>
    <xf numFmtId="169" fontId="0" fillId="0" borderId="0" xfId="2" applyNumberFormat="1" applyFont="1"/>
    <xf numFmtId="169" fontId="0" fillId="0" borderId="0" xfId="0" applyNumberFormat="1"/>
    <xf numFmtId="0" fontId="2" fillId="0" borderId="0" xfId="0" applyFont="1" applyAlignment="1">
      <alignment horizontal="center" vertical="center" wrapText="1"/>
    </xf>
    <xf numFmtId="43" fontId="0" fillId="0" borderId="0" xfId="3" applyFont="1"/>
    <xf numFmtId="9" fontId="0" fillId="0" borderId="0" xfId="3" applyNumberFormat="1" applyFont="1"/>
    <xf numFmtId="166" fontId="0" fillId="0" borderId="0" xfId="0" applyNumberFormat="1"/>
    <xf numFmtId="43" fontId="0" fillId="0" borderId="0" xfId="1" applyNumberFormat="1" applyFont="1"/>
    <xf numFmtId="171" fontId="0" fillId="0" borderId="0" xfId="1" applyNumberFormat="1" applyFont="1"/>
    <xf numFmtId="40" fontId="0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7ED8-D770-4B7A-AE5D-6220AED0BE5C}">
  <dimension ref="B1:O27"/>
  <sheetViews>
    <sheetView zoomScale="115" zoomScaleNormal="115" workbookViewId="0">
      <selection activeCell="K22" sqref="K22"/>
    </sheetView>
  </sheetViews>
  <sheetFormatPr defaultRowHeight="14.4" x14ac:dyDescent="0.3"/>
  <cols>
    <col min="1" max="1" width="1.5546875" customWidth="1"/>
    <col min="2" max="2" width="7.44140625" bestFit="1" customWidth="1"/>
    <col min="3" max="3" width="17.6640625" bestFit="1" customWidth="1"/>
    <col min="4" max="4" width="17.88671875" customWidth="1"/>
    <col min="5" max="5" width="16.5546875" customWidth="1"/>
    <col min="6" max="6" width="15.21875" bestFit="1" customWidth="1"/>
    <col min="7" max="7" width="15.21875" customWidth="1"/>
    <col min="8" max="8" width="1.77734375" customWidth="1"/>
    <col min="9" max="9" width="7.44140625" bestFit="1" customWidth="1"/>
    <col min="10" max="10" width="12.77734375" bestFit="1" customWidth="1"/>
    <col min="11" max="11" width="16.5546875" bestFit="1" customWidth="1"/>
    <col min="12" max="12" width="13.5546875" bestFit="1" customWidth="1"/>
    <col min="13" max="13" width="14.44140625" customWidth="1"/>
    <col min="14" max="14" width="14.21875" customWidth="1"/>
  </cols>
  <sheetData>
    <row r="1" spans="2:15" x14ac:dyDescent="0.3">
      <c r="C1" s="1" t="s">
        <v>0</v>
      </c>
      <c r="J1" s="1" t="s">
        <v>1</v>
      </c>
      <c r="M1" t="s">
        <v>2</v>
      </c>
      <c r="N1" s="2">
        <v>0.15</v>
      </c>
      <c r="O1" t="s">
        <v>3</v>
      </c>
    </row>
    <row r="2" spans="2:15" x14ac:dyDescent="0.3">
      <c r="C2" t="s">
        <v>4</v>
      </c>
      <c r="D2" s="3">
        <v>5</v>
      </c>
      <c r="E2" t="s">
        <v>5</v>
      </c>
      <c r="J2" t="s">
        <v>4</v>
      </c>
      <c r="K2" s="3">
        <v>4</v>
      </c>
      <c r="L2" t="s">
        <v>5</v>
      </c>
    </row>
    <row r="3" spans="2:15" x14ac:dyDescent="0.3">
      <c r="C3" t="s">
        <v>6</v>
      </c>
      <c r="D3" s="4">
        <v>1000000</v>
      </c>
      <c r="E3" s="5"/>
      <c r="J3" t="s">
        <v>6</v>
      </c>
      <c r="K3" s="4">
        <v>800000</v>
      </c>
    </row>
    <row r="4" spans="2:15" x14ac:dyDescent="0.3">
      <c r="C4" t="s">
        <v>7</v>
      </c>
      <c r="D4" s="4">
        <v>10000000</v>
      </c>
      <c r="E4" s="5"/>
      <c r="J4" t="s">
        <v>7</v>
      </c>
      <c r="K4" s="4">
        <v>8000000</v>
      </c>
    </row>
    <row r="5" spans="2:15" x14ac:dyDescent="0.3">
      <c r="C5" t="s">
        <v>8</v>
      </c>
      <c r="D5" s="2">
        <v>0.2</v>
      </c>
      <c r="E5" s="6"/>
      <c r="J5" t="s">
        <v>8</v>
      </c>
      <c r="K5" s="2">
        <v>0.2</v>
      </c>
    </row>
    <row r="6" spans="2:15" x14ac:dyDescent="0.3">
      <c r="C6" t="s">
        <v>9</v>
      </c>
      <c r="D6" s="7">
        <f>IRR(D9:D14,25%)</f>
        <v>0.28649290249767589</v>
      </c>
      <c r="F6" s="8"/>
      <c r="G6" s="8"/>
      <c r="H6" s="8"/>
      <c r="J6" t="s">
        <v>9</v>
      </c>
      <c r="K6" s="7">
        <f>IRR(K9:K14,25%)</f>
        <v>0.34903445656115561</v>
      </c>
    </row>
    <row r="8" spans="2:15" s="10" customFormat="1" ht="28.8" x14ac:dyDescent="0.3">
      <c r="B8" s="9" t="s">
        <v>10</v>
      </c>
      <c r="C8" s="9" t="s">
        <v>8</v>
      </c>
      <c r="D8" s="9" t="s">
        <v>11</v>
      </c>
      <c r="E8" s="9" t="s">
        <v>12</v>
      </c>
      <c r="F8" s="9" t="s">
        <v>13</v>
      </c>
      <c r="G8" s="9" t="s">
        <v>14</v>
      </c>
      <c r="I8" s="9" t="s">
        <v>10</v>
      </c>
      <c r="J8" s="9" t="s">
        <v>8</v>
      </c>
      <c r="K8" s="9" t="s">
        <v>11</v>
      </c>
      <c r="L8" s="9" t="s">
        <v>12</v>
      </c>
      <c r="M8" s="9" t="s">
        <v>13</v>
      </c>
      <c r="N8" s="9" t="s">
        <v>14</v>
      </c>
    </row>
    <row r="9" spans="2:15" x14ac:dyDescent="0.3">
      <c r="B9">
        <v>0</v>
      </c>
      <c r="D9" s="11">
        <f>-D3</f>
        <v>-1000000</v>
      </c>
      <c r="E9" s="11">
        <f t="shared" ref="E9:E14" si="0">D9/(1+$N$1)^B9</f>
        <v>-1000000</v>
      </c>
      <c r="F9" s="12">
        <f>D9</f>
        <v>-1000000</v>
      </c>
      <c r="G9" s="12">
        <f>D9/(1+$N$1)^B9</f>
        <v>-1000000</v>
      </c>
      <c r="I9">
        <v>0</v>
      </c>
      <c r="K9" s="11">
        <f>-K3</f>
        <v>-800000</v>
      </c>
      <c r="L9" s="11">
        <f>K9/(1+$N$1)^I9</f>
        <v>-800000</v>
      </c>
      <c r="M9" s="12">
        <f>K9</f>
        <v>-800000</v>
      </c>
      <c r="N9" s="12">
        <f>K9/(1+$N$1)^I9</f>
        <v>-800000</v>
      </c>
    </row>
    <row r="10" spans="2:15" x14ac:dyDescent="0.3">
      <c r="B10">
        <v>1</v>
      </c>
      <c r="C10" s="6">
        <f>$D$5</f>
        <v>0.2</v>
      </c>
      <c r="D10" s="11">
        <f>C10*$D$4/$D$2</f>
        <v>400000</v>
      </c>
      <c r="E10" s="11">
        <f t="shared" si="0"/>
        <v>347826.08695652179</v>
      </c>
      <c r="F10" s="12">
        <f>D10+F9</f>
        <v>-600000</v>
      </c>
      <c r="G10" s="12">
        <f>D10/(1+$N$1)^B10+G9</f>
        <v>-652173.91304347827</v>
      </c>
      <c r="I10">
        <v>1</v>
      </c>
      <c r="J10" s="6">
        <f>$K$5</f>
        <v>0.2</v>
      </c>
      <c r="K10" s="11">
        <f>J10*$K$4/$K$2</f>
        <v>400000</v>
      </c>
      <c r="L10" s="11">
        <f>K10/(1+$N$1)^I10</f>
        <v>347826.08695652179</v>
      </c>
      <c r="M10" s="12">
        <f>K10+M9</f>
        <v>-400000</v>
      </c>
      <c r="N10" s="12">
        <f>K10/(1+$N$1)^I10+N9</f>
        <v>-452173.91304347821</v>
      </c>
    </row>
    <row r="11" spans="2:15" x14ac:dyDescent="0.3">
      <c r="B11">
        <v>2</v>
      </c>
      <c r="C11" s="6">
        <f>$D$5</f>
        <v>0.2</v>
      </c>
      <c r="D11" s="11">
        <f t="shared" ref="D11:D14" si="1">C11*$D$4/$D$2</f>
        <v>400000</v>
      </c>
      <c r="E11" s="11">
        <f t="shared" si="0"/>
        <v>302457.46691871458</v>
      </c>
      <c r="F11" s="12">
        <f t="shared" ref="F11:F14" si="2">D11+F10</f>
        <v>-200000</v>
      </c>
      <c r="G11" s="12">
        <f>D11/(1+$N$1)^B11+G10</f>
        <v>-349716.44612476369</v>
      </c>
      <c r="I11">
        <v>2</v>
      </c>
      <c r="J11" s="6">
        <f>$K$5</f>
        <v>0.2</v>
      </c>
      <c r="K11" s="11">
        <f t="shared" ref="K11:K13" si="3">J11*$K$4/$K$2</f>
        <v>400000</v>
      </c>
      <c r="L11" s="11">
        <f>K11/(1+$N$1)^I11</f>
        <v>302457.46691871458</v>
      </c>
      <c r="M11" s="12">
        <f>K11+M10</f>
        <v>0</v>
      </c>
      <c r="N11" s="12">
        <f>K11/(1+$N$1)^I11+N10</f>
        <v>-149716.44612476364</v>
      </c>
    </row>
    <row r="12" spans="2:15" x14ac:dyDescent="0.3">
      <c r="B12">
        <v>3</v>
      </c>
      <c r="C12" s="6">
        <f>$D$5</f>
        <v>0.2</v>
      </c>
      <c r="D12" s="11">
        <f t="shared" si="1"/>
        <v>400000</v>
      </c>
      <c r="E12" s="11">
        <f t="shared" si="0"/>
        <v>263006.49297279533</v>
      </c>
      <c r="F12" s="12">
        <f t="shared" si="2"/>
        <v>200000</v>
      </c>
      <c r="G12" s="12">
        <f>D12/(1+$N$1)^B12+G11</f>
        <v>-86709.953151968366</v>
      </c>
      <c r="I12">
        <v>3</v>
      </c>
      <c r="J12" s="6">
        <f>$K$5</f>
        <v>0.2</v>
      </c>
      <c r="K12" s="11">
        <f t="shared" si="3"/>
        <v>400000</v>
      </c>
      <c r="L12" s="11">
        <f>K12/(1+$N$1)^I12</f>
        <v>263006.49297279533</v>
      </c>
      <c r="M12" s="12">
        <f>K12+M11</f>
        <v>400000</v>
      </c>
      <c r="N12" s="12">
        <f>K12/(1+$N$1)^I12+N11</f>
        <v>113290.04684803169</v>
      </c>
    </row>
    <row r="13" spans="2:15" x14ac:dyDescent="0.3">
      <c r="B13">
        <v>4</v>
      </c>
      <c r="C13" s="6">
        <f>$D$5</f>
        <v>0.2</v>
      </c>
      <c r="D13" s="11">
        <f t="shared" si="1"/>
        <v>400000</v>
      </c>
      <c r="E13" s="11">
        <f t="shared" si="0"/>
        <v>228701.29823721334</v>
      </c>
      <c r="F13" s="12">
        <f t="shared" si="2"/>
        <v>600000</v>
      </c>
      <c r="G13" s="12">
        <f>D13/(1+$N$1)^B13+G12</f>
        <v>141991.34508524498</v>
      </c>
      <c r="I13">
        <v>4</v>
      </c>
      <c r="J13" s="6">
        <f>$K$5</f>
        <v>0.2</v>
      </c>
      <c r="K13" s="11">
        <f t="shared" si="3"/>
        <v>400000</v>
      </c>
      <c r="L13" s="11">
        <f>K13/(1+$N$1)^I13</f>
        <v>228701.29823721334</v>
      </c>
      <c r="M13" s="12">
        <f>K13+M12</f>
        <v>800000</v>
      </c>
      <c r="N13" s="12">
        <f>K13/(1+$N$1)^I13+N12</f>
        <v>341991.34508524503</v>
      </c>
    </row>
    <row r="14" spans="2:15" x14ac:dyDescent="0.3">
      <c r="B14">
        <v>5</v>
      </c>
      <c r="C14" s="6">
        <f>$D$5</f>
        <v>0.2</v>
      </c>
      <c r="D14" s="11">
        <f t="shared" si="1"/>
        <v>400000</v>
      </c>
      <c r="E14" s="11">
        <f t="shared" si="0"/>
        <v>198870.69411931594</v>
      </c>
      <c r="F14" s="12">
        <f t="shared" si="2"/>
        <v>1000000</v>
      </c>
      <c r="G14" s="12">
        <f>D14/(1+$N$1)^B14+G13</f>
        <v>340862.03920456092</v>
      </c>
      <c r="J14" s="6"/>
      <c r="K14" s="11"/>
      <c r="L14" s="11"/>
      <c r="M14" s="12"/>
    </row>
    <row r="15" spans="2:15" x14ac:dyDescent="0.3">
      <c r="G15" s="12"/>
      <c r="J15" s="13"/>
    </row>
    <row r="16" spans="2:15" x14ac:dyDescent="0.3">
      <c r="D16" s="14">
        <f>D10/D17</f>
        <v>1340862.0392045605</v>
      </c>
      <c r="E16" s="14"/>
      <c r="K16" s="14">
        <f>K10/K17</f>
        <v>1141991.3450852446</v>
      </c>
    </row>
    <row r="17" spans="3:14" x14ac:dyDescent="0.3">
      <c r="C17" t="s">
        <v>15</v>
      </c>
      <c r="D17" s="8">
        <f>$N$1*(1+$N$1)^D2/((1+$N$1)^D2-1)</f>
        <v>0.29831555246152841</v>
      </c>
      <c r="E17" s="8"/>
      <c r="J17" t="s">
        <v>16</v>
      </c>
      <c r="K17" s="8">
        <f>$N$1*(1+$N$1)^K2/((1+$N$1)^K2-1)</f>
        <v>0.35026535159085798</v>
      </c>
    </row>
    <row r="18" spans="3:14" x14ac:dyDescent="0.3">
      <c r="C18" t="s">
        <v>17</v>
      </c>
      <c r="D18" s="11">
        <f>D9+D10/D17</f>
        <v>340862.03920456045</v>
      </c>
      <c r="E18" s="11">
        <f>D9+NPV(N1,D10:D14)</f>
        <v>340862.03920456115</v>
      </c>
      <c r="J18" t="s">
        <v>17</v>
      </c>
      <c r="K18" s="11">
        <f>K9+K10/K17</f>
        <v>341991.34508524463</v>
      </c>
      <c r="L18" s="11">
        <f>K9+NPV(N1,K10:K14)</f>
        <v>341991.34508524509</v>
      </c>
    </row>
    <row r="19" spans="3:14" x14ac:dyDescent="0.3">
      <c r="E19" s="11"/>
      <c r="F19" s="12"/>
      <c r="G19" s="12"/>
      <c r="H19" s="12"/>
      <c r="J19" s="12"/>
    </row>
    <row r="20" spans="3:14" x14ac:dyDescent="0.3">
      <c r="C20" s="1" t="s">
        <v>18</v>
      </c>
      <c r="D20" s="15">
        <f>D18/D3</f>
        <v>0.34086203920456043</v>
      </c>
      <c r="E20" s="15"/>
      <c r="F20" s="1" t="s">
        <v>19</v>
      </c>
      <c r="J20" s="1" t="s">
        <v>20</v>
      </c>
      <c r="K20" s="15">
        <f>K18/K3</f>
        <v>0.42748918135655578</v>
      </c>
      <c r="L20" s="15"/>
      <c r="M20" s="1" t="s">
        <v>19</v>
      </c>
    </row>
    <row r="21" spans="3:14" x14ac:dyDescent="0.3">
      <c r="C21" s="1" t="s">
        <v>8</v>
      </c>
      <c r="D21" s="16">
        <f>SUM(D10:D14)/D4</f>
        <v>0.2</v>
      </c>
      <c r="E21" s="16"/>
      <c r="F21" s="1" t="s">
        <v>21</v>
      </c>
      <c r="G21" s="17">
        <f>-D9/D10</f>
        <v>2.5</v>
      </c>
      <c r="J21" s="1" t="s">
        <v>8</v>
      </c>
      <c r="K21" s="16">
        <f>SUM(K10:K14)/K4</f>
        <v>0.2</v>
      </c>
      <c r="M21" s="1" t="s">
        <v>21</v>
      </c>
      <c r="N21" s="17">
        <f>-K9/K10</f>
        <v>2</v>
      </c>
    </row>
    <row r="22" spans="3:14" x14ac:dyDescent="0.3">
      <c r="C22" s="1" t="s">
        <v>22</v>
      </c>
      <c r="D22" s="15">
        <f>(D21*D4/D3)^(1/D2)-1</f>
        <v>0.1486983549970351</v>
      </c>
      <c r="E22" t="s">
        <v>3</v>
      </c>
      <c r="F22" s="1" t="s">
        <v>23</v>
      </c>
      <c r="J22" s="1" t="s">
        <v>22</v>
      </c>
      <c r="K22" s="15">
        <f>(K21*K4/K3)^(1/K2)-1</f>
        <v>0.18920711500272103</v>
      </c>
      <c r="L22" t="s">
        <v>3</v>
      </c>
      <c r="M22" s="1" t="s">
        <v>23</v>
      </c>
    </row>
    <row r="23" spans="3:14" x14ac:dyDescent="0.3">
      <c r="D23" s="7">
        <f>_xlfn.RRI(D2,D3,D5*D4)</f>
        <v>0.1486983549970351</v>
      </c>
      <c r="E23" t="s">
        <v>3</v>
      </c>
      <c r="K23" s="7">
        <f>_xlfn.RRI(K2,K3,K5*K4)</f>
        <v>0.18920711500272103</v>
      </c>
      <c r="L23" t="s">
        <v>3</v>
      </c>
    </row>
    <row r="24" spans="3:14" x14ac:dyDescent="0.3">
      <c r="D24" s="7"/>
      <c r="E24" s="17"/>
      <c r="K24" s="7"/>
    </row>
    <row r="25" spans="3:14" x14ac:dyDescent="0.3">
      <c r="C25" s="1"/>
      <c r="J25" s="1"/>
    </row>
    <row r="27" spans="3:14" x14ac:dyDescent="0.3">
      <c r="C27" t="s">
        <v>24</v>
      </c>
      <c r="D27" t="s">
        <v>25</v>
      </c>
      <c r="J27" t="s">
        <v>24</v>
      </c>
      <c r="K2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C0A7-5FD8-407F-B616-DADED3A38F46}">
  <dimension ref="B1:O26"/>
  <sheetViews>
    <sheetView zoomScale="115" zoomScaleNormal="115" workbookViewId="0">
      <selection activeCell="K21" sqref="K21"/>
    </sheetView>
  </sheetViews>
  <sheetFormatPr defaultRowHeight="14.4" x14ac:dyDescent="0.3"/>
  <cols>
    <col min="1" max="1" width="1.6640625" customWidth="1"/>
    <col min="2" max="2" width="7.44140625" bestFit="1" customWidth="1"/>
    <col min="3" max="3" width="12.77734375" bestFit="1" customWidth="1"/>
    <col min="4" max="4" width="17.5546875" customWidth="1"/>
    <col min="5" max="5" width="16.5546875" customWidth="1"/>
    <col min="6" max="6" width="15.21875" bestFit="1" customWidth="1"/>
    <col min="7" max="7" width="14.88671875" customWidth="1"/>
    <col min="8" max="8" width="2.109375" customWidth="1"/>
    <col min="9" max="9" width="7.44140625" bestFit="1" customWidth="1"/>
    <col min="10" max="10" width="16" bestFit="1" customWidth="1"/>
    <col min="11" max="11" width="18.88671875" customWidth="1"/>
    <col min="12" max="12" width="13.5546875" bestFit="1" customWidth="1"/>
    <col min="13" max="13" width="14.44140625" customWidth="1"/>
    <col min="14" max="14" width="14.21875" customWidth="1"/>
  </cols>
  <sheetData>
    <row r="1" spans="2:15" x14ac:dyDescent="0.3">
      <c r="C1" s="1" t="s">
        <v>0</v>
      </c>
      <c r="J1" s="1" t="s">
        <v>1</v>
      </c>
      <c r="M1" s="1" t="s">
        <v>2</v>
      </c>
      <c r="N1" s="2">
        <v>0.15</v>
      </c>
      <c r="O1" t="s">
        <v>3</v>
      </c>
    </row>
    <row r="2" spans="2:15" x14ac:dyDescent="0.3">
      <c r="C2" t="s">
        <v>4</v>
      </c>
      <c r="D2" s="3">
        <v>5</v>
      </c>
      <c r="E2" t="s">
        <v>5</v>
      </c>
      <c r="J2" t="s">
        <v>4</v>
      </c>
      <c r="K2" s="3">
        <v>5</v>
      </c>
      <c r="L2" t="s">
        <v>5</v>
      </c>
    </row>
    <row r="3" spans="2:15" x14ac:dyDescent="0.3">
      <c r="C3" t="s">
        <v>6</v>
      </c>
      <c r="D3" s="4">
        <v>1000000</v>
      </c>
      <c r="E3" s="5"/>
      <c r="J3" t="s">
        <v>6</v>
      </c>
      <c r="K3" s="4">
        <v>800000</v>
      </c>
    </row>
    <row r="4" spans="2:15" x14ac:dyDescent="0.3">
      <c r="C4" t="s">
        <v>7</v>
      </c>
      <c r="D4" s="4">
        <v>10000000</v>
      </c>
      <c r="E4" s="5"/>
      <c r="J4" t="s">
        <v>7</v>
      </c>
      <c r="K4" s="4">
        <v>8000000</v>
      </c>
    </row>
    <row r="5" spans="2:15" x14ac:dyDescent="0.3">
      <c r="C5" t="s">
        <v>8</v>
      </c>
      <c r="D5" s="2">
        <v>0.2</v>
      </c>
      <c r="E5" s="6"/>
      <c r="J5" t="s">
        <v>8</v>
      </c>
      <c r="K5" s="2">
        <v>0.2</v>
      </c>
    </row>
    <row r="6" spans="2:15" x14ac:dyDescent="0.3">
      <c r="C6" t="s">
        <v>9</v>
      </c>
      <c r="D6" s="7">
        <f>IRR(D9:D14,25%)</f>
        <v>0.28649290249767589</v>
      </c>
      <c r="E6" s="7"/>
      <c r="F6" s="8"/>
      <c r="G6" s="8"/>
      <c r="H6" s="8"/>
      <c r="J6" t="s">
        <v>9</v>
      </c>
      <c r="K6" s="7">
        <f>IRR(K9:K14,25%)</f>
        <v>0.28649290249767589</v>
      </c>
    </row>
    <row r="8" spans="2:15" s="10" customFormat="1" ht="28.8" x14ac:dyDescent="0.3">
      <c r="B8" s="9" t="s">
        <v>10</v>
      </c>
      <c r="C8" s="9" t="s">
        <v>8</v>
      </c>
      <c r="D8" s="9" t="s">
        <v>11</v>
      </c>
      <c r="E8" s="9" t="s">
        <v>12</v>
      </c>
      <c r="F8" s="9" t="s">
        <v>13</v>
      </c>
      <c r="G8" s="9" t="s">
        <v>14</v>
      </c>
      <c r="I8" s="9" t="s">
        <v>10</v>
      </c>
      <c r="J8" s="9" t="s">
        <v>8</v>
      </c>
      <c r="K8" s="9" t="s">
        <v>11</v>
      </c>
      <c r="L8" s="9" t="s">
        <v>12</v>
      </c>
      <c r="M8" s="9" t="s">
        <v>13</v>
      </c>
      <c r="N8" s="9" t="s">
        <v>14</v>
      </c>
    </row>
    <row r="9" spans="2:15" x14ac:dyDescent="0.3">
      <c r="B9">
        <v>0</v>
      </c>
      <c r="D9" s="11">
        <f>-D3</f>
        <v>-1000000</v>
      </c>
      <c r="E9" s="11">
        <f t="shared" ref="E9:E14" si="0">D9/(1+$N$1)^B9</f>
        <v>-1000000</v>
      </c>
      <c r="F9" s="12">
        <f>D9</f>
        <v>-1000000</v>
      </c>
      <c r="G9" s="12">
        <f>D9/(1+$N$1)^B9</f>
        <v>-1000000</v>
      </c>
      <c r="I9">
        <v>0</v>
      </c>
      <c r="K9" s="11">
        <f>-K3</f>
        <v>-800000</v>
      </c>
      <c r="L9" s="11">
        <f t="shared" ref="L9:L14" si="1">K9/(1+$N$1)^I9</f>
        <v>-800000</v>
      </c>
      <c r="M9" s="12">
        <f>K9</f>
        <v>-800000</v>
      </c>
      <c r="N9" s="12">
        <f>K9/(1+$N$1)^I9</f>
        <v>-800000</v>
      </c>
    </row>
    <row r="10" spans="2:15" x14ac:dyDescent="0.3">
      <c r="B10">
        <v>1</v>
      </c>
      <c r="C10" s="6">
        <f>$D$5</f>
        <v>0.2</v>
      </c>
      <c r="D10" s="11">
        <f>$D$4/$D$2*C10</f>
        <v>400000</v>
      </c>
      <c r="E10" s="11">
        <f t="shared" si="0"/>
        <v>347826.08695652179</v>
      </c>
      <c r="F10" s="12">
        <f>D10+F9</f>
        <v>-600000</v>
      </c>
      <c r="G10" s="12">
        <f>D10/(1+$N$1)^B10+G9</f>
        <v>-652173.91304347827</v>
      </c>
      <c r="I10">
        <v>1</v>
      </c>
      <c r="J10" s="6">
        <f>$K$5</f>
        <v>0.2</v>
      </c>
      <c r="K10" s="11">
        <f>$K$4/$K$2*J10</f>
        <v>320000</v>
      </c>
      <c r="L10" s="11">
        <f t="shared" si="1"/>
        <v>278260.86956521741</v>
      </c>
      <c r="M10" s="12">
        <f>K10+M9</f>
        <v>-480000</v>
      </c>
      <c r="N10" s="12">
        <f>K10/(1+$N$1)^I10+N9</f>
        <v>-521739.13043478259</v>
      </c>
    </row>
    <row r="11" spans="2:15" x14ac:dyDescent="0.3">
      <c r="B11">
        <v>2</v>
      </c>
      <c r="C11" s="6">
        <f>$D$5</f>
        <v>0.2</v>
      </c>
      <c r="D11" s="11">
        <f>$D$4/$D$2*C11</f>
        <v>400000</v>
      </c>
      <c r="E11" s="11">
        <f t="shared" si="0"/>
        <v>302457.46691871458</v>
      </c>
      <c r="F11" s="12">
        <f t="shared" ref="F11:F14" si="2">D11+F10</f>
        <v>-200000</v>
      </c>
      <c r="G11" s="12">
        <f>D11/(1+$N$1)^B11+G10</f>
        <v>-349716.44612476369</v>
      </c>
      <c r="I11">
        <v>2</v>
      </c>
      <c r="J11" s="6">
        <f>$K$5</f>
        <v>0.2</v>
      </c>
      <c r="K11" s="11">
        <f>$K$4/$K$2*J11</f>
        <v>320000</v>
      </c>
      <c r="L11" s="11">
        <f t="shared" si="1"/>
        <v>241965.97353497168</v>
      </c>
      <c r="M11" s="12">
        <f>K11+M10</f>
        <v>-160000</v>
      </c>
      <c r="N11" s="12">
        <f>K11/(1+$N$1)^I11+N10</f>
        <v>-279773.15689981089</v>
      </c>
    </row>
    <row r="12" spans="2:15" x14ac:dyDescent="0.3">
      <c r="B12">
        <v>3</v>
      </c>
      <c r="C12" s="6">
        <f>$D$5</f>
        <v>0.2</v>
      </c>
      <c r="D12" s="11">
        <f>$D$4/$D$2*C12</f>
        <v>400000</v>
      </c>
      <c r="E12" s="11">
        <f t="shared" si="0"/>
        <v>263006.49297279533</v>
      </c>
      <c r="F12" s="12">
        <f t="shared" si="2"/>
        <v>200000</v>
      </c>
      <c r="G12" s="12">
        <f>D12/(1+$N$1)^B12+G11</f>
        <v>-86709.953151968366</v>
      </c>
      <c r="I12">
        <v>3</v>
      </c>
      <c r="J12" s="6">
        <f>$K$5</f>
        <v>0.2</v>
      </c>
      <c r="K12" s="11">
        <f>$K$4/$K$2*J12</f>
        <v>320000</v>
      </c>
      <c r="L12" s="11">
        <f t="shared" si="1"/>
        <v>210405.19437823628</v>
      </c>
      <c r="M12" s="12">
        <f>K12+M11</f>
        <v>160000</v>
      </c>
      <c r="N12" s="12">
        <f>K12/(1+$N$1)^I12+N11</f>
        <v>-69367.962521574605</v>
      </c>
    </row>
    <row r="13" spans="2:15" x14ac:dyDescent="0.3">
      <c r="B13">
        <v>4</v>
      </c>
      <c r="C13" s="6">
        <f>$D$5</f>
        <v>0.2</v>
      </c>
      <c r="D13" s="11">
        <f>$D$4/$D$2*C13</f>
        <v>400000</v>
      </c>
      <c r="E13" s="11">
        <f t="shared" si="0"/>
        <v>228701.29823721334</v>
      </c>
      <c r="F13" s="12">
        <f t="shared" si="2"/>
        <v>600000</v>
      </c>
      <c r="G13" s="12">
        <f>D13/(1+$N$1)^B13+G12</f>
        <v>141991.34508524498</v>
      </c>
      <c r="I13">
        <v>4</v>
      </c>
      <c r="J13" s="6">
        <f>$K$5</f>
        <v>0.2</v>
      </c>
      <c r="K13" s="11">
        <f>$K$4/$K$2*J13</f>
        <v>320000</v>
      </c>
      <c r="L13" s="11">
        <f t="shared" si="1"/>
        <v>182961.03858977067</v>
      </c>
      <c r="M13" s="12">
        <f>K13+M12</f>
        <v>480000</v>
      </c>
      <c r="N13" s="12">
        <f>K13/(1+$N$1)^I13+N12</f>
        <v>113593.07606819607</v>
      </c>
    </row>
    <row r="14" spans="2:15" x14ac:dyDescent="0.3">
      <c r="B14">
        <v>5</v>
      </c>
      <c r="C14" s="6">
        <f>$D$5</f>
        <v>0.2</v>
      </c>
      <c r="D14" s="11">
        <f>$D$4/$D$2*C14</f>
        <v>400000</v>
      </c>
      <c r="E14" s="11">
        <f t="shared" si="0"/>
        <v>198870.69411931594</v>
      </c>
      <c r="F14" s="12">
        <f t="shared" si="2"/>
        <v>1000000</v>
      </c>
      <c r="G14" s="12">
        <f>D14/(1+$N$1)^B14+G13</f>
        <v>340862.03920456092</v>
      </c>
      <c r="I14">
        <v>5</v>
      </c>
      <c r="J14" s="6">
        <f>$K$5</f>
        <v>0.2</v>
      </c>
      <c r="K14" s="11">
        <f>$K$4/$K$2*J14</f>
        <v>320000</v>
      </c>
      <c r="L14" s="11">
        <f t="shared" si="1"/>
        <v>159096.55529545277</v>
      </c>
      <c r="M14" s="12">
        <f>K14+M13</f>
        <v>800000</v>
      </c>
      <c r="N14" s="12">
        <f>K14/(1+$N$1)^I14+N13</f>
        <v>272689.6313636488</v>
      </c>
    </row>
    <row r="15" spans="2:15" x14ac:dyDescent="0.3">
      <c r="G15" s="12"/>
      <c r="J15" s="13"/>
    </row>
    <row r="16" spans="2:15" x14ac:dyDescent="0.3">
      <c r="D16" s="14">
        <f>D10/D17</f>
        <v>1340862.0392045605</v>
      </c>
      <c r="E16" s="14"/>
      <c r="K16" s="14">
        <f>K10/K17</f>
        <v>1072689.6313636482</v>
      </c>
    </row>
    <row r="17" spans="3:14" x14ac:dyDescent="0.3">
      <c r="C17" t="s">
        <v>15</v>
      </c>
      <c r="D17" s="8">
        <f>$N$1*(1+$N$1)^D2/((1+$N$1)^D2-1)</f>
        <v>0.29831555246152841</v>
      </c>
      <c r="E17" s="8"/>
      <c r="J17" t="s">
        <v>16</v>
      </c>
      <c r="K17" s="8">
        <f>$N$1*(1+$N$1)^K2/((1+$N$1)^K2-1)</f>
        <v>0.29831555246152841</v>
      </c>
    </row>
    <row r="18" spans="3:14" x14ac:dyDescent="0.3">
      <c r="C18" t="s">
        <v>17</v>
      </c>
      <c r="D18" s="11">
        <f>D9+D10/D17</f>
        <v>340862.03920456045</v>
      </c>
      <c r="E18" s="11"/>
      <c r="J18" t="s">
        <v>17</v>
      </c>
      <c r="K18" s="11">
        <f>K9+K10/K17</f>
        <v>272689.63136364822</v>
      </c>
    </row>
    <row r="19" spans="3:14" x14ac:dyDescent="0.3">
      <c r="D19" s="11">
        <f>D9+NPV(N1,D10:D14)</f>
        <v>340862.03920456115</v>
      </c>
      <c r="E19" s="11"/>
      <c r="F19" s="12"/>
      <c r="G19" s="12"/>
      <c r="H19" s="12"/>
      <c r="J19" s="12"/>
      <c r="K19" s="11">
        <f>K9+NPV(N1,K10:K14)</f>
        <v>272689.63136364869</v>
      </c>
    </row>
    <row r="21" spans="3:14" x14ac:dyDescent="0.3">
      <c r="C21" s="1" t="s">
        <v>20</v>
      </c>
      <c r="D21" s="15">
        <f>D18/D3</f>
        <v>0.34086203920456043</v>
      </c>
      <c r="E21" s="15">
        <f>D21/D2</f>
        <v>6.817240784091208E-2</v>
      </c>
      <c r="F21" s="1" t="s">
        <v>19</v>
      </c>
      <c r="J21" s="1" t="s">
        <v>20</v>
      </c>
      <c r="K21" s="15">
        <f>K18/K3</f>
        <v>0.34086203920456026</v>
      </c>
      <c r="L21" s="15">
        <f>K21/K2</f>
        <v>6.8172407840912053E-2</v>
      </c>
      <c r="M21" s="1" t="s">
        <v>19</v>
      </c>
    </row>
    <row r="22" spans="3:14" x14ac:dyDescent="0.3">
      <c r="C22" s="1" t="s">
        <v>8</v>
      </c>
      <c r="D22" s="16">
        <f>SUM(D10:D14)/D4</f>
        <v>0.2</v>
      </c>
      <c r="E22" s="16"/>
      <c r="F22" s="1" t="s">
        <v>21</v>
      </c>
      <c r="G22" s="17">
        <f>-D9/D10</f>
        <v>2.5</v>
      </c>
      <c r="J22" s="1" t="s">
        <v>8</v>
      </c>
      <c r="K22" s="16">
        <f>SUM(K10:K14)/K4</f>
        <v>0.2</v>
      </c>
      <c r="M22" s="1" t="s">
        <v>21</v>
      </c>
      <c r="N22" s="17">
        <f>-K9/K10</f>
        <v>2.5</v>
      </c>
    </row>
    <row r="23" spans="3:14" x14ac:dyDescent="0.3">
      <c r="C23" s="1" t="s">
        <v>22</v>
      </c>
      <c r="D23" s="15">
        <f>_xlfn.RRI(D2,D3,D5*D4)</f>
        <v>0.1486983549970351</v>
      </c>
      <c r="E23" t="s">
        <v>3</v>
      </c>
      <c r="J23" s="1" t="s">
        <v>22</v>
      </c>
      <c r="K23" s="15">
        <f>_xlfn.RRI(K2,K3,K5*K4)</f>
        <v>0.1486983549970351</v>
      </c>
      <c r="L23" t="s">
        <v>3</v>
      </c>
    </row>
    <row r="25" spans="3:14" x14ac:dyDescent="0.3">
      <c r="E25" s="17"/>
    </row>
    <row r="26" spans="3:14" x14ac:dyDescent="0.3">
      <c r="C26" s="1"/>
      <c r="J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0C2D-FD6B-4F9A-917F-0669E9444594}">
  <dimension ref="A1:U27"/>
  <sheetViews>
    <sheetView tabSelected="1" workbookViewId="0">
      <selection activeCell="B17" sqref="B17"/>
    </sheetView>
  </sheetViews>
  <sheetFormatPr defaultRowHeight="14.4" x14ac:dyDescent="0.3"/>
  <cols>
    <col min="2" max="2" width="14.21875" bestFit="1" customWidth="1"/>
    <col min="3" max="3" width="4.109375" bestFit="1" customWidth="1"/>
    <col min="4" max="4" width="4.109375" customWidth="1"/>
    <col min="9" max="9" width="13.109375" style="30" bestFit="1" customWidth="1"/>
    <col min="10" max="10" width="14.109375" style="30" bestFit="1" customWidth="1"/>
    <col min="11" max="11" width="11.44140625" style="30" bestFit="1" customWidth="1"/>
    <col min="12" max="13" width="13.109375" style="30" bestFit="1" customWidth="1"/>
    <col min="14" max="14" width="7.77734375" bestFit="1" customWidth="1"/>
    <col min="15" max="15" width="14.109375" bestFit="1" customWidth="1"/>
    <col min="16" max="16" width="9.44140625" bestFit="1" customWidth="1"/>
    <col min="17" max="17" width="9.44140625" customWidth="1"/>
    <col min="18" max="18" width="13.109375" bestFit="1" customWidth="1"/>
    <col min="19" max="19" width="14.109375" bestFit="1" customWidth="1"/>
  </cols>
  <sheetData>
    <row r="1" spans="1:21" x14ac:dyDescent="0.3">
      <c r="E1" t="s">
        <v>91</v>
      </c>
      <c r="F1" t="s">
        <v>90</v>
      </c>
      <c r="H1" t="s">
        <v>10</v>
      </c>
      <c r="I1" s="30" t="s">
        <v>84</v>
      </c>
      <c r="J1" s="30" t="s">
        <v>85</v>
      </c>
      <c r="K1" s="30" t="s">
        <v>88</v>
      </c>
      <c r="L1" s="30" t="s">
        <v>89</v>
      </c>
      <c r="M1" s="30" t="s">
        <v>48</v>
      </c>
      <c r="N1" s="30" t="s">
        <v>95</v>
      </c>
      <c r="O1" s="30" t="s">
        <v>94</v>
      </c>
    </row>
    <row r="2" spans="1:21" x14ac:dyDescent="0.3">
      <c r="F2">
        <v>0</v>
      </c>
      <c r="G2">
        <v>0</v>
      </c>
      <c r="H2">
        <v>0</v>
      </c>
      <c r="I2" s="41">
        <v>0</v>
      </c>
      <c r="J2" s="30">
        <f>G2*$B$4*$B$6/$G$27</f>
        <v>0</v>
      </c>
      <c r="K2" s="30">
        <f>-J2*$B$10</f>
        <v>0</v>
      </c>
      <c r="L2" s="30">
        <f>-$B$11*J2</f>
        <v>0</v>
      </c>
      <c r="M2" s="30">
        <f>SUM(I2:L2)</f>
        <v>0</v>
      </c>
      <c r="N2" s="8">
        <f>1/(1+$B$15)^H2</f>
        <v>1</v>
      </c>
      <c r="O2" s="30">
        <f>M2*N2</f>
        <v>0</v>
      </c>
      <c r="P2" s="36"/>
      <c r="Q2" s="37"/>
      <c r="R2" s="36"/>
      <c r="S2" s="36"/>
      <c r="T2" s="6"/>
      <c r="U2" s="6"/>
    </row>
    <row r="3" spans="1:21" x14ac:dyDescent="0.3">
      <c r="E3">
        <v>2</v>
      </c>
      <c r="F3">
        <v>1</v>
      </c>
      <c r="G3">
        <v>0</v>
      </c>
      <c r="H3">
        <v>1</v>
      </c>
      <c r="I3" s="41">
        <f>-E3*$B$5*$B$6/100*(1+$B$7)</f>
        <v>-92000</v>
      </c>
      <c r="J3" s="30">
        <f t="shared" ref="J3:J26" si="0">G3*$B$4*$B$6/$G$27</f>
        <v>0</v>
      </c>
      <c r="K3" s="30">
        <f t="shared" ref="K3:K26" si="1">-J3*$B$10</f>
        <v>0</v>
      </c>
      <c r="L3" s="30">
        <f t="shared" ref="L3:L26" si="2">-$B$11*J3</f>
        <v>0</v>
      </c>
      <c r="M3" s="30">
        <f t="shared" ref="M3:M26" si="3">SUM(I3:L3)</f>
        <v>-92000</v>
      </c>
      <c r="N3" s="8">
        <f t="shared" ref="N3:N26" si="4">1/(1+$B$15)^H3</f>
        <v>0.98424047170976681</v>
      </c>
      <c r="O3" s="30">
        <f t="shared" ref="O3:O26" si="5">M3*N3</f>
        <v>-90550.12339729855</v>
      </c>
    </row>
    <row r="4" spans="1:21" x14ac:dyDescent="0.3">
      <c r="A4" t="s">
        <v>83</v>
      </c>
      <c r="B4" s="39">
        <v>10000</v>
      </c>
      <c r="E4">
        <v>2</v>
      </c>
      <c r="F4">
        <v>2</v>
      </c>
      <c r="G4">
        <v>0</v>
      </c>
      <c r="H4">
        <v>2</v>
      </c>
      <c r="I4" s="41">
        <f t="shared" ref="I4:I26" si="6">-E4*$B$5*$B$6/100*(1+$B$7)</f>
        <v>-92000</v>
      </c>
      <c r="J4" s="30">
        <f t="shared" si="0"/>
        <v>0</v>
      </c>
      <c r="K4" s="30">
        <f t="shared" si="1"/>
        <v>0</v>
      </c>
      <c r="L4" s="30">
        <f t="shared" si="2"/>
        <v>0</v>
      </c>
      <c r="M4" s="30">
        <f t="shared" si="3"/>
        <v>-92000</v>
      </c>
      <c r="N4" s="8">
        <f t="shared" si="4"/>
        <v>0.96872930615146424</v>
      </c>
      <c r="O4" s="30">
        <f t="shared" si="5"/>
        <v>-89123.096165934709</v>
      </c>
    </row>
    <row r="5" spans="1:21" x14ac:dyDescent="0.3">
      <c r="A5" t="s">
        <v>81</v>
      </c>
      <c r="B5" s="39">
        <v>4000</v>
      </c>
      <c r="E5">
        <v>3</v>
      </c>
      <c r="F5">
        <v>3</v>
      </c>
      <c r="G5">
        <v>0</v>
      </c>
      <c r="H5">
        <v>3</v>
      </c>
      <c r="I5" s="41">
        <f t="shared" si="6"/>
        <v>-138000</v>
      </c>
      <c r="J5" s="30">
        <f t="shared" si="0"/>
        <v>0</v>
      </c>
      <c r="K5" s="30">
        <f t="shared" si="1"/>
        <v>0</v>
      </c>
      <c r="L5" s="30">
        <f t="shared" si="2"/>
        <v>0</v>
      </c>
      <c r="M5" s="30">
        <f t="shared" si="3"/>
        <v>-138000</v>
      </c>
      <c r="N5" s="8">
        <f t="shared" si="4"/>
        <v>0.95346258924559224</v>
      </c>
      <c r="O5" s="30">
        <f t="shared" si="5"/>
        <v>-131577.83731589172</v>
      </c>
    </row>
    <row r="6" spans="1:21" x14ac:dyDescent="0.3">
      <c r="A6" t="s">
        <v>82</v>
      </c>
      <c r="B6" s="39">
        <v>1000</v>
      </c>
      <c r="E6">
        <v>4</v>
      </c>
      <c r="F6">
        <v>4</v>
      </c>
      <c r="G6">
        <v>0</v>
      </c>
      <c r="H6">
        <v>4</v>
      </c>
      <c r="I6" s="41">
        <f t="shared" si="6"/>
        <v>-184000</v>
      </c>
      <c r="J6" s="30">
        <f t="shared" si="0"/>
        <v>0</v>
      </c>
      <c r="K6" s="30">
        <f t="shared" si="1"/>
        <v>0</v>
      </c>
      <c r="L6" s="30">
        <f t="shared" si="2"/>
        <v>0</v>
      </c>
      <c r="M6" s="30">
        <f t="shared" si="3"/>
        <v>-184000</v>
      </c>
      <c r="N6" s="8">
        <f t="shared" si="4"/>
        <v>0.93843646859669727</v>
      </c>
      <c r="O6" s="30">
        <f t="shared" si="5"/>
        <v>-172672.31022179229</v>
      </c>
      <c r="P6" s="21"/>
      <c r="Q6" s="21"/>
      <c r="R6" s="21"/>
    </row>
    <row r="7" spans="1:21" x14ac:dyDescent="0.3">
      <c r="A7" t="s">
        <v>86</v>
      </c>
      <c r="B7" s="16">
        <v>0.15</v>
      </c>
      <c r="E7">
        <v>4</v>
      </c>
      <c r="F7">
        <v>5</v>
      </c>
      <c r="G7">
        <v>0</v>
      </c>
      <c r="H7">
        <v>5</v>
      </c>
      <c r="I7" s="41">
        <f t="shared" si="6"/>
        <v>-184000</v>
      </c>
      <c r="J7" s="30">
        <f t="shared" si="0"/>
        <v>0</v>
      </c>
      <c r="K7" s="30">
        <f t="shared" si="1"/>
        <v>0</v>
      </c>
      <c r="L7" s="30">
        <f t="shared" si="2"/>
        <v>0</v>
      </c>
      <c r="M7" s="30">
        <f t="shared" si="3"/>
        <v>-184000</v>
      </c>
      <c r="N7" s="8">
        <f t="shared" si="4"/>
        <v>0.92364715252126095</v>
      </c>
      <c r="O7" s="30">
        <f t="shared" si="5"/>
        <v>-169951.07606391201</v>
      </c>
    </row>
    <row r="8" spans="1:21" x14ac:dyDescent="0.3">
      <c r="A8" t="s">
        <v>87</v>
      </c>
      <c r="B8" s="40">
        <v>6399979.9999999991</v>
      </c>
      <c r="E8">
        <v>8</v>
      </c>
      <c r="F8">
        <v>6</v>
      </c>
      <c r="G8">
        <v>0</v>
      </c>
      <c r="H8">
        <v>6</v>
      </c>
      <c r="I8" s="41">
        <f t="shared" si="6"/>
        <v>-368000</v>
      </c>
      <c r="J8" s="30">
        <f t="shared" si="0"/>
        <v>0</v>
      </c>
      <c r="K8" s="30">
        <f t="shared" si="1"/>
        <v>0</v>
      </c>
      <c r="L8" s="30">
        <f t="shared" si="2"/>
        <v>0</v>
      </c>
      <c r="M8" s="30">
        <f t="shared" si="3"/>
        <v>-368000</v>
      </c>
      <c r="N8" s="8">
        <f t="shared" si="4"/>
        <v>0.90909090909090884</v>
      </c>
      <c r="O8" s="30">
        <f t="shared" si="5"/>
        <v>-334545.45454545447</v>
      </c>
    </row>
    <row r="9" spans="1:21" x14ac:dyDescent="0.3">
      <c r="A9" t="s">
        <v>7</v>
      </c>
      <c r="B9" s="40">
        <f>B4*B6</f>
        <v>10000000</v>
      </c>
      <c r="E9">
        <v>8</v>
      </c>
      <c r="F9">
        <v>7</v>
      </c>
      <c r="G9">
        <v>1</v>
      </c>
      <c r="H9">
        <v>7</v>
      </c>
      <c r="I9" s="41">
        <f t="shared" si="6"/>
        <v>-368000</v>
      </c>
      <c r="J9" s="30">
        <f t="shared" si="0"/>
        <v>277777.77777777775</v>
      </c>
      <c r="K9" s="30">
        <f t="shared" si="1"/>
        <v>-16666.666666666664</v>
      </c>
      <c r="L9" s="30">
        <f t="shared" si="2"/>
        <v>-55555.555555555555</v>
      </c>
      <c r="M9" s="30">
        <f t="shared" si="3"/>
        <v>-162444.44444444447</v>
      </c>
      <c r="N9" s="8">
        <f t="shared" si="4"/>
        <v>0.89476406519069684</v>
      </c>
      <c r="O9" s="30">
        <f t="shared" si="5"/>
        <v>-145349.45147875545</v>
      </c>
    </row>
    <row r="10" spans="1:21" x14ac:dyDescent="0.3">
      <c r="A10" t="s">
        <v>88</v>
      </c>
      <c r="B10" s="16">
        <v>0.06</v>
      </c>
      <c r="E10">
        <v>8</v>
      </c>
      <c r="F10">
        <v>8</v>
      </c>
      <c r="G10">
        <v>1</v>
      </c>
      <c r="H10">
        <v>8</v>
      </c>
      <c r="I10" s="41">
        <f t="shared" si="6"/>
        <v>-368000</v>
      </c>
      <c r="J10" s="30">
        <f t="shared" si="0"/>
        <v>277777.77777777775</v>
      </c>
      <c r="K10" s="30">
        <f t="shared" si="1"/>
        <v>-16666.666666666664</v>
      </c>
      <c r="L10" s="30">
        <f t="shared" si="2"/>
        <v>-55555.555555555555</v>
      </c>
      <c r="M10" s="30">
        <f t="shared" si="3"/>
        <v>-162444.44444444447</v>
      </c>
      <c r="N10" s="8">
        <f t="shared" si="4"/>
        <v>0.88066300559223987</v>
      </c>
      <c r="O10" s="30">
        <f t="shared" si="5"/>
        <v>-143058.8126862061</v>
      </c>
    </row>
    <row r="11" spans="1:21" x14ac:dyDescent="0.3">
      <c r="A11" t="s">
        <v>89</v>
      </c>
      <c r="B11" s="16">
        <v>0.2</v>
      </c>
      <c r="E11">
        <v>8</v>
      </c>
      <c r="F11">
        <v>9</v>
      </c>
      <c r="G11">
        <v>1</v>
      </c>
      <c r="H11">
        <v>9</v>
      </c>
      <c r="I11" s="41">
        <f t="shared" si="6"/>
        <v>-368000</v>
      </c>
      <c r="J11" s="30">
        <f t="shared" si="0"/>
        <v>277777.77777777775</v>
      </c>
      <c r="K11" s="30">
        <f t="shared" si="1"/>
        <v>-16666.666666666664</v>
      </c>
      <c r="L11" s="30">
        <f t="shared" si="2"/>
        <v>-55555.555555555555</v>
      </c>
      <c r="M11" s="30">
        <f t="shared" si="3"/>
        <v>-162444.44444444447</v>
      </c>
      <c r="N11" s="8">
        <f t="shared" si="4"/>
        <v>0.86678417204144709</v>
      </c>
      <c r="O11" s="30">
        <f t="shared" si="5"/>
        <v>-140804.27328051065</v>
      </c>
    </row>
    <row r="12" spans="1:21" x14ac:dyDescent="0.3">
      <c r="A12" t="s">
        <v>92</v>
      </c>
      <c r="B12" s="38">
        <v>0.1</v>
      </c>
      <c r="C12" t="s">
        <v>3</v>
      </c>
      <c r="E12">
        <v>9</v>
      </c>
      <c r="F12">
        <v>10</v>
      </c>
      <c r="G12">
        <v>1</v>
      </c>
      <c r="H12">
        <v>10</v>
      </c>
      <c r="I12" s="41">
        <f t="shared" si="6"/>
        <v>-413999.99999999994</v>
      </c>
      <c r="J12" s="30">
        <f t="shared" si="0"/>
        <v>277777.77777777775</v>
      </c>
      <c r="K12" s="30">
        <f t="shared" si="1"/>
        <v>-16666.666666666664</v>
      </c>
      <c r="L12" s="30">
        <f t="shared" si="2"/>
        <v>-55555.555555555555</v>
      </c>
      <c r="M12" s="30">
        <f t="shared" si="3"/>
        <v>-208444.44444444441</v>
      </c>
      <c r="N12" s="8">
        <f t="shared" si="4"/>
        <v>0.85312406236063365</v>
      </c>
      <c r="O12" s="30">
        <f t="shared" si="5"/>
        <v>-177828.97122094984</v>
      </c>
    </row>
    <row r="13" spans="1:21" x14ac:dyDescent="0.3">
      <c r="A13" t="s">
        <v>93</v>
      </c>
      <c r="B13" s="38">
        <v>0.1</v>
      </c>
      <c r="C13" t="s">
        <v>3</v>
      </c>
      <c r="E13">
        <v>9</v>
      </c>
      <c r="F13">
        <v>11</v>
      </c>
      <c r="G13">
        <v>1</v>
      </c>
      <c r="H13">
        <v>11</v>
      </c>
      <c r="I13" s="41">
        <f t="shared" si="6"/>
        <v>-413999.99999999994</v>
      </c>
      <c r="J13" s="30">
        <f t="shared" si="0"/>
        <v>277777.77777777775</v>
      </c>
      <c r="K13" s="30">
        <f t="shared" si="1"/>
        <v>-16666.666666666664</v>
      </c>
      <c r="L13" s="30">
        <f t="shared" si="2"/>
        <v>-55555.555555555555</v>
      </c>
      <c r="M13" s="30">
        <f t="shared" si="3"/>
        <v>-208444.44444444441</v>
      </c>
      <c r="N13" s="8">
        <f t="shared" si="4"/>
        <v>0.83967922956478247</v>
      </c>
      <c r="O13" s="30">
        <f t="shared" si="5"/>
        <v>-175026.47051817019</v>
      </c>
    </row>
    <row r="14" spans="1:21" x14ac:dyDescent="0.3">
      <c r="A14" t="s">
        <v>2</v>
      </c>
      <c r="B14" s="38">
        <f>(1+B12)*(1+B13)-1</f>
        <v>0.21000000000000019</v>
      </c>
      <c r="C14" t="s">
        <v>3</v>
      </c>
      <c r="E14">
        <v>9</v>
      </c>
      <c r="F14">
        <v>12</v>
      </c>
      <c r="G14">
        <v>1</v>
      </c>
      <c r="H14">
        <v>12</v>
      </c>
      <c r="I14" s="41">
        <f t="shared" si="6"/>
        <v>-413999.99999999994</v>
      </c>
      <c r="J14" s="30">
        <f t="shared" si="0"/>
        <v>277777.77777777775</v>
      </c>
      <c r="K14" s="30">
        <f t="shared" si="1"/>
        <v>-16666.666666666664</v>
      </c>
      <c r="L14" s="30">
        <f t="shared" si="2"/>
        <v>-55555.555555555555</v>
      </c>
      <c r="M14" s="30">
        <f t="shared" si="3"/>
        <v>-208444.44444444441</v>
      </c>
      <c r="N14" s="8">
        <f t="shared" si="4"/>
        <v>0.82644628099173501</v>
      </c>
      <c r="O14" s="30">
        <f t="shared" si="5"/>
        <v>-172268.13590449939</v>
      </c>
    </row>
    <row r="15" spans="1:21" x14ac:dyDescent="0.3">
      <c r="A15" t="s">
        <v>2</v>
      </c>
      <c r="B15" s="15">
        <f>(1+B14)^(1/12)-1</f>
        <v>1.6011867773387367E-2</v>
      </c>
      <c r="C15" t="s">
        <v>3</v>
      </c>
      <c r="E15">
        <v>8</v>
      </c>
      <c r="F15">
        <v>13</v>
      </c>
      <c r="G15">
        <v>2</v>
      </c>
      <c r="H15">
        <v>13</v>
      </c>
      <c r="I15" s="41">
        <f t="shared" si="6"/>
        <v>-368000</v>
      </c>
      <c r="J15" s="30">
        <f t="shared" si="0"/>
        <v>555555.5555555555</v>
      </c>
      <c r="K15" s="30">
        <f t="shared" si="1"/>
        <v>-33333.333333333328</v>
      </c>
      <c r="L15" s="30">
        <f t="shared" si="2"/>
        <v>-111111.11111111111</v>
      </c>
      <c r="M15" s="30">
        <f t="shared" si="3"/>
        <v>43111.11111111108</v>
      </c>
      <c r="N15" s="8">
        <f t="shared" si="4"/>
        <v>0.81342187744608774</v>
      </c>
      <c r="O15" s="30">
        <f t="shared" si="5"/>
        <v>35067.520938786867</v>
      </c>
    </row>
    <row r="16" spans="1:21" x14ac:dyDescent="0.3">
      <c r="E16">
        <v>6</v>
      </c>
      <c r="F16">
        <v>14</v>
      </c>
      <c r="G16">
        <v>2</v>
      </c>
      <c r="H16">
        <v>14</v>
      </c>
      <c r="I16" s="41">
        <f t="shared" si="6"/>
        <v>-276000</v>
      </c>
      <c r="J16" s="30">
        <f t="shared" si="0"/>
        <v>555555.5555555555</v>
      </c>
      <c r="K16" s="30">
        <f t="shared" si="1"/>
        <v>-33333.333333333328</v>
      </c>
      <c r="L16" s="30">
        <f t="shared" si="2"/>
        <v>-111111.11111111111</v>
      </c>
      <c r="M16" s="30">
        <f t="shared" si="3"/>
        <v>135111.11111111107</v>
      </c>
      <c r="N16" s="8">
        <f t="shared" si="4"/>
        <v>0.80060273235658153</v>
      </c>
      <c r="O16" s="30">
        <f t="shared" si="5"/>
        <v>108170.3247272892</v>
      </c>
    </row>
    <row r="17" spans="1:15" x14ac:dyDescent="0.3">
      <c r="A17" t="s">
        <v>96</v>
      </c>
      <c r="B17" s="12">
        <f>NPV(B15,M3:M26)</f>
        <v>1667165.2327760328</v>
      </c>
      <c r="E17">
        <v>6</v>
      </c>
      <c r="F17">
        <v>15</v>
      </c>
      <c r="G17">
        <v>2</v>
      </c>
      <c r="H17">
        <v>15</v>
      </c>
      <c r="I17" s="41">
        <f t="shared" si="6"/>
        <v>-276000</v>
      </c>
      <c r="J17" s="30">
        <f t="shared" si="0"/>
        <v>555555.5555555555</v>
      </c>
      <c r="K17" s="30">
        <f t="shared" si="1"/>
        <v>-33333.333333333328</v>
      </c>
      <c r="L17" s="30">
        <f t="shared" si="2"/>
        <v>-111111.11111111111</v>
      </c>
      <c r="M17" s="30">
        <f t="shared" si="3"/>
        <v>135111.11111111107</v>
      </c>
      <c r="N17" s="8">
        <f t="shared" si="4"/>
        <v>0.78798561094677</v>
      </c>
      <c r="O17" s="30">
        <f t="shared" si="5"/>
        <v>106465.61143458578</v>
      </c>
    </row>
    <row r="18" spans="1:15" x14ac:dyDescent="0.3">
      <c r="E18">
        <v>3</v>
      </c>
      <c r="F18">
        <v>16</v>
      </c>
      <c r="G18">
        <v>2</v>
      </c>
      <c r="H18">
        <v>16</v>
      </c>
      <c r="I18" s="41">
        <f t="shared" si="6"/>
        <v>-138000</v>
      </c>
      <c r="J18" s="30">
        <f t="shared" si="0"/>
        <v>555555.5555555555</v>
      </c>
      <c r="K18" s="30">
        <f t="shared" si="1"/>
        <v>-33333.333333333328</v>
      </c>
      <c r="L18" s="30">
        <f t="shared" si="2"/>
        <v>-111111.11111111111</v>
      </c>
      <c r="M18" s="30">
        <f t="shared" si="3"/>
        <v>273111.11111111107</v>
      </c>
      <c r="N18" s="8">
        <f t="shared" si="4"/>
        <v>0.7755673294187575</v>
      </c>
      <c r="O18" s="30">
        <f t="shared" si="5"/>
        <v>211816.05507903395</v>
      </c>
    </row>
    <row r="19" spans="1:15" x14ac:dyDescent="0.3">
      <c r="E19">
        <v>2</v>
      </c>
      <c r="F19">
        <v>17</v>
      </c>
      <c r="G19">
        <v>2</v>
      </c>
      <c r="H19">
        <v>17</v>
      </c>
      <c r="I19" s="41">
        <f t="shared" si="6"/>
        <v>-92000</v>
      </c>
      <c r="J19" s="30">
        <f t="shared" si="0"/>
        <v>555555.5555555555</v>
      </c>
      <c r="K19" s="30">
        <f t="shared" si="1"/>
        <v>-33333.333333333328</v>
      </c>
      <c r="L19" s="30">
        <f t="shared" si="2"/>
        <v>-111111.11111111111</v>
      </c>
      <c r="M19" s="30">
        <f t="shared" si="3"/>
        <v>319111.11111111107</v>
      </c>
      <c r="N19" s="8">
        <f t="shared" si="4"/>
        <v>0.76334475414980196</v>
      </c>
      <c r="O19" s="30">
        <f t="shared" si="5"/>
        <v>243591.79265758122</v>
      </c>
    </row>
    <row r="20" spans="1:15" x14ac:dyDescent="0.3">
      <c r="E20">
        <v>1</v>
      </c>
      <c r="F20">
        <v>18</v>
      </c>
      <c r="G20">
        <v>2</v>
      </c>
      <c r="H20">
        <v>18</v>
      </c>
      <c r="I20" s="41">
        <f t="shared" si="6"/>
        <v>-46000</v>
      </c>
      <c r="J20" s="30">
        <f t="shared" si="0"/>
        <v>555555.5555555555</v>
      </c>
      <c r="K20" s="30">
        <f t="shared" si="1"/>
        <v>-33333.333333333328</v>
      </c>
      <c r="L20" s="30">
        <f t="shared" si="2"/>
        <v>-111111.11111111111</v>
      </c>
      <c r="M20" s="30">
        <f t="shared" si="3"/>
        <v>365111.11111111107</v>
      </c>
      <c r="N20" s="8">
        <f t="shared" si="4"/>
        <v>0.75131480090157698</v>
      </c>
      <c r="O20" s="30">
        <f t="shared" si="5"/>
        <v>274313.38175139797</v>
      </c>
    </row>
    <row r="21" spans="1:15" x14ac:dyDescent="0.3">
      <c r="E21">
        <v>0</v>
      </c>
      <c r="F21">
        <v>19</v>
      </c>
      <c r="G21">
        <v>3</v>
      </c>
      <c r="H21">
        <v>19</v>
      </c>
      <c r="I21" s="41">
        <f t="shared" si="6"/>
        <v>0</v>
      </c>
      <c r="J21" s="30">
        <f t="shared" si="0"/>
        <v>833333.33333333337</v>
      </c>
      <c r="K21" s="30">
        <f t="shared" si="1"/>
        <v>-50000</v>
      </c>
      <c r="L21" s="30">
        <f t="shared" si="2"/>
        <v>-166666.66666666669</v>
      </c>
      <c r="M21" s="30">
        <f t="shared" si="3"/>
        <v>616666.66666666674</v>
      </c>
      <c r="N21" s="8">
        <f t="shared" si="4"/>
        <v>0.73947443404189772</v>
      </c>
      <c r="O21" s="30">
        <f t="shared" si="5"/>
        <v>456009.23432583699</v>
      </c>
    </row>
    <row r="22" spans="1:15" x14ac:dyDescent="0.3">
      <c r="E22">
        <v>0</v>
      </c>
      <c r="F22">
        <v>20</v>
      </c>
      <c r="G22">
        <v>3</v>
      </c>
      <c r="H22">
        <v>20</v>
      </c>
      <c r="I22" s="41">
        <f t="shared" si="6"/>
        <v>0</v>
      </c>
      <c r="J22" s="30">
        <f t="shared" si="0"/>
        <v>833333.33333333337</v>
      </c>
      <c r="K22" s="30">
        <f t="shared" si="1"/>
        <v>-50000</v>
      </c>
      <c r="L22" s="30">
        <f t="shared" si="2"/>
        <v>-166666.66666666669</v>
      </c>
      <c r="M22" s="30">
        <f t="shared" si="3"/>
        <v>616666.66666666674</v>
      </c>
      <c r="N22" s="8">
        <f t="shared" si="4"/>
        <v>0.72782066577871019</v>
      </c>
      <c r="O22" s="30">
        <f t="shared" si="5"/>
        <v>448822.74389687134</v>
      </c>
    </row>
    <row r="23" spans="1:15" x14ac:dyDescent="0.3">
      <c r="E23">
        <v>0</v>
      </c>
      <c r="F23">
        <v>21</v>
      </c>
      <c r="G23">
        <v>3</v>
      </c>
      <c r="H23">
        <v>21</v>
      </c>
      <c r="I23" s="41">
        <f t="shared" si="6"/>
        <v>0</v>
      </c>
      <c r="J23" s="30">
        <f t="shared" si="0"/>
        <v>833333.33333333337</v>
      </c>
      <c r="K23" s="30">
        <f t="shared" si="1"/>
        <v>-50000</v>
      </c>
      <c r="L23" s="30">
        <f t="shared" si="2"/>
        <v>-166666.66666666669</v>
      </c>
      <c r="M23" s="30">
        <f t="shared" si="3"/>
        <v>616666.66666666674</v>
      </c>
      <c r="N23" s="8">
        <f t="shared" si="4"/>
        <v>0.71635055540615422</v>
      </c>
      <c r="O23" s="30">
        <f t="shared" si="5"/>
        <v>441749.50916712848</v>
      </c>
    </row>
    <row r="24" spans="1:15" x14ac:dyDescent="0.3">
      <c r="E24">
        <v>0</v>
      </c>
      <c r="F24">
        <v>22</v>
      </c>
      <c r="G24">
        <v>3</v>
      </c>
      <c r="H24">
        <v>22</v>
      </c>
      <c r="I24" s="41">
        <f t="shared" si="6"/>
        <v>0</v>
      </c>
      <c r="J24" s="30">
        <f t="shared" si="0"/>
        <v>833333.33333333337</v>
      </c>
      <c r="K24" s="30">
        <f t="shared" si="1"/>
        <v>-50000</v>
      </c>
      <c r="L24" s="30">
        <f t="shared" si="2"/>
        <v>-166666.66666666669</v>
      </c>
      <c r="M24" s="30">
        <f t="shared" si="3"/>
        <v>616666.66666666674</v>
      </c>
      <c r="N24" s="8">
        <f t="shared" si="4"/>
        <v>0.70506120856250654</v>
      </c>
      <c r="O24" s="30">
        <f t="shared" si="5"/>
        <v>434787.74528021243</v>
      </c>
    </row>
    <row r="25" spans="1:15" x14ac:dyDescent="0.3">
      <c r="E25">
        <v>0</v>
      </c>
      <c r="F25">
        <v>23</v>
      </c>
      <c r="G25">
        <v>3</v>
      </c>
      <c r="H25">
        <v>23</v>
      </c>
      <c r="I25" s="41">
        <f t="shared" si="6"/>
        <v>0</v>
      </c>
      <c r="J25" s="30">
        <f t="shared" si="0"/>
        <v>833333.33333333337</v>
      </c>
      <c r="K25" s="30">
        <f t="shared" si="1"/>
        <v>-50000</v>
      </c>
      <c r="L25" s="30">
        <f t="shared" si="2"/>
        <v>-166666.66666666669</v>
      </c>
      <c r="M25" s="30">
        <f t="shared" si="3"/>
        <v>616666.66666666674</v>
      </c>
      <c r="N25" s="8">
        <f t="shared" si="4"/>
        <v>0.69394977649981981</v>
      </c>
      <c r="O25" s="30">
        <f t="shared" si="5"/>
        <v>427935.69550822227</v>
      </c>
    </row>
    <row r="26" spans="1:15" x14ac:dyDescent="0.3">
      <c r="E26">
        <v>0</v>
      </c>
      <c r="F26">
        <v>24</v>
      </c>
      <c r="G26">
        <v>3</v>
      </c>
      <c r="H26">
        <v>24</v>
      </c>
      <c r="I26" s="41">
        <f t="shared" si="6"/>
        <v>0</v>
      </c>
      <c r="J26" s="30">
        <f t="shared" si="0"/>
        <v>833333.33333333337</v>
      </c>
      <c r="K26" s="30">
        <f t="shared" si="1"/>
        <v>-50000</v>
      </c>
      <c r="L26" s="30">
        <f t="shared" si="2"/>
        <v>-166666.66666666669</v>
      </c>
      <c r="M26" s="30">
        <f t="shared" si="3"/>
        <v>616666.66666666674</v>
      </c>
      <c r="N26" s="8">
        <f t="shared" si="4"/>
        <v>0.68301345536506974</v>
      </c>
      <c r="O26" s="30">
        <f t="shared" si="5"/>
        <v>421191.63080845971</v>
      </c>
    </row>
    <row r="27" spans="1:15" x14ac:dyDescent="0.3">
      <c r="G27" s="21">
        <f>SUM(G2:G26)</f>
        <v>36</v>
      </c>
      <c r="H27" s="21"/>
      <c r="I27" s="30">
        <f>SUM(I2:I26)</f>
        <v>-4600000</v>
      </c>
      <c r="J27" s="30">
        <f>SUM(J2:J26)</f>
        <v>10000000</v>
      </c>
      <c r="K27" s="30">
        <f t="shared" ref="K27:L27" si="7">SUM(K2:K26)</f>
        <v>-599999.99999999988</v>
      </c>
      <c r="L27" s="30">
        <f t="shared" si="7"/>
        <v>-2000000.0000000005</v>
      </c>
      <c r="O27" s="30">
        <f>SUM(O2:O26)</f>
        <v>1667165.2327760309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F262-A1DE-4876-B24F-96DC76524122}">
  <dimension ref="A1:U34"/>
  <sheetViews>
    <sheetView topLeftCell="A4" workbookViewId="0">
      <selection activeCell="Q41" sqref="Q41"/>
    </sheetView>
  </sheetViews>
  <sheetFormatPr defaultRowHeight="14.4" x14ac:dyDescent="0.3"/>
  <cols>
    <col min="2" max="2" width="14" bestFit="1" customWidth="1"/>
    <col min="3" max="3" width="12.88671875" bestFit="1" customWidth="1"/>
    <col min="4" max="4" width="8.6640625" bestFit="1" customWidth="1"/>
    <col min="5" max="5" width="10.44140625" customWidth="1"/>
    <col min="6" max="6" width="13.77734375" customWidth="1"/>
    <col min="7" max="7" width="9.44140625" bestFit="1" customWidth="1"/>
    <col min="8" max="8" width="10.44140625" bestFit="1" customWidth="1"/>
    <col min="9" max="9" width="9.44140625" bestFit="1" customWidth="1"/>
    <col min="10" max="10" width="11.44140625" bestFit="1" customWidth="1"/>
    <col min="11" max="11" width="5.21875" bestFit="1" customWidth="1"/>
    <col min="12" max="12" width="10.44140625" bestFit="1" customWidth="1"/>
    <col min="13" max="13" width="6.109375" bestFit="1" customWidth="1"/>
    <col min="14" max="14" width="13.33203125" bestFit="1" customWidth="1"/>
    <col min="15" max="15" width="2.44140625" customWidth="1"/>
    <col min="16" max="16" width="2.6640625" customWidth="1"/>
    <col min="17" max="17" width="25" customWidth="1"/>
    <col min="18" max="18" width="12.88671875" bestFit="1" customWidth="1"/>
    <col min="19" max="19" width="7.109375" bestFit="1" customWidth="1"/>
    <col min="20" max="20" width="1.77734375" customWidth="1"/>
  </cols>
  <sheetData>
    <row r="1" spans="1:20" x14ac:dyDescent="0.3">
      <c r="A1" t="s">
        <v>27</v>
      </c>
      <c r="B1" s="18">
        <v>7.4999999999999997E-2</v>
      </c>
      <c r="C1" t="s">
        <v>28</v>
      </c>
      <c r="F1" t="s">
        <v>2</v>
      </c>
      <c r="G1" s="18">
        <v>0.08</v>
      </c>
      <c r="Q1" s="19" t="s">
        <v>29</v>
      </c>
      <c r="R1" s="20">
        <v>400000</v>
      </c>
      <c r="S1" t="s">
        <v>30</v>
      </c>
    </row>
    <row r="2" spans="1:20" x14ac:dyDescent="0.3">
      <c r="A2" t="s">
        <v>31</v>
      </c>
      <c r="B2" s="18">
        <v>2.5000000000000001E-2</v>
      </c>
      <c r="C2" t="s">
        <v>32</v>
      </c>
      <c r="Q2" s="19" t="s">
        <v>24</v>
      </c>
      <c r="R2" s="21">
        <f>B1*R1</f>
        <v>30000</v>
      </c>
      <c r="S2" t="s">
        <v>33</v>
      </c>
    </row>
    <row r="3" spans="1:20" x14ac:dyDescent="0.3">
      <c r="A3" t="s">
        <v>34</v>
      </c>
      <c r="B3" s="18">
        <v>0.06</v>
      </c>
      <c r="C3" t="s">
        <v>35</v>
      </c>
      <c r="Q3" s="19" t="s">
        <v>36</v>
      </c>
      <c r="R3" s="21">
        <f>S3*R2</f>
        <v>6000</v>
      </c>
      <c r="S3" s="2">
        <v>0.2</v>
      </c>
    </row>
    <row r="4" spans="1:20" x14ac:dyDescent="0.3">
      <c r="B4" s="7"/>
      <c r="Q4" s="19" t="s">
        <v>37</v>
      </c>
      <c r="R4" s="3">
        <v>24</v>
      </c>
      <c r="S4" t="s">
        <v>5</v>
      </c>
    </row>
    <row r="5" spans="1:20" s="22" customFormat="1" ht="28.8" customHeight="1" x14ac:dyDescent="0.3">
      <c r="A5" s="9" t="s">
        <v>38</v>
      </c>
      <c r="B5" s="9" t="s">
        <v>6</v>
      </c>
      <c r="C5" s="9" t="s">
        <v>39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45</v>
      </c>
      <c r="J5" s="35" t="s">
        <v>46</v>
      </c>
      <c r="K5" s="35"/>
      <c r="L5" s="35" t="s">
        <v>47</v>
      </c>
      <c r="M5" s="35"/>
      <c r="N5" s="35" t="s">
        <v>48</v>
      </c>
      <c r="Q5" s="23" t="s">
        <v>49</v>
      </c>
      <c r="R5" s="24">
        <f>G1-B2</f>
        <v>5.5E-2</v>
      </c>
    </row>
    <row r="6" spans="1:20" s="9" customFormat="1" x14ac:dyDescent="0.3">
      <c r="B6" s="9" t="s">
        <v>30</v>
      </c>
      <c r="C6" s="9" t="s">
        <v>30</v>
      </c>
      <c r="D6" s="9" t="s">
        <v>50</v>
      </c>
      <c r="E6" s="9" t="s">
        <v>30</v>
      </c>
      <c r="F6" s="9" t="s">
        <v>30</v>
      </c>
      <c r="G6" s="9" t="s">
        <v>30</v>
      </c>
      <c r="H6" s="25" t="s">
        <v>30</v>
      </c>
      <c r="I6" s="25" t="s">
        <v>30</v>
      </c>
      <c r="J6" s="25" t="s">
        <v>30</v>
      </c>
      <c r="K6" s="9" t="s">
        <v>50</v>
      </c>
      <c r="L6" s="9" t="s">
        <v>30</v>
      </c>
      <c r="M6" s="9" t="s">
        <v>50</v>
      </c>
      <c r="N6" s="35"/>
      <c r="Q6" s="23" t="s">
        <v>51</v>
      </c>
      <c r="R6" s="26">
        <f>R5*(1+R5)^R4/((1+R5)^R4-1)</f>
        <v>7.6035803709726069E-2</v>
      </c>
    </row>
    <row r="7" spans="1:20" ht="15.6" x14ac:dyDescent="0.35">
      <c r="A7">
        <v>0</v>
      </c>
      <c r="B7" s="21">
        <f>-R1</f>
        <v>-400000</v>
      </c>
      <c r="C7" s="13" t="s">
        <v>52</v>
      </c>
      <c r="D7" s="6" t="s">
        <v>52</v>
      </c>
      <c r="E7" s="13" t="s">
        <v>52</v>
      </c>
      <c r="L7" s="21"/>
      <c r="M7" s="21"/>
      <c r="N7" s="11">
        <f>B7</f>
        <v>-400000</v>
      </c>
      <c r="Q7" s="19" t="s">
        <v>53</v>
      </c>
      <c r="R7" s="11">
        <f>-R1+(R2-R3)/R6</f>
        <v>-84359.225140536553</v>
      </c>
      <c r="S7" s="27">
        <f>R7/R1</f>
        <v>-0.21089806285134138</v>
      </c>
      <c r="T7" t="s">
        <v>20</v>
      </c>
    </row>
    <row r="8" spans="1:20" x14ac:dyDescent="0.3">
      <c r="A8">
        <v>1</v>
      </c>
      <c r="C8" s="21">
        <f t="shared" ref="C8:C31" si="0">-$B$1*$B$7*(1+$B$2)^($A8-1)</f>
        <v>30000</v>
      </c>
      <c r="D8" s="6">
        <v>0.5</v>
      </c>
      <c r="E8" s="21">
        <f t="shared" ref="E8:E31" si="1">C8*(1-D8)</f>
        <v>15000</v>
      </c>
      <c r="F8" s="21">
        <f t="shared" ref="F8:F31" si="2">-E8*$B$3</f>
        <v>-900</v>
      </c>
      <c r="G8" s="21">
        <f>-C8/12</f>
        <v>-2500</v>
      </c>
      <c r="H8" s="21">
        <f>-25%*C8*(1+$B$2)^($A8-1)</f>
        <v>-7500</v>
      </c>
      <c r="I8" s="21">
        <f t="shared" ref="I8:I31" si="3">-5%*E8</f>
        <v>-750</v>
      </c>
      <c r="J8" s="21">
        <f t="shared" ref="J8:J31" si="4">F8+G8+H8+I8</f>
        <v>-11650</v>
      </c>
      <c r="K8" s="27">
        <f t="shared" ref="K8:K31" si="5">J8/C8</f>
        <v>-0.38833333333333331</v>
      </c>
      <c r="L8" s="21">
        <f t="shared" ref="L8:L31" si="6">C8+J8</f>
        <v>18350</v>
      </c>
      <c r="M8" s="16">
        <f t="shared" ref="M8:M31" si="7">L8/C8</f>
        <v>0.61166666666666669</v>
      </c>
      <c r="N8" s="11">
        <f t="shared" ref="N8:N31" si="8">L8</f>
        <v>18350</v>
      </c>
    </row>
    <row r="9" spans="1:20" x14ac:dyDescent="0.3">
      <c r="A9">
        <v>2</v>
      </c>
      <c r="C9" s="21">
        <f t="shared" si="0"/>
        <v>30749.999999999996</v>
      </c>
      <c r="D9" s="27">
        <v>0</v>
      </c>
      <c r="E9" s="21">
        <f t="shared" si="1"/>
        <v>30749.999999999996</v>
      </c>
      <c r="F9" s="21">
        <f t="shared" si="2"/>
        <v>-1844.9999999999998</v>
      </c>
      <c r="G9" s="21"/>
      <c r="H9" s="21"/>
      <c r="I9" s="21">
        <f t="shared" si="3"/>
        <v>-1537.5</v>
      </c>
      <c r="J9" s="21">
        <f t="shared" si="4"/>
        <v>-3382.5</v>
      </c>
      <c r="K9" s="27">
        <f t="shared" si="5"/>
        <v>-0.11000000000000001</v>
      </c>
      <c r="L9" s="21">
        <f t="shared" si="6"/>
        <v>27367.499999999996</v>
      </c>
      <c r="M9" s="16">
        <f t="shared" si="7"/>
        <v>0.89</v>
      </c>
      <c r="N9" s="11">
        <f t="shared" si="8"/>
        <v>27367.499999999996</v>
      </c>
      <c r="Q9" s="1" t="s">
        <v>54</v>
      </c>
    </row>
    <row r="10" spans="1:20" x14ac:dyDescent="0.3">
      <c r="A10">
        <v>3</v>
      </c>
      <c r="C10" s="21">
        <f t="shared" si="0"/>
        <v>31518.749999999996</v>
      </c>
      <c r="D10" s="27">
        <v>0</v>
      </c>
      <c r="E10" s="21">
        <f t="shared" si="1"/>
        <v>31518.749999999996</v>
      </c>
      <c r="F10" s="21">
        <f t="shared" si="2"/>
        <v>-1891.1249999999998</v>
      </c>
      <c r="G10" s="21"/>
      <c r="H10" s="21"/>
      <c r="I10" s="21">
        <f t="shared" si="3"/>
        <v>-1575.9375</v>
      </c>
      <c r="J10" s="21">
        <f t="shared" si="4"/>
        <v>-3467.0625</v>
      </c>
      <c r="K10" s="27">
        <f t="shared" si="5"/>
        <v>-0.11000000000000001</v>
      </c>
      <c r="L10" s="21">
        <f t="shared" si="6"/>
        <v>28051.687499999996</v>
      </c>
      <c r="M10" s="16">
        <f t="shared" si="7"/>
        <v>0.89</v>
      </c>
      <c r="N10" s="11">
        <f t="shared" si="8"/>
        <v>28051.687499999996</v>
      </c>
      <c r="Q10" s="1" t="s">
        <v>55</v>
      </c>
      <c r="R10">
        <f>R4</f>
        <v>24</v>
      </c>
      <c r="S10" t="s">
        <v>5</v>
      </c>
    </row>
    <row r="11" spans="1:20" x14ac:dyDescent="0.3">
      <c r="A11">
        <v>4</v>
      </c>
      <c r="C11" s="21">
        <f t="shared" si="0"/>
        <v>32306.718749999996</v>
      </c>
      <c r="D11" s="6">
        <v>0</v>
      </c>
      <c r="E11" s="21">
        <f t="shared" si="1"/>
        <v>32306.718749999996</v>
      </c>
      <c r="F11" s="21">
        <f t="shared" si="2"/>
        <v>-1938.4031249999998</v>
      </c>
      <c r="G11" s="21"/>
      <c r="H11" s="21"/>
      <c r="I11" s="21">
        <f t="shared" si="3"/>
        <v>-1615.3359375</v>
      </c>
      <c r="J11" s="21">
        <f t="shared" si="4"/>
        <v>-3553.7390624999998</v>
      </c>
      <c r="K11" s="27">
        <f t="shared" si="5"/>
        <v>-0.11</v>
      </c>
      <c r="L11" s="21">
        <f t="shared" si="6"/>
        <v>28752.979687499996</v>
      </c>
      <c r="M11" s="16">
        <f t="shared" si="7"/>
        <v>0.89</v>
      </c>
      <c r="N11" s="11">
        <f t="shared" si="8"/>
        <v>28752.979687499996</v>
      </c>
      <c r="Q11" s="1" t="s">
        <v>36</v>
      </c>
      <c r="R11" s="28">
        <v>-400000</v>
      </c>
    </row>
    <row r="12" spans="1:20" x14ac:dyDescent="0.3">
      <c r="A12">
        <v>5</v>
      </c>
      <c r="C12" s="21">
        <f t="shared" si="0"/>
        <v>33114.386718749993</v>
      </c>
      <c r="D12" s="6">
        <v>0.5</v>
      </c>
      <c r="E12" s="21">
        <f t="shared" si="1"/>
        <v>16557.193359374996</v>
      </c>
      <c r="F12" s="21">
        <f t="shared" si="2"/>
        <v>-993.43160156249974</v>
      </c>
      <c r="G12" s="21">
        <f>-C12/12</f>
        <v>-2759.5322265624995</v>
      </c>
      <c r="H12" s="21">
        <f>-25%*C12*(1+$B$2)^($A12-1)</f>
        <v>-9138.0217313243829</v>
      </c>
      <c r="I12" s="21">
        <f t="shared" si="3"/>
        <v>-827.85966796874982</v>
      </c>
      <c r="J12" s="21">
        <f t="shared" si="4"/>
        <v>-13718.845227418133</v>
      </c>
      <c r="K12" s="27">
        <f t="shared" si="5"/>
        <v>-0.4142865559895833</v>
      </c>
      <c r="L12" s="21">
        <f t="shared" si="6"/>
        <v>19395.54149133186</v>
      </c>
      <c r="M12" s="16">
        <f t="shared" si="7"/>
        <v>0.5857134440104167</v>
      </c>
      <c r="N12" s="11">
        <f t="shared" si="8"/>
        <v>19395.54149133186</v>
      </c>
      <c r="Q12" s="1" t="s">
        <v>56</v>
      </c>
      <c r="R12" s="28">
        <f>-B1*R11</f>
        <v>30000</v>
      </c>
      <c r="S12" t="s">
        <v>33</v>
      </c>
    </row>
    <row r="13" spans="1:20" x14ac:dyDescent="0.3">
      <c r="A13">
        <v>6</v>
      </c>
      <c r="C13" s="21">
        <f t="shared" si="0"/>
        <v>33942.24638671874</v>
      </c>
      <c r="D13" s="6">
        <v>0</v>
      </c>
      <c r="E13" s="21">
        <f t="shared" si="1"/>
        <v>33942.24638671874</v>
      </c>
      <c r="F13" s="21">
        <f t="shared" si="2"/>
        <v>-2036.5347832031243</v>
      </c>
      <c r="G13" s="21"/>
      <c r="H13" s="21"/>
      <c r="I13" s="21">
        <f t="shared" si="3"/>
        <v>-1697.1123193359372</v>
      </c>
      <c r="J13" s="21">
        <f t="shared" si="4"/>
        <v>-3733.6471025390615</v>
      </c>
      <c r="K13" s="27">
        <f t="shared" si="5"/>
        <v>-0.11</v>
      </c>
      <c r="L13" s="21">
        <f t="shared" si="6"/>
        <v>30208.59928417968</v>
      </c>
      <c r="M13" s="16">
        <f t="shared" si="7"/>
        <v>0.89</v>
      </c>
      <c r="N13" s="11">
        <f t="shared" si="8"/>
        <v>30208.59928417968</v>
      </c>
      <c r="Q13" s="1" t="s">
        <v>35</v>
      </c>
      <c r="R13" s="28">
        <f>-B3*R12</f>
        <v>-1800</v>
      </c>
      <c r="S13" t="s">
        <v>33</v>
      </c>
    </row>
    <row r="14" spans="1:20" x14ac:dyDescent="0.3">
      <c r="A14">
        <v>7</v>
      </c>
      <c r="C14" s="21">
        <f t="shared" si="0"/>
        <v>34790.802546386709</v>
      </c>
      <c r="D14" s="27">
        <v>0</v>
      </c>
      <c r="E14" s="21">
        <f t="shared" si="1"/>
        <v>34790.802546386709</v>
      </c>
      <c r="F14" s="21">
        <f t="shared" si="2"/>
        <v>-2087.4481527832027</v>
      </c>
      <c r="G14" s="21"/>
      <c r="H14" s="21"/>
      <c r="I14" s="21">
        <f t="shared" si="3"/>
        <v>-1739.5401273193356</v>
      </c>
      <c r="J14" s="21">
        <f t="shared" si="4"/>
        <v>-3826.9882801025383</v>
      </c>
      <c r="K14" s="27">
        <f t="shared" si="5"/>
        <v>-0.11000000000000001</v>
      </c>
      <c r="L14" s="21">
        <f t="shared" si="6"/>
        <v>30963.814266284171</v>
      </c>
      <c r="M14" s="16">
        <f t="shared" si="7"/>
        <v>0.89</v>
      </c>
      <c r="N14" s="11">
        <f t="shared" si="8"/>
        <v>30963.814266284171</v>
      </c>
      <c r="Q14" s="1" t="s">
        <v>40</v>
      </c>
      <c r="R14" s="28">
        <f>-R12/2</f>
        <v>-15000</v>
      </c>
    </row>
    <row r="15" spans="1:20" x14ac:dyDescent="0.3">
      <c r="A15">
        <v>8</v>
      </c>
      <c r="C15" s="21">
        <f t="shared" si="0"/>
        <v>35660.572610046373</v>
      </c>
      <c r="D15" s="27">
        <v>0</v>
      </c>
      <c r="E15" s="21">
        <f t="shared" si="1"/>
        <v>35660.572610046373</v>
      </c>
      <c r="F15" s="21">
        <f t="shared" si="2"/>
        <v>-2139.6343566027822</v>
      </c>
      <c r="G15" s="21"/>
      <c r="H15" s="21"/>
      <c r="I15" s="21">
        <f t="shared" si="3"/>
        <v>-1783.0286305023187</v>
      </c>
      <c r="J15" s="21">
        <f t="shared" si="4"/>
        <v>-3922.6629871051009</v>
      </c>
      <c r="K15" s="27">
        <f t="shared" si="5"/>
        <v>-0.11</v>
      </c>
      <c r="L15" s="21">
        <f t="shared" si="6"/>
        <v>31737.909622941272</v>
      </c>
      <c r="M15" s="16">
        <f t="shared" si="7"/>
        <v>0.89</v>
      </c>
      <c r="N15" s="11">
        <f t="shared" si="8"/>
        <v>31737.909622941272</v>
      </c>
      <c r="Q15" s="1" t="s">
        <v>57</v>
      </c>
      <c r="R15" s="28">
        <f>-R12/12</f>
        <v>-2500</v>
      </c>
      <c r="S15" s="29" t="s">
        <v>58</v>
      </c>
    </row>
    <row r="16" spans="1:20" x14ac:dyDescent="0.3">
      <c r="A16">
        <v>9</v>
      </c>
      <c r="C16" s="21">
        <f t="shared" si="0"/>
        <v>36552.086925297532</v>
      </c>
      <c r="D16" s="6">
        <v>0</v>
      </c>
      <c r="E16" s="21">
        <f t="shared" si="1"/>
        <v>36552.086925297532</v>
      </c>
      <c r="F16" s="21">
        <f t="shared" si="2"/>
        <v>-2193.1252155178518</v>
      </c>
      <c r="G16" s="21"/>
      <c r="H16" s="21"/>
      <c r="I16" s="21">
        <f t="shared" si="3"/>
        <v>-1827.6043462648768</v>
      </c>
      <c r="J16" s="21">
        <f t="shared" si="4"/>
        <v>-4020.7295617827285</v>
      </c>
      <c r="K16" s="27">
        <f t="shared" si="5"/>
        <v>-0.11</v>
      </c>
      <c r="L16" s="21">
        <f t="shared" si="6"/>
        <v>32531.357363514802</v>
      </c>
      <c r="M16" s="16">
        <f t="shared" si="7"/>
        <v>0.89</v>
      </c>
      <c r="N16" s="11">
        <f t="shared" si="8"/>
        <v>32531.357363514802</v>
      </c>
      <c r="Q16" s="1" t="s">
        <v>44</v>
      </c>
      <c r="R16" s="30">
        <f>S16*R11</f>
        <v>-7500</v>
      </c>
      <c r="S16" s="31">
        <v>1.8749999999999999E-2</v>
      </c>
    </row>
    <row r="17" spans="1:21" x14ac:dyDescent="0.3">
      <c r="A17">
        <v>10</v>
      </c>
      <c r="C17" s="21">
        <f t="shared" si="0"/>
        <v>37465.889098429965</v>
      </c>
      <c r="D17" s="6">
        <v>0.5</v>
      </c>
      <c r="E17" s="21">
        <f t="shared" si="1"/>
        <v>18732.944549214983</v>
      </c>
      <c r="F17" s="21">
        <f t="shared" si="2"/>
        <v>-1123.976672952899</v>
      </c>
      <c r="G17" s="21">
        <f>-C17/12</f>
        <v>-3122.1574248691636</v>
      </c>
      <c r="H17" s="21">
        <f>-25%*C17*(1+$B$2)^($A17-1)</f>
        <v>-11697.440382798777</v>
      </c>
      <c r="I17" s="21">
        <f t="shared" si="3"/>
        <v>-936.64722746074915</v>
      </c>
      <c r="J17" s="21">
        <f t="shared" si="4"/>
        <v>-16880.221708081586</v>
      </c>
      <c r="K17" s="27">
        <f t="shared" si="5"/>
        <v>-0.45054907582024961</v>
      </c>
      <c r="L17" s="21">
        <f t="shared" si="6"/>
        <v>20585.667390348379</v>
      </c>
      <c r="M17" s="16">
        <f t="shared" si="7"/>
        <v>0.54945092417975039</v>
      </c>
      <c r="N17" s="11">
        <f t="shared" si="8"/>
        <v>20585.667390348379</v>
      </c>
      <c r="Q17" s="1" t="s">
        <v>45</v>
      </c>
      <c r="R17" s="30">
        <f>-S17*R12</f>
        <v>-1500</v>
      </c>
      <c r="S17" s="2">
        <v>0.05</v>
      </c>
    </row>
    <row r="18" spans="1:21" x14ac:dyDescent="0.3">
      <c r="A18">
        <v>11</v>
      </c>
      <c r="C18" s="21">
        <f t="shared" si="0"/>
        <v>38402.536325890709</v>
      </c>
      <c r="D18" s="6">
        <v>0</v>
      </c>
      <c r="E18" s="21">
        <f t="shared" si="1"/>
        <v>38402.536325890709</v>
      </c>
      <c r="F18" s="21">
        <f t="shared" si="2"/>
        <v>-2304.1521795534422</v>
      </c>
      <c r="G18" s="21"/>
      <c r="H18" s="21"/>
      <c r="I18" s="21">
        <f t="shared" si="3"/>
        <v>-1920.1268162945355</v>
      </c>
      <c r="J18" s="21">
        <f t="shared" si="4"/>
        <v>-4224.278995847978</v>
      </c>
      <c r="K18" s="27">
        <f t="shared" si="5"/>
        <v>-0.11</v>
      </c>
      <c r="L18" s="21">
        <f t="shared" si="6"/>
        <v>34178.257330042732</v>
      </c>
      <c r="M18" s="16">
        <f t="shared" si="7"/>
        <v>0.89</v>
      </c>
      <c r="N18" s="11">
        <f t="shared" si="8"/>
        <v>34178.257330042732</v>
      </c>
      <c r="Q18" s="1" t="s">
        <v>59</v>
      </c>
      <c r="R18" s="30">
        <f>-S18*R11</f>
        <v>40000</v>
      </c>
      <c r="S18" s="2">
        <v>0.1</v>
      </c>
    </row>
    <row r="19" spans="1:21" x14ac:dyDescent="0.3">
      <c r="A19">
        <v>12</v>
      </c>
      <c r="C19" s="21">
        <f t="shared" si="0"/>
        <v>39362.599734037976</v>
      </c>
      <c r="D19" s="27">
        <v>0</v>
      </c>
      <c r="E19" s="21">
        <f t="shared" si="1"/>
        <v>39362.599734037976</v>
      </c>
      <c r="F19" s="21">
        <f t="shared" si="2"/>
        <v>-2361.7559840422787</v>
      </c>
      <c r="G19" s="21"/>
      <c r="H19" s="21"/>
      <c r="I19" s="21">
        <f t="shared" si="3"/>
        <v>-1968.1299867018988</v>
      </c>
      <c r="J19" s="21">
        <f t="shared" si="4"/>
        <v>-4329.885970744177</v>
      </c>
      <c r="K19" s="27">
        <f t="shared" si="5"/>
        <v>-0.10999999999999999</v>
      </c>
      <c r="L19" s="21">
        <f t="shared" si="6"/>
        <v>35032.713763293796</v>
      </c>
      <c r="M19" s="16">
        <f t="shared" si="7"/>
        <v>0.8899999999999999</v>
      </c>
      <c r="N19" s="11">
        <f t="shared" si="8"/>
        <v>35032.713763293796</v>
      </c>
      <c r="R19" s="30"/>
    </row>
    <row r="20" spans="1:21" x14ac:dyDescent="0.3">
      <c r="A20">
        <v>13</v>
      </c>
      <c r="C20" s="21">
        <f t="shared" si="0"/>
        <v>40346.664727388925</v>
      </c>
      <c r="D20" s="27">
        <v>0</v>
      </c>
      <c r="E20" s="21">
        <f t="shared" si="1"/>
        <v>40346.664727388925</v>
      </c>
      <c r="F20" s="21">
        <f t="shared" si="2"/>
        <v>-2420.7998836433353</v>
      </c>
      <c r="G20" s="21"/>
      <c r="H20" s="21"/>
      <c r="I20" s="21">
        <f t="shared" si="3"/>
        <v>-2017.3332363694462</v>
      </c>
      <c r="J20" s="21">
        <f t="shared" si="4"/>
        <v>-4438.1331200127815</v>
      </c>
      <c r="K20" s="27">
        <f t="shared" si="5"/>
        <v>-0.11</v>
      </c>
      <c r="L20" s="21">
        <f t="shared" si="6"/>
        <v>35908.531607376142</v>
      </c>
      <c r="M20" s="16">
        <f t="shared" si="7"/>
        <v>0.89</v>
      </c>
      <c r="N20" s="11">
        <f t="shared" si="8"/>
        <v>35908.531607376142</v>
      </c>
      <c r="Q20" s="1" t="s">
        <v>60</v>
      </c>
      <c r="R20" s="30"/>
    </row>
    <row r="21" spans="1:21" x14ac:dyDescent="0.3">
      <c r="A21">
        <v>14</v>
      </c>
      <c r="C21" s="21">
        <f t="shared" si="0"/>
        <v>41355.33134557365</v>
      </c>
      <c r="D21" s="6">
        <v>0</v>
      </c>
      <c r="E21" s="21">
        <f t="shared" si="1"/>
        <v>41355.33134557365</v>
      </c>
      <c r="F21" s="21">
        <f t="shared" si="2"/>
        <v>-2481.3198807344188</v>
      </c>
      <c r="G21" s="21"/>
      <c r="H21" s="21"/>
      <c r="I21" s="21">
        <f t="shared" si="3"/>
        <v>-2067.7665672786825</v>
      </c>
      <c r="J21" s="21">
        <f t="shared" si="4"/>
        <v>-4549.0864480131013</v>
      </c>
      <c r="K21" s="27">
        <f t="shared" si="5"/>
        <v>-0.11</v>
      </c>
      <c r="L21" s="21">
        <f t="shared" si="6"/>
        <v>36806.244897560551</v>
      </c>
      <c r="M21" s="16">
        <f t="shared" si="7"/>
        <v>0.89000000000000012</v>
      </c>
      <c r="N21" s="11">
        <f t="shared" si="8"/>
        <v>36806.244897560551</v>
      </c>
      <c r="Q21" s="1" t="s">
        <v>61</v>
      </c>
      <c r="R21" s="30">
        <f>R12</f>
        <v>30000</v>
      </c>
      <c r="S21" t="s">
        <v>33</v>
      </c>
    </row>
    <row r="22" spans="1:21" x14ac:dyDescent="0.3">
      <c r="A22">
        <v>15</v>
      </c>
      <c r="C22" s="21">
        <f t="shared" si="0"/>
        <v>42389.214629212984</v>
      </c>
      <c r="D22" s="6">
        <v>0.5</v>
      </c>
      <c r="E22" s="21">
        <f t="shared" si="1"/>
        <v>21194.607314606492</v>
      </c>
      <c r="F22" s="21">
        <f t="shared" si="2"/>
        <v>-1271.6764388763895</v>
      </c>
      <c r="G22" s="21">
        <f>-C22/12</f>
        <v>-3532.4345524344153</v>
      </c>
      <c r="H22" s="21">
        <f>-25%*C22*(1+$B$2)^($A22-1)</f>
        <v>-14973.712640679034</v>
      </c>
      <c r="I22" s="21">
        <f t="shared" si="3"/>
        <v>-1059.7303657303246</v>
      </c>
      <c r="J22" s="21">
        <f t="shared" si="4"/>
        <v>-20837.553997720162</v>
      </c>
      <c r="K22" s="27">
        <f t="shared" si="5"/>
        <v>-0.49157678857677484</v>
      </c>
      <c r="L22" s="21">
        <f t="shared" si="6"/>
        <v>21551.660631492821</v>
      </c>
      <c r="M22" s="16">
        <f t="shared" si="7"/>
        <v>0.50842321142322511</v>
      </c>
      <c r="N22" s="11">
        <f t="shared" si="8"/>
        <v>21551.660631492821</v>
      </c>
      <c r="R22" s="30"/>
    </row>
    <row r="23" spans="1:21" x14ac:dyDescent="0.3">
      <c r="A23">
        <v>16</v>
      </c>
      <c r="C23" s="21">
        <f t="shared" si="0"/>
        <v>43448.944994943318</v>
      </c>
      <c r="D23" s="6">
        <v>0</v>
      </c>
      <c r="E23" s="21">
        <f t="shared" si="1"/>
        <v>43448.944994943318</v>
      </c>
      <c r="F23" s="21">
        <f t="shared" si="2"/>
        <v>-2606.9366996965991</v>
      </c>
      <c r="G23" s="21"/>
      <c r="H23" s="21"/>
      <c r="I23" s="21">
        <f t="shared" si="3"/>
        <v>-2172.4472497471661</v>
      </c>
      <c r="J23" s="21">
        <f t="shared" si="4"/>
        <v>-4779.3839494437652</v>
      </c>
      <c r="K23" s="27">
        <f t="shared" si="5"/>
        <v>-0.11</v>
      </c>
      <c r="L23" s="21">
        <f t="shared" si="6"/>
        <v>38669.561045499555</v>
      </c>
      <c r="M23" s="16">
        <f t="shared" si="7"/>
        <v>0.89</v>
      </c>
      <c r="N23" s="11">
        <f t="shared" si="8"/>
        <v>38669.561045499555</v>
      </c>
      <c r="Q23" s="1" t="s">
        <v>62</v>
      </c>
      <c r="R23" s="30"/>
    </row>
    <row r="24" spans="1:21" x14ac:dyDescent="0.3">
      <c r="A24">
        <v>17</v>
      </c>
      <c r="C24" s="21">
        <f t="shared" si="0"/>
        <v>44535.168619816897</v>
      </c>
      <c r="D24" s="27">
        <v>0</v>
      </c>
      <c r="E24" s="21">
        <f t="shared" si="1"/>
        <v>44535.168619816897</v>
      </c>
      <c r="F24" s="21">
        <f t="shared" si="2"/>
        <v>-2672.1101171890136</v>
      </c>
      <c r="G24" s="21"/>
      <c r="H24" s="21"/>
      <c r="I24" s="21">
        <f t="shared" si="3"/>
        <v>-2226.7584309908448</v>
      </c>
      <c r="J24" s="21">
        <f t="shared" si="4"/>
        <v>-4898.8685481798584</v>
      </c>
      <c r="K24" s="27">
        <f t="shared" si="5"/>
        <v>-0.10999999999999999</v>
      </c>
      <c r="L24" s="21">
        <f t="shared" si="6"/>
        <v>39636.300071637037</v>
      </c>
      <c r="M24" s="16">
        <f t="shared" si="7"/>
        <v>0.89</v>
      </c>
      <c r="N24" s="11">
        <f t="shared" si="8"/>
        <v>39636.300071637037</v>
      </c>
      <c r="Q24" s="1" t="s">
        <v>63</v>
      </c>
      <c r="R24" s="30">
        <f>R11</f>
        <v>-400000</v>
      </c>
    </row>
    <row r="25" spans="1:21" x14ac:dyDescent="0.3">
      <c r="A25">
        <v>18</v>
      </c>
      <c r="C25" s="21">
        <f t="shared" si="0"/>
        <v>45648.547835312311</v>
      </c>
      <c r="D25" s="27">
        <v>0</v>
      </c>
      <c r="E25" s="21">
        <f t="shared" si="1"/>
        <v>45648.547835312311</v>
      </c>
      <c r="F25" s="21">
        <f t="shared" si="2"/>
        <v>-2738.9128701187387</v>
      </c>
      <c r="G25" s="21"/>
      <c r="H25" s="21"/>
      <c r="I25" s="21">
        <f t="shared" si="3"/>
        <v>-2282.4273917656155</v>
      </c>
      <c r="J25" s="21">
        <f t="shared" si="4"/>
        <v>-5021.3402618843538</v>
      </c>
      <c r="K25" s="27">
        <f t="shared" si="5"/>
        <v>-0.10999999999999999</v>
      </c>
      <c r="L25" s="21">
        <f t="shared" si="6"/>
        <v>40627.207573427957</v>
      </c>
      <c r="M25" s="16">
        <f t="shared" si="7"/>
        <v>0.89</v>
      </c>
      <c r="N25" s="11">
        <f t="shared" si="8"/>
        <v>40627.207573427957</v>
      </c>
      <c r="Q25" s="1" t="s">
        <v>64</v>
      </c>
      <c r="R25" s="30">
        <f>R14+R15+R16</f>
        <v>-25000</v>
      </c>
      <c r="S25" t="s">
        <v>65</v>
      </c>
      <c r="T25" s="3">
        <v>5</v>
      </c>
      <c r="U25" t="s">
        <v>5</v>
      </c>
    </row>
    <row r="26" spans="1:21" x14ac:dyDescent="0.3">
      <c r="A26">
        <v>19</v>
      </c>
      <c r="C26" s="21">
        <f t="shared" si="0"/>
        <v>46789.761531195123</v>
      </c>
      <c r="D26" s="6">
        <v>0</v>
      </c>
      <c r="E26" s="21">
        <f t="shared" si="1"/>
        <v>46789.761531195123</v>
      </c>
      <c r="F26" s="21">
        <f t="shared" si="2"/>
        <v>-2807.3856918717074</v>
      </c>
      <c r="G26" s="21"/>
      <c r="H26" s="21"/>
      <c r="I26" s="21">
        <f t="shared" si="3"/>
        <v>-2339.4880765597563</v>
      </c>
      <c r="J26" s="21">
        <f t="shared" si="4"/>
        <v>-5146.8737684314638</v>
      </c>
      <c r="K26" s="27">
        <f t="shared" si="5"/>
        <v>-0.11</v>
      </c>
      <c r="L26" s="21">
        <f t="shared" si="6"/>
        <v>41642.887762763661</v>
      </c>
      <c r="M26" s="16">
        <f t="shared" si="7"/>
        <v>0.89</v>
      </c>
      <c r="N26" s="11">
        <f t="shared" si="8"/>
        <v>41642.887762763661</v>
      </c>
      <c r="Q26" s="1" t="s">
        <v>66</v>
      </c>
      <c r="R26" s="30">
        <f>R13+R17</f>
        <v>-3300</v>
      </c>
    </row>
    <row r="27" spans="1:21" x14ac:dyDescent="0.3">
      <c r="A27">
        <v>20</v>
      </c>
      <c r="C27" s="21">
        <f t="shared" si="0"/>
        <v>47959.505569474997</v>
      </c>
      <c r="D27" s="6">
        <v>0.5</v>
      </c>
      <c r="E27" s="21">
        <f t="shared" si="1"/>
        <v>23979.752784737499</v>
      </c>
      <c r="F27" s="21">
        <f t="shared" si="2"/>
        <v>-1438.7851670842499</v>
      </c>
      <c r="G27" s="21">
        <f>-C27/12</f>
        <v>-3996.6254641229166</v>
      </c>
      <c r="H27" s="21">
        <f>-25%*C27*(1+$B$2)^($A27-1)</f>
        <v>-19167.61812057086</v>
      </c>
      <c r="I27" s="21">
        <f t="shared" si="3"/>
        <v>-1198.9876392368749</v>
      </c>
      <c r="J27" s="21">
        <f t="shared" si="4"/>
        <v>-25802.016391014902</v>
      </c>
      <c r="K27" s="27">
        <f t="shared" si="5"/>
        <v>-0.53799587974562502</v>
      </c>
      <c r="L27" s="21">
        <f t="shared" si="6"/>
        <v>22157.489178460095</v>
      </c>
      <c r="M27" s="16">
        <f t="shared" si="7"/>
        <v>0.46200412025437504</v>
      </c>
      <c r="N27" s="11">
        <f t="shared" si="8"/>
        <v>22157.489178460095</v>
      </c>
      <c r="R27" s="30"/>
    </row>
    <row r="28" spans="1:21" x14ac:dyDescent="0.3">
      <c r="A28">
        <v>21</v>
      </c>
      <c r="C28" s="21">
        <f t="shared" si="0"/>
        <v>49158.493208711865</v>
      </c>
      <c r="D28" s="6">
        <v>0</v>
      </c>
      <c r="E28" s="21">
        <f t="shared" si="1"/>
        <v>49158.493208711865</v>
      </c>
      <c r="F28" s="21">
        <f t="shared" si="2"/>
        <v>-2949.509592522712</v>
      </c>
      <c r="G28" s="21"/>
      <c r="H28" s="21"/>
      <c r="I28" s="21">
        <f t="shared" si="3"/>
        <v>-2457.9246604355935</v>
      </c>
      <c r="J28" s="21">
        <f t="shared" si="4"/>
        <v>-5407.4342529583055</v>
      </c>
      <c r="K28" s="27">
        <f t="shared" si="5"/>
        <v>-0.11</v>
      </c>
      <c r="L28" s="21">
        <f t="shared" si="6"/>
        <v>43751.058955753557</v>
      </c>
      <c r="M28" s="16">
        <f t="shared" si="7"/>
        <v>0.8899999999999999</v>
      </c>
      <c r="N28" s="11">
        <f t="shared" si="8"/>
        <v>43751.058955753557</v>
      </c>
      <c r="Q28" s="1" t="s">
        <v>67</v>
      </c>
      <c r="R28" s="30"/>
    </row>
    <row r="29" spans="1:21" x14ac:dyDescent="0.3">
      <c r="A29">
        <v>22</v>
      </c>
      <c r="C29" s="21">
        <f t="shared" si="0"/>
        <v>50387.455538929658</v>
      </c>
      <c r="D29" s="27">
        <v>0</v>
      </c>
      <c r="E29" s="21">
        <f t="shared" si="1"/>
        <v>50387.455538929658</v>
      </c>
      <c r="F29" s="21">
        <f t="shared" si="2"/>
        <v>-3023.2473323357794</v>
      </c>
      <c r="G29" s="21"/>
      <c r="H29" s="21"/>
      <c r="I29" s="21">
        <f t="shared" si="3"/>
        <v>-2519.3727769464831</v>
      </c>
      <c r="J29" s="21">
        <f t="shared" si="4"/>
        <v>-5542.620109282263</v>
      </c>
      <c r="K29" s="27">
        <f t="shared" si="5"/>
        <v>-0.11000000000000001</v>
      </c>
      <c r="L29" s="21">
        <f t="shared" si="6"/>
        <v>44844.835429647399</v>
      </c>
      <c r="M29" s="16">
        <f t="shared" si="7"/>
        <v>0.89</v>
      </c>
      <c r="N29" s="11">
        <f t="shared" si="8"/>
        <v>44844.835429647399</v>
      </c>
      <c r="Q29" s="1" t="s">
        <v>36</v>
      </c>
      <c r="R29" s="30">
        <f>R24</f>
        <v>-400000</v>
      </c>
    </row>
    <row r="30" spans="1:21" x14ac:dyDescent="0.3">
      <c r="A30">
        <v>23</v>
      </c>
      <c r="C30" s="21">
        <f t="shared" si="0"/>
        <v>51647.141927402896</v>
      </c>
      <c r="D30" s="27">
        <v>0</v>
      </c>
      <c r="E30" s="21">
        <f t="shared" si="1"/>
        <v>51647.141927402896</v>
      </c>
      <c r="F30" s="21">
        <f t="shared" si="2"/>
        <v>-3098.8285156441734</v>
      </c>
      <c r="G30" s="21"/>
      <c r="H30" s="21"/>
      <c r="I30" s="21">
        <f t="shared" si="3"/>
        <v>-2582.357096370145</v>
      </c>
      <c r="J30" s="21">
        <f t="shared" si="4"/>
        <v>-5681.1856120143184</v>
      </c>
      <c r="K30" s="27">
        <f t="shared" si="5"/>
        <v>-0.11</v>
      </c>
      <c r="L30" s="21">
        <f t="shared" si="6"/>
        <v>45965.956315388576</v>
      </c>
      <c r="M30" s="16">
        <f t="shared" si="7"/>
        <v>0.89</v>
      </c>
      <c r="N30" s="11">
        <f t="shared" si="8"/>
        <v>45965.956315388576</v>
      </c>
      <c r="Q30" s="1" t="s">
        <v>64</v>
      </c>
      <c r="R30" s="30">
        <f>R25/((1+G1)^T25-1)</f>
        <v>-53267.642052136398</v>
      </c>
    </row>
    <row r="31" spans="1:21" x14ac:dyDescent="0.3">
      <c r="A31">
        <v>24</v>
      </c>
      <c r="C31" s="21">
        <f t="shared" si="0"/>
        <v>52938.320475587971</v>
      </c>
      <c r="D31" s="6">
        <v>0</v>
      </c>
      <c r="E31" s="21">
        <f t="shared" si="1"/>
        <v>52938.320475587971</v>
      </c>
      <c r="F31" s="21">
        <f t="shared" si="2"/>
        <v>-3176.299228535278</v>
      </c>
      <c r="G31" s="21"/>
      <c r="H31" s="21"/>
      <c r="I31" s="21">
        <f t="shared" si="3"/>
        <v>-2646.9160237793985</v>
      </c>
      <c r="J31" s="21">
        <f t="shared" si="4"/>
        <v>-5823.215252314676</v>
      </c>
      <c r="K31" s="27">
        <f t="shared" si="5"/>
        <v>-0.10999999999999999</v>
      </c>
      <c r="L31" s="21">
        <f t="shared" si="6"/>
        <v>47115.105223273291</v>
      </c>
      <c r="M31" s="16">
        <f t="shared" si="7"/>
        <v>0.8899999999999999</v>
      </c>
      <c r="N31" s="11">
        <f t="shared" si="8"/>
        <v>47115.105223273291</v>
      </c>
      <c r="Q31" s="1" t="s">
        <v>68</v>
      </c>
      <c r="R31" s="30">
        <f>R26/G1</f>
        <v>-41250</v>
      </c>
    </row>
    <row r="32" spans="1:21" x14ac:dyDescent="0.3">
      <c r="D32" s="6"/>
      <c r="J32" s="21"/>
      <c r="K32" s="27">
        <f>AVERAGE(K8:K31)</f>
        <v>-0.18219756806106527</v>
      </c>
      <c r="M32" s="1" t="s">
        <v>17</v>
      </c>
      <c r="N32" s="11">
        <f>NPV(G1,N7:N31)</f>
        <v>-76866.653473598577</v>
      </c>
      <c r="O32" s="16">
        <f>N32/B7</f>
        <v>0.19216663368399645</v>
      </c>
      <c r="Q32" s="1" t="s">
        <v>59</v>
      </c>
      <c r="R32" s="30">
        <f>R18/(1+G1)^40</f>
        <v>1841.2373320117622</v>
      </c>
    </row>
    <row r="33" spans="11:18" x14ac:dyDescent="0.3">
      <c r="K33" s="27"/>
      <c r="M33" s="1" t="s">
        <v>9</v>
      </c>
      <c r="N33" s="7">
        <f>IRR(N7:N31)</f>
        <v>5.6698452831318136E-2</v>
      </c>
      <c r="Q33" s="1" t="s">
        <v>39</v>
      </c>
      <c r="R33" s="30">
        <f>R12/G1</f>
        <v>375000</v>
      </c>
    </row>
    <row r="34" spans="11:18" x14ac:dyDescent="0.3">
      <c r="R34" s="30">
        <f>SUM(R29:R33)</f>
        <v>-117676.40472012467</v>
      </c>
    </row>
  </sheetData>
  <mergeCells count="3">
    <mergeCell ref="J5:K5"/>
    <mergeCell ref="L5:M5"/>
    <mergeCell ref="N5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0BFA-89D9-4122-97EF-99D4307F5FCD}">
  <dimension ref="B4:N7"/>
  <sheetViews>
    <sheetView zoomScale="130" zoomScaleNormal="130" workbookViewId="0">
      <selection activeCell="N7" sqref="N7"/>
    </sheetView>
  </sheetViews>
  <sheetFormatPr defaultRowHeight="14.4" x14ac:dyDescent="0.3"/>
  <cols>
    <col min="4" max="4" width="10.77734375" bestFit="1" customWidth="1"/>
    <col min="5" max="5" width="14.6640625" bestFit="1" customWidth="1"/>
    <col min="6" max="6" width="5.21875" bestFit="1" customWidth="1"/>
    <col min="7" max="7" width="4" bestFit="1" customWidth="1"/>
    <col min="8" max="8" width="5" style="32" bestFit="1" customWidth="1"/>
    <col min="9" max="9" width="14.6640625" bestFit="1" customWidth="1"/>
    <col min="10" max="10" width="12" bestFit="1" customWidth="1"/>
    <col min="11" max="11" width="14.6640625" bestFit="1" customWidth="1"/>
    <col min="12" max="12" width="14" bestFit="1" customWidth="1"/>
    <col min="13" max="13" width="10.77734375" bestFit="1" customWidth="1"/>
    <col min="14" max="14" width="14.6640625" bestFit="1" customWidth="1"/>
  </cols>
  <sheetData>
    <row r="4" spans="2:14" x14ac:dyDescent="0.3">
      <c r="C4" t="s">
        <v>69</v>
      </c>
      <c r="D4" t="s">
        <v>70</v>
      </c>
      <c r="E4" s="32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M4" t="s">
        <v>77</v>
      </c>
      <c r="N4" t="s">
        <v>78</v>
      </c>
    </row>
    <row r="5" spans="2:14" x14ac:dyDescent="0.3">
      <c r="B5" t="s">
        <v>79</v>
      </c>
      <c r="C5">
        <v>2500</v>
      </c>
      <c r="D5" s="32">
        <v>100</v>
      </c>
      <c r="E5" s="32">
        <f>D5*C5</f>
        <v>250000</v>
      </c>
      <c r="F5" s="6">
        <v>0.5</v>
      </c>
      <c r="G5">
        <f>D5*(1+F5)</f>
        <v>150</v>
      </c>
      <c r="H5">
        <v>2500</v>
      </c>
      <c r="I5" s="32">
        <f>G5*H5</f>
        <v>375000</v>
      </c>
      <c r="J5">
        <f>(I7/2)/G5</f>
        <v>1666.6666666666667</v>
      </c>
      <c r="K5" s="32">
        <f>J5*G5</f>
        <v>250000</v>
      </c>
      <c r="L5" s="33">
        <v>-0.33333000000000002</v>
      </c>
      <c r="M5" s="32">
        <f>G5*(1+L5)</f>
        <v>100.0005</v>
      </c>
      <c r="N5" s="32">
        <f>J5*M5</f>
        <v>166667.5</v>
      </c>
    </row>
    <row r="6" spans="2:14" x14ac:dyDescent="0.3">
      <c r="B6" t="s">
        <v>80</v>
      </c>
      <c r="C6">
        <v>2500</v>
      </c>
      <c r="D6" s="32">
        <v>100</v>
      </c>
      <c r="E6" s="32">
        <f>D6*C6</f>
        <v>250000</v>
      </c>
      <c r="F6" s="6">
        <v>-0.5</v>
      </c>
      <c r="G6">
        <f>D6*(1+F6)</f>
        <v>50</v>
      </c>
      <c r="H6">
        <v>2500</v>
      </c>
      <c r="I6" s="32">
        <f>G6*H6</f>
        <v>125000</v>
      </c>
      <c r="J6">
        <f>(I7/2)/G6</f>
        <v>5000</v>
      </c>
      <c r="K6" s="32">
        <f>J6*G6</f>
        <v>250000</v>
      </c>
      <c r="L6" s="34">
        <v>1</v>
      </c>
      <c r="M6" s="32">
        <f>G6*(1+L6)</f>
        <v>100</v>
      </c>
      <c r="N6" s="32">
        <f>J6*M6</f>
        <v>500000</v>
      </c>
    </row>
    <row r="7" spans="2:14" x14ac:dyDescent="0.3">
      <c r="E7" s="32">
        <f>SUM(E5:E6)</f>
        <v>500000</v>
      </c>
      <c r="H7"/>
      <c r="I7" s="32">
        <f>SUM(I5:I6)</f>
        <v>500000</v>
      </c>
      <c r="K7" s="32">
        <f>SUM(K5:K6)</f>
        <v>500000</v>
      </c>
      <c r="N7" s="32">
        <f>SUM(N5:N6)</f>
        <v>666667.5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TIR</vt:lpstr>
      <vt:lpstr>TIR (2)</vt:lpstr>
      <vt:lpstr>VPL</vt:lpstr>
      <vt:lpstr>Aluguel</vt:lpstr>
      <vt:lpstr>Diversificação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2025-08-15T14:45:51Z</dcterms:created>
  <dcterms:modified xsi:type="dcterms:W3CDTF">2025-09-19T20:16:23Z</dcterms:modified>
</cp:coreProperties>
</file>