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lfpdr\Google Drive\_Avaliacoes\PrimaveraLeste\"/>
    </mc:Choice>
  </mc:AlternateContent>
  <xr:revisionPtr revIDLastSave="0" documentId="13_ncr:1_{A649313C-064B-4FC1-B189-0455918EF93C}" xr6:coauthVersionLast="47" xr6:coauthVersionMax="47" xr10:uidLastSave="{00000000-0000-0000-0000-000000000000}"/>
  <bookViews>
    <workbookView xWindow="-108" yWindow="-108" windowWidth="23256" windowHeight="12456" firstSheet="1" activeTab="2" xr2:uid="{00000000-000D-0000-FFFF-FFFF00000000}"/>
  </bookViews>
  <sheets>
    <sheet name="PINI" sheetId="1" r:id="rId1"/>
    <sheet name="BDI" sheetId="2" r:id="rId2"/>
    <sheet name="DADOS" sheetId="3" r:id="rId3"/>
    <sheet name="FC" sheetId="4" r:id="rId4"/>
    <sheet name="ANÁLISES" sheetId="5" r:id="rId5"/>
    <sheet name="SENSIBILIDADE" sheetId="6" r:id="rId6"/>
    <sheet name="CENÁRIO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qqvZixToe1egXEPAzcXNKqzNVTRkpZHAcfkp73DlcBo="/>
    </ext>
  </extLst>
</workbook>
</file>

<file path=xl/calcChain.xml><?xml version="1.0" encoding="utf-8"?>
<calcChain xmlns="http://schemas.openxmlformats.org/spreadsheetml/2006/main">
  <c r="F20" i="5" l="1"/>
  <c r="K21" i="3"/>
  <c r="K19" i="3"/>
  <c r="M17" i="3"/>
  <c r="M18" i="3"/>
  <c r="M16" i="3"/>
  <c r="K16" i="3"/>
  <c r="L19" i="3"/>
  <c r="K17" i="3"/>
  <c r="K18" i="3"/>
  <c r="C5" i="7"/>
  <c r="C19" i="7"/>
  <c r="C18" i="7"/>
  <c r="C4" i="7"/>
  <c r="AE75" i="4"/>
  <c r="W66" i="4"/>
  <c r="V6" i="4" s="1"/>
  <c r="W67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" i="4"/>
  <c r="AB67" i="4"/>
  <c r="AB66" i="4"/>
  <c r="AA6" i="4" s="1"/>
  <c r="D22" i="7"/>
  <c r="D8" i="7"/>
  <c r="C20" i="7"/>
  <c r="C12" i="7"/>
  <c r="C11" i="7"/>
  <c r="J10" i="6"/>
  <c r="J9" i="6"/>
  <c r="J8" i="6"/>
  <c r="J6" i="6"/>
  <c r="J5" i="6"/>
  <c r="J4" i="6"/>
  <c r="F18" i="3"/>
  <c r="F17" i="3"/>
  <c r="F16" i="3"/>
  <c r="B11" i="3"/>
  <c r="C7" i="6"/>
  <c r="B10" i="6"/>
  <c r="C10" i="6" s="1"/>
  <c r="B9" i="6"/>
  <c r="C9" i="6" s="1"/>
  <c r="B5" i="6"/>
  <c r="C5" i="6" s="1"/>
  <c r="B6" i="6"/>
  <c r="C6" i="6" s="1"/>
  <c r="B4" i="6"/>
  <c r="C4" i="6" s="1"/>
  <c r="D8" i="3"/>
  <c r="C4" i="2"/>
  <c r="H19" i="1"/>
  <c r="H16" i="1"/>
  <c r="H17" i="1"/>
  <c r="F17" i="1"/>
  <c r="F18" i="1"/>
  <c r="H18" i="1" s="1"/>
  <c r="F16" i="1"/>
  <c r="D66" i="4"/>
  <c r="E65" i="4"/>
  <c r="C66" i="4"/>
  <c r="B66" i="4"/>
  <c r="B16" i="5"/>
  <c r="D17" i="3"/>
  <c r="D18" i="3"/>
  <c r="D16" i="3"/>
  <c r="G18" i="3" l="1"/>
  <c r="G17" i="3"/>
  <c r="M4" i="6"/>
  <c r="D10" i="3"/>
  <c r="H17" i="3"/>
  <c r="B19" i="5"/>
  <c r="B20" i="5" s="1"/>
  <c r="B21" i="5" s="1"/>
  <c r="W2" i="4" s="1"/>
  <c r="C3" i="2"/>
  <c r="F10" i="2" s="1"/>
  <c r="B8" i="6"/>
  <c r="C8" i="6" s="1"/>
  <c r="K17" i="5"/>
  <c r="B15" i="5"/>
  <c r="G13" i="5"/>
  <c r="B13" i="5"/>
  <c r="B7" i="5"/>
  <c r="B8" i="5" s="1"/>
  <c r="AB2" i="4" s="1"/>
  <c r="G4" i="5"/>
  <c r="E39" i="4"/>
  <c r="E38" i="4"/>
  <c r="E17" i="4"/>
  <c r="E16" i="4"/>
  <c r="E15" i="4"/>
  <c r="E14" i="4"/>
  <c r="E13" i="4"/>
  <c r="E12" i="4"/>
  <c r="E11" i="4"/>
  <c r="E10" i="4"/>
  <c r="E9" i="4"/>
  <c r="E8" i="4"/>
  <c r="E7" i="4"/>
  <c r="Q6" i="4"/>
  <c r="G2" i="4"/>
  <c r="AI42" i="3"/>
  <c r="AJ42" i="3" s="1"/>
  <c r="C19" i="3"/>
  <c r="B19" i="3"/>
  <c r="H18" i="3"/>
  <c r="E18" i="3"/>
  <c r="E17" i="3"/>
  <c r="H16" i="3"/>
  <c r="E16" i="3"/>
  <c r="B9" i="3"/>
  <c r="M10" i="6" s="1"/>
  <c r="B6" i="3"/>
  <c r="C6" i="3" s="1"/>
  <c r="C5" i="3"/>
  <c r="C4" i="3"/>
  <c r="C3" i="3"/>
  <c r="E12" i="2"/>
  <c r="E11" i="2"/>
  <c r="E10" i="2"/>
  <c r="C5" i="2"/>
  <c r="F12" i="2" s="1"/>
  <c r="H13" i="1"/>
  <c r="F13" i="1"/>
  <c r="D13" i="1"/>
  <c r="H12" i="1"/>
  <c r="F12" i="1"/>
  <c r="D12" i="1"/>
  <c r="H11" i="1"/>
  <c r="F11" i="1"/>
  <c r="D11" i="1"/>
  <c r="H10" i="1"/>
  <c r="F10" i="1"/>
  <c r="D10" i="1"/>
  <c r="H9" i="1"/>
  <c r="F9" i="1"/>
  <c r="D9" i="1"/>
  <c r="H8" i="1"/>
  <c r="F8" i="1"/>
  <c r="D8" i="1"/>
  <c r="H7" i="1"/>
  <c r="F7" i="1"/>
  <c r="D7" i="1"/>
  <c r="H6" i="1"/>
  <c r="F6" i="1"/>
  <c r="D6" i="1"/>
  <c r="H5" i="1"/>
  <c r="F5" i="1"/>
  <c r="D5" i="1"/>
  <c r="H4" i="1"/>
  <c r="F4" i="1"/>
  <c r="D4" i="1"/>
  <c r="M6" i="6" l="1"/>
  <c r="M7" i="6"/>
  <c r="M8" i="6"/>
  <c r="M9" i="6"/>
  <c r="L8" i="6"/>
  <c r="L9" i="6"/>
  <c r="L10" i="6"/>
  <c r="N10" i="6" s="1"/>
  <c r="L4" i="6"/>
  <c r="N4" i="6" s="1"/>
  <c r="L6" i="6"/>
  <c r="N6" i="6" s="1"/>
  <c r="L5" i="6"/>
  <c r="L7" i="6"/>
  <c r="M5" i="6"/>
  <c r="B17" i="5"/>
  <c r="F7" i="4"/>
  <c r="H65" i="4"/>
  <c r="G65" i="4"/>
  <c r="F65" i="4"/>
  <c r="H19" i="3"/>
  <c r="K7" i="5" s="1"/>
  <c r="E19" i="3"/>
  <c r="H7" i="4"/>
  <c r="F14" i="1"/>
  <c r="M2" i="4" s="1"/>
  <c r="M65" i="4" s="1"/>
  <c r="D14" i="1"/>
  <c r="J7" i="6" s="1"/>
  <c r="H14" i="1"/>
  <c r="C6" i="2"/>
  <c r="F11" i="2"/>
  <c r="F13" i="2" s="1"/>
  <c r="F64" i="4"/>
  <c r="H63" i="4"/>
  <c r="F62" i="4"/>
  <c r="H61" i="4"/>
  <c r="F60" i="4"/>
  <c r="H59" i="4"/>
  <c r="F58" i="4"/>
  <c r="H57" i="4"/>
  <c r="F56" i="4"/>
  <c r="H64" i="4"/>
  <c r="F63" i="4"/>
  <c r="H62" i="4"/>
  <c r="F61" i="4"/>
  <c r="H60" i="4"/>
  <c r="F59" i="4"/>
  <c r="H58" i="4"/>
  <c r="F57" i="4"/>
  <c r="H56" i="4"/>
  <c r="H55" i="4"/>
  <c r="F54" i="4"/>
  <c r="H51" i="4"/>
  <c r="F50" i="4"/>
  <c r="H47" i="4"/>
  <c r="F46" i="4"/>
  <c r="H43" i="4"/>
  <c r="F42" i="4"/>
  <c r="F38" i="4"/>
  <c r="G37" i="4"/>
  <c r="G35" i="4"/>
  <c r="G33" i="4"/>
  <c r="G31" i="4"/>
  <c r="G29" i="4"/>
  <c r="F55" i="4"/>
  <c r="H52" i="4"/>
  <c r="F51" i="4"/>
  <c r="H48" i="4"/>
  <c r="F47" i="4"/>
  <c r="H44" i="4"/>
  <c r="F43" i="4"/>
  <c r="H41" i="4"/>
  <c r="F40" i="4"/>
  <c r="H39" i="4"/>
  <c r="H36" i="4"/>
  <c r="H34" i="4"/>
  <c r="H32" i="4"/>
  <c r="H30" i="4"/>
  <c r="H28" i="4"/>
  <c r="H26" i="4"/>
  <c r="H24" i="4"/>
  <c r="H22" i="4"/>
  <c r="H20" i="4"/>
  <c r="H18" i="4"/>
  <c r="H53" i="4"/>
  <c r="F52" i="4"/>
  <c r="H49" i="4"/>
  <c r="F48" i="4"/>
  <c r="H45" i="4"/>
  <c r="F44" i="4"/>
  <c r="G39" i="4"/>
  <c r="H38" i="4"/>
  <c r="G36" i="4"/>
  <c r="G34" i="4"/>
  <c r="G32" i="4"/>
  <c r="G30" i="4"/>
  <c r="G28" i="4"/>
  <c r="H54" i="4"/>
  <c r="F53" i="4"/>
  <c r="H50" i="4"/>
  <c r="F49" i="4"/>
  <c r="H46" i="4"/>
  <c r="F45" i="4"/>
  <c r="H42" i="4"/>
  <c r="F41" i="4"/>
  <c r="H40" i="4"/>
  <c r="F39" i="4"/>
  <c r="G38" i="4"/>
  <c r="H37" i="4"/>
  <c r="H35" i="4"/>
  <c r="H33" i="4"/>
  <c r="H31" i="4"/>
  <c r="H29" i="4"/>
  <c r="H27" i="4"/>
  <c r="H25" i="4"/>
  <c r="H23" i="4"/>
  <c r="H21" i="4"/>
  <c r="H19" i="4"/>
  <c r="G7" i="4"/>
  <c r="F8" i="4"/>
  <c r="H10" i="4"/>
  <c r="G11" i="4"/>
  <c r="F12" i="4"/>
  <c r="H14" i="4"/>
  <c r="G15" i="4"/>
  <c r="F16" i="4"/>
  <c r="G20" i="4"/>
  <c r="G24" i="4"/>
  <c r="G8" i="4"/>
  <c r="F9" i="4"/>
  <c r="H11" i="4"/>
  <c r="G12" i="4"/>
  <c r="F13" i="4"/>
  <c r="H15" i="4"/>
  <c r="G16" i="4"/>
  <c r="F17" i="4"/>
  <c r="G19" i="4"/>
  <c r="G23" i="4"/>
  <c r="G27" i="4"/>
  <c r="H8" i="4"/>
  <c r="G9" i="4"/>
  <c r="F10" i="4"/>
  <c r="H12" i="4"/>
  <c r="G13" i="4"/>
  <c r="F14" i="4"/>
  <c r="H16" i="4"/>
  <c r="G17" i="4"/>
  <c r="G18" i="4"/>
  <c r="G22" i="4"/>
  <c r="G26" i="4"/>
  <c r="H9" i="4"/>
  <c r="G10" i="4"/>
  <c r="F11" i="4"/>
  <c r="H13" i="4"/>
  <c r="G14" i="4"/>
  <c r="F15" i="4"/>
  <c r="H17" i="4"/>
  <c r="G21" i="4"/>
  <c r="G25" i="4"/>
  <c r="S6" i="6"/>
  <c r="N5" i="6" l="1"/>
  <c r="N9" i="6"/>
  <c r="N8" i="6"/>
  <c r="N7" i="6"/>
  <c r="H66" i="4"/>
  <c r="I65" i="4"/>
  <c r="AA65" i="4" s="1"/>
  <c r="I15" i="4"/>
  <c r="AA15" i="4" s="1"/>
  <c r="O2" i="4"/>
  <c r="O65" i="4" s="1"/>
  <c r="I18" i="3"/>
  <c r="I39" i="4"/>
  <c r="AA39" i="4" s="1"/>
  <c r="I38" i="4"/>
  <c r="AA38" i="4" s="1"/>
  <c r="I11" i="4"/>
  <c r="AA11" i="4" s="1"/>
  <c r="G40" i="4"/>
  <c r="I40" i="4" s="1"/>
  <c r="AA40" i="4" s="1"/>
  <c r="E40" i="4"/>
  <c r="G43" i="4"/>
  <c r="I43" i="4" s="1"/>
  <c r="AA43" i="4" s="1"/>
  <c r="E43" i="4"/>
  <c r="E41" i="4"/>
  <c r="G41" i="4"/>
  <c r="I41" i="4" s="1"/>
  <c r="AA41" i="4" s="1"/>
  <c r="E54" i="4"/>
  <c r="G54" i="4"/>
  <c r="I54" i="4" s="1"/>
  <c r="AA54" i="4" s="1"/>
  <c r="E56" i="4"/>
  <c r="G56" i="4"/>
  <c r="I56" i="4" s="1"/>
  <c r="AA56" i="4" s="1"/>
  <c r="E64" i="4"/>
  <c r="G64" i="4"/>
  <c r="I64" i="4" s="1"/>
  <c r="AA64" i="4" s="1"/>
  <c r="G63" i="4"/>
  <c r="I63" i="4" s="1"/>
  <c r="AA63" i="4" s="1"/>
  <c r="E63" i="4"/>
  <c r="F25" i="4"/>
  <c r="I25" i="4" s="1"/>
  <c r="AA25" i="4" s="1"/>
  <c r="E25" i="4"/>
  <c r="F33" i="4"/>
  <c r="I33" i="4" s="1"/>
  <c r="AA33" i="4" s="1"/>
  <c r="E33" i="4"/>
  <c r="F20" i="4"/>
  <c r="I20" i="4" s="1"/>
  <c r="AA20" i="4" s="1"/>
  <c r="E20" i="4"/>
  <c r="E28" i="4"/>
  <c r="F28" i="4"/>
  <c r="I28" i="4" s="1"/>
  <c r="AA28" i="4" s="1"/>
  <c r="E36" i="4"/>
  <c r="F36" i="4"/>
  <c r="I36" i="4" s="1"/>
  <c r="AA36" i="4" s="1"/>
  <c r="I17" i="4"/>
  <c r="AA17" i="4" s="1"/>
  <c r="I12" i="4"/>
  <c r="AA12" i="4" s="1"/>
  <c r="E44" i="4"/>
  <c r="G44" i="4"/>
  <c r="I44" i="4" s="1"/>
  <c r="AA44" i="4" s="1"/>
  <c r="G47" i="4"/>
  <c r="I47" i="4" s="1"/>
  <c r="AA47" i="4" s="1"/>
  <c r="E47" i="4"/>
  <c r="E42" i="4"/>
  <c r="G42" i="4"/>
  <c r="I42" i="4" s="1"/>
  <c r="AA42" i="4" s="1"/>
  <c r="G45" i="4"/>
  <c r="I45" i="4" s="1"/>
  <c r="AA45" i="4" s="1"/>
  <c r="E45" i="4"/>
  <c r="E58" i="4"/>
  <c r="G58" i="4"/>
  <c r="I58" i="4" s="1"/>
  <c r="AA58" i="4" s="1"/>
  <c r="G57" i="4"/>
  <c r="I57" i="4" s="1"/>
  <c r="AA57" i="4" s="1"/>
  <c r="E57" i="4"/>
  <c r="I10" i="4"/>
  <c r="AA10" i="4" s="1"/>
  <c r="F19" i="4"/>
  <c r="I19" i="4" s="1"/>
  <c r="AA19" i="4" s="1"/>
  <c r="E19" i="4"/>
  <c r="F27" i="4"/>
  <c r="I27" i="4" s="1"/>
  <c r="AA27" i="4" s="1"/>
  <c r="E27" i="4"/>
  <c r="F35" i="4"/>
  <c r="I35" i="4" s="1"/>
  <c r="AA35" i="4" s="1"/>
  <c r="E35" i="4"/>
  <c r="F22" i="4"/>
  <c r="I22" i="4" s="1"/>
  <c r="AA22" i="4" s="1"/>
  <c r="E22" i="4"/>
  <c r="E30" i="4"/>
  <c r="F30" i="4"/>
  <c r="I30" i="4" s="1"/>
  <c r="AA30" i="4" s="1"/>
  <c r="I16" i="4"/>
  <c r="AA16" i="4" s="1"/>
  <c r="D5" i="2"/>
  <c r="D3" i="2"/>
  <c r="E48" i="4"/>
  <c r="G48" i="4"/>
  <c r="I48" i="4" s="1"/>
  <c r="AA48" i="4" s="1"/>
  <c r="G51" i="4"/>
  <c r="I51" i="4" s="1"/>
  <c r="AA51" i="4" s="1"/>
  <c r="E51" i="4"/>
  <c r="E46" i="4"/>
  <c r="G46" i="4"/>
  <c r="I46" i="4" s="1"/>
  <c r="AA46" i="4" s="1"/>
  <c r="G49" i="4"/>
  <c r="I49" i="4" s="1"/>
  <c r="AA49" i="4" s="1"/>
  <c r="E49" i="4"/>
  <c r="E60" i="4"/>
  <c r="G60" i="4"/>
  <c r="I60" i="4" s="1"/>
  <c r="AA60" i="4" s="1"/>
  <c r="G59" i="4"/>
  <c r="I59" i="4" s="1"/>
  <c r="AA59" i="4" s="1"/>
  <c r="E59" i="4"/>
  <c r="I14" i="4"/>
  <c r="AA14" i="4" s="1"/>
  <c r="F21" i="4"/>
  <c r="I21" i="4" s="1"/>
  <c r="AA21" i="4" s="1"/>
  <c r="E21" i="4"/>
  <c r="F29" i="4"/>
  <c r="I29" i="4" s="1"/>
  <c r="AA29" i="4" s="1"/>
  <c r="E29" i="4"/>
  <c r="F37" i="4"/>
  <c r="I37" i="4" s="1"/>
  <c r="AA37" i="4" s="1"/>
  <c r="E37" i="4"/>
  <c r="F24" i="4"/>
  <c r="I24" i="4" s="1"/>
  <c r="AA24" i="4" s="1"/>
  <c r="E24" i="4"/>
  <c r="E32" i="4"/>
  <c r="F32" i="4"/>
  <c r="I32" i="4" s="1"/>
  <c r="AA32" i="4" s="1"/>
  <c r="I9" i="4"/>
  <c r="AA9" i="4" s="1"/>
  <c r="I7" i="4"/>
  <c r="AA7" i="4" s="1"/>
  <c r="I17" i="3"/>
  <c r="E52" i="4"/>
  <c r="G52" i="4"/>
  <c r="I52" i="4" s="1"/>
  <c r="AA52" i="4" s="1"/>
  <c r="G55" i="4"/>
  <c r="I55" i="4" s="1"/>
  <c r="AA55" i="4" s="1"/>
  <c r="E55" i="4"/>
  <c r="E50" i="4"/>
  <c r="G50" i="4"/>
  <c r="I50" i="4" s="1"/>
  <c r="AA50" i="4" s="1"/>
  <c r="G53" i="4"/>
  <c r="I53" i="4" s="1"/>
  <c r="AA53" i="4" s="1"/>
  <c r="E53" i="4"/>
  <c r="E62" i="4"/>
  <c r="G62" i="4"/>
  <c r="I62" i="4" s="1"/>
  <c r="AA62" i="4" s="1"/>
  <c r="G61" i="4"/>
  <c r="I61" i="4" s="1"/>
  <c r="AA61" i="4" s="1"/>
  <c r="E61" i="4"/>
  <c r="F23" i="4"/>
  <c r="I23" i="4" s="1"/>
  <c r="AA23" i="4" s="1"/>
  <c r="E23" i="4"/>
  <c r="F31" i="4"/>
  <c r="I31" i="4" s="1"/>
  <c r="AA31" i="4" s="1"/>
  <c r="E31" i="4"/>
  <c r="F18" i="4"/>
  <c r="I18" i="4" s="1"/>
  <c r="AA18" i="4" s="1"/>
  <c r="E18" i="4"/>
  <c r="F26" i="4"/>
  <c r="I26" i="4" s="1"/>
  <c r="AA26" i="4" s="1"/>
  <c r="E26" i="4"/>
  <c r="E34" i="4"/>
  <c r="F34" i="4"/>
  <c r="I34" i="4" s="1"/>
  <c r="AA34" i="4" s="1"/>
  <c r="I13" i="4"/>
  <c r="AA13" i="4" s="1"/>
  <c r="I8" i="4"/>
  <c r="AA8" i="4" s="1"/>
  <c r="D4" i="2"/>
  <c r="M63" i="4"/>
  <c r="M61" i="4"/>
  <c r="M59" i="4"/>
  <c r="M57" i="4"/>
  <c r="M55" i="4"/>
  <c r="M53" i="4"/>
  <c r="M51" i="4"/>
  <c r="M49" i="4"/>
  <c r="M47" i="4"/>
  <c r="M45" i="4"/>
  <c r="M43" i="4"/>
  <c r="M64" i="4"/>
  <c r="M62" i="4"/>
  <c r="M60" i="4"/>
  <c r="M58" i="4"/>
  <c r="M56" i="4"/>
  <c r="M54" i="4"/>
  <c r="M52" i="4"/>
  <c r="M50" i="4"/>
  <c r="M48" i="4"/>
  <c r="M46" i="4"/>
  <c r="M44" i="4"/>
  <c r="M42" i="4"/>
  <c r="M40" i="4"/>
  <c r="M37" i="4"/>
  <c r="M35" i="4"/>
  <c r="M33" i="4"/>
  <c r="M31" i="4"/>
  <c r="M29" i="4"/>
  <c r="M41" i="4"/>
  <c r="M39" i="4"/>
  <c r="M36" i="4"/>
  <c r="M34" i="4"/>
  <c r="M32" i="4"/>
  <c r="M30" i="4"/>
  <c r="M28" i="4"/>
  <c r="M38" i="4"/>
  <c r="M27" i="4"/>
  <c r="M23" i="4"/>
  <c r="M19" i="4"/>
  <c r="M14" i="4"/>
  <c r="M10" i="4"/>
  <c r="M6" i="4"/>
  <c r="M24" i="4"/>
  <c r="M20" i="4"/>
  <c r="M17" i="4"/>
  <c r="M13" i="4"/>
  <c r="M9" i="4"/>
  <c r="M25" i="4"/>
  <c r="M21" i="4"/>
  <c r="M16" i="4"/>
  <c r="M12" i="4"/>
  <c r="M8" i="4"/>
  <c r="M26" i="4"/>
  <c r="M22" i="4"/>
  <c r="M18" i="4"/>
  <c r="M15" i="4"/>
  <c r="M11" i="4"/>
  <c r="M7" i="4"/>
  <c r="V21" i="4" l="1"/>
  <c r="V46" i="4"/>
  <c r="V16" i="4"/>
  <c r="V27" i="4"/>
  <c r="V12" i="4"/>
  <c r="V56" i="4"/>
  <c r="V15" i="4"/>
  <c r="V26" i="4"/>
  <c r="V61" i="4"/>
  <c r="V55" i="4"/>
  <c r="V14" i="4"/>
  <c r="V30" i="4"/>
  <c r="V45" i="4"/>
  <c r="V17" i="4"/>
  <c r="V33" i="4"/>
  <c r="V40" i="4"/>
  <c r="V65" i="4"/>
  <c r="V62" i="4"/>
  <c r="V52" i="4"/>
  <c r="V24" i="4"/>
  <c r="V19" i="4"/>
  <c r="V42" i="4"/>
  <c r="V36" i="4"/>
  <c r="V54" i="4"/>
  <c r="V11" i="4"/>
  <c r="V18" i="4"/>
  <c r="V59" i="4"/>
  <c r="V51" i="4"/>
  <c r="V10" i="4"/>
  <c r="V25" i="4"/>
  <c r="V38" i="4"/>
  <c r="V8" i="4"/>
  <c r="V37" i="4"/>
  <c r="V60" i="4"/>
  <c r="V48" i="4"/>
  <c r="V22" i="4"/>
  <c r="V28" i="4"/>
  <c r="V41" i="4"/>
  <c r="V39" i="4"/>
  <c r="V13" i="4"/>
  <c r="V31" i="4"/>
  <c r="V53" i="4"/>
  <c r="V7" i="4"/>
  <c r="V57" i="4"/>
  <c r="V47" i="4"/>
  <c r="V63" i="4"/>
  <c r="V34" i="4"/>
  <c r="V50" i="4"/>
  <c r="V9" i="4"/>
  <c r="V29" i="4"/>
  <c r="V35" i="4"/>
  <c r="V58" i="4"/>
  <c r="V44" i="4"/>
  <c r="V64" i="4"/>
  <c r="V23" i="4"/>
  <c r="V32" i="4"/>
  <c r="V49" i="4"/>
  <c r="V20" i="4"/>
  <c r="V43" i="4"/>
  <c r="I66" i="4"/>
  <c r="G66" i="4"/>
  <c r="F66" i="4"/>
  <c r="O61" i="4"/>
  <c r="O58" i="4"/>
  <c r="O46" i="4"/>
  <c r="O28" i="4"/>
  <c r="O43" i="4"/>
  <c r="O33" i="4"/>
  <c r="O17" i="4"/>
  <c r="O7" i="4"/>
  <c r="O34" i="4"/>
  <c r="O23" i="4"/>
  <c r="O59" i="4"/>
  <c r="O56" i="4"/>
  <c r="O42" i="4"/>
  <c r="O26" i="4"/>
  <c r="O38" i="4"/>
  <c r="O31" i="4"/>
  <c r="O13" i="4"/>
  <c r="O14" i="4"/>
  <c r="O40" i="4"/>
  <c r="O57" i="4"/>
  <c r="O41" i="4"/>
  <c r="O24" i="4"/>
  <c r="O52" i="4"/>
  <c r="O29" i="4"/>
  <c r="O9" i="4"/>
  <c r="O10" i="4"/>
  <c r="O64" i="4"/>
  <c r="O45" i="4"/>
  <c r="O18" i="4"/>
  <c r="O55" i="4"/>
  <c r="O53" i="4"/>
  <c r="O39" i="4"/>
  <c r="O22" i="4"/>
  <c r="O48" i="4"/>
  <c r="O27" i="4"/>
  <c r="O16" i="4"/>
  <c r="O6" i="4"/>
  <c r="O49" i="4"/>
  <c r="O36" i="4"/>
  <c r="O20" i="4"/>
  <c r="O44" i="4"/>
  <c r="O25" i="4"/>
  <c r="O12" i="4"/>
  <c r="O8" i="4"/>
  <c r="O62" i="4"/>
  <c r="O54" i="4"/>
  <c r="O32" i="4"/>
  <c r="O51" i="4"/>
  <c r="O37" i="4"/>
  <c r="O21" i="4"/>
  <c r="O15" i="4"/>
  <c r="O63" i="4"/>
  <c r="O60" i="4"/>
  <c r="O50" i="4"/>
  <c r="O30" i="4"/>
  <c r="O47" i="4"/>
  <c r="O35" i="4"/>
  <c r="O19" i="4"/>
  <c r="O11" i="4"/>
  <c r="Q7" i="4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Q52" i="4" s="1"/>
  <c r="Q53" i="4" s="1"/>
  <c r="Q54" i="4" s="1"/>
  <c r="Q55" i="4" s="1"/>
  <c r="Q56" i="4" s="1"/>
  <c r="Q57" i="4" s="1"/>
  <c r="Q58" i="4" s="1"/>
  <c r="Q59" i="4" s="1"/>
  <c r="Q60" i="4" s="1"/>
  <c r="Q61" i="4" s="1"/>
  <c r="Q62" i="4" s="1"/>
  <c r="Q63" i="4" s="1"/>
  <c r="Q64" i="4" s="1"/>
  <c r="Q65" i="4" s="1"/>
  <c r="G10" i="2"/>
  <c r="D6" i="2"/>
  <c r="E3" i="2"/>
  <c r="M66" i="4"/>
  <c r="G11" i="2"/>
  <c r="H11" i="2" s="1"/>
  <c r="E4" i="2"/>
  <c r="E5" i="2"/>
  <c r="G12" i="2"/>
  <c r="H12" i="2" s="1"/>
  <c r="O66" i="4" l="1"/>
  <c r="H10" i="2"/>
  <c r="H13" i="2" s="1"/>
  <c r="G13" i="2"/>
  <c r="E6" i="2"/>
  <c r="B3" i="5" s="1"/>
  <c r="D18" i="2" l="1"/>
  <c r="C18" i="2"/>
  <c r="B4" i="5"/>
  <c r="B18" i="2"/>
  <c r="B6" i="5" l="1"/>
  <c r="B5" i="5"/>
  <c r="G16" i="3" l="1"/>
  <c r="I16" i="3" s="1"/>
  <c r="I19" i="3" s="1"/>
  <c r="G19" i="3" l="1"/>
  <c r="K2" i="4"/>
  <c r="K45" i="4" l="1"/>
  <c r="P45" i="4" s="1"/>
  <c r="K9" i="4"/>
  <c r="P9" i="4" s="1"/>
  <c r="K37" i="4"/>
  <c r="P37" i="4" s="1"/>
  <c r="K54" i="4"/>
  <c r="P54" i="4" s="1"/>
  <c r="K41" i="4"/>
  <c r="P41" i="4" s="1"/>
  <c r="K60" i="4"/>
  <c r="P60" i="4" s="1"/>
  <c r="K33" i="4"/>
  <c r="P33" i="4" s="1"/>
  <c r="K28" i="4"/>
  <c r="P28" i="4" s="1"/>
  <c r="K62" i="4"/>
  <c r="P62" i="4" s="1"/>
  <c r="K26" i="4"/>
  <c r="P26" i="4" s="1"/>
  <c r="K36" i="4"/>
  <c r="P36" i="4" s="1"/>
  <c r="K29" i="4"/>
  <c r="P29" i="4" s="1"/>
  <c r="K64" i="4"/>
  <c r="P64" i="4" s="1"/>
  <c r="K51" i="4"/>
  <c r="P51" i="4" s="1"/>
  <c r="K61" i="4"/>
  <c r="P61" i="4" s="1"/>
  <c r="K30" i="4"/>
  <c r="P30" i="4" s="1"/>
  <c r="K31" i="4"/>
  <c r="P31" i="4" s="1"/>
  <c r="K59" i="4"/>
  <c r="P59" i="4" s="1"/>
  <c r="K6" i="4"/>
  <c r="P6" i="4" s="1"/>
  <c r="K7" i="4"/>
  <c r="K16" i="4"/>
  <c r="P16" i="4" s="1"/>
  <c r="K18" i="4"/>
  <c r="P18" i="4" s="1"/>
  <c r="K48" i="4"/>
  <c r="P48" i="4" s="1"/>
  <c r="K40" i="4"/>
  <c r="P40" i="4" s="1"/>
  <c r="K58" i="4"/>
  <c r="P58" i="4" s="1"/>
  <c r="K55" i="4"/>
  <c r="P55" i="4" s="1"/>
  <c r="K10" i="4"/>
  <c r="P10" i="4" s="1"/>
  <c r="K11" i="4"/>
  <c r="P11" i="4" s="1"/>
  <c r="K47" i="4"/>
  <c r="P47" i="4" s="1"/>
  <c r="K49" i="4"/>
  <c r="P49" i="4" s="1"/>
  <c r="K39" i="4"/>
  <c r="P39" i="4" s="1"/>
  <c r="K42" i="4"/>
  <c r="P42" i="4" s="1"/>
  <c r="K46" i="4"/>
  <c r="P46" i="4" s="1"/>
  <c r="K8" i="4"/>
  <c r="P8" i="4" s="1"/>
  <c r="K35" i="4"/>
  <c r="P35" i="4" s="1"/>
  <c r="K56" i="4"/>
  <c r="P56" i="4" s="1"/>
  <c r="K32" i="4"/>
  <c r="P32" i="4" s="1"/>
  <c r="K50" i="4"/>
  <c r="P50" i="4" s="1"/>
  <c r="K52" i="4"/>
  <c r="P52" i="4" s="1"/>
  <c r="K14" i="4"/>
  <c r="P14" i="4" s="1"/>
  <c r="K57" i="4"/>
  <c r="P57" i="4" s="1"/>
  <c r="K17" i="4"/>
  <c r="P17" i="4" s="1"/>
  <c r="K34" i="4"/>
  <c r="P34" i="4" s="1"/>
  <c r="K63" i="4"/>
  <c r="P63" i="4" s="1"/>
  <c r="K13" i="4"/>
  <c r="P13" i="4" s="1"/>
  <c r="K43" i="4"/>
  <c r="P43" i="4" s="1"/>
  <c r="K21" i="4"/>
  <c r="P21" i="4" s="1"/>
  <c r="K53" i="4"/>
  <c r="P53" i="4" s="1"/>
  <c r="K23" i="4"/>
  <c r="P23" i="4" s="1"/>
  <c r="K38" i="4"/>
  <c r="P38" i="4" s="1"/>
  <c r="K25" i="4"/>
  <c r="P25" i="4" s="1"/>
  <c r="K22" i="4"/>
  <c r="P22" i="4" s="1"/>
  <c r="K24" i="4"/>
  <c r="P24" i="4" s="1"/>
  <c r="K19" i="4"/>
  <c r="P19" i="4" s="1"/>
  <c r="K27" i="4"/>
  <c r="P27" i="4" s="1"/>
  <c r="K44" i="4"/>
  <c r="P44" i="4" s="1"/>
  <c r="K15" i="4"/>
  <c r="P15" i="4" s="1"/>
  <c r="K65" i="4"/>
  <c r="P65" i="4" s="1"/>
  <c r="K20" i="4"/>
  <c r="P20" i="4" s="1"/>
  <c r="K12" i="4"/>
  <c r="P12" i="4" s="1"/>
  <c r="K8" i="5"/>
  <c r="C25" i="3"/>
  <c r="S14" i="4" l="1"/>
  <c r="AB14" i="4"/>
  <c r="AC14" i="4" s="1"/>
  <c r="W14" i="4"/>
  <c r="X14" i="4" s="1"/>
  <c r="AE14" i="4" s="1"/>
  <c r="W42" i="4"/>
  <c r="X42" i="4" s="1"/>
  <c r="AE42" i="4" s="1"/>
  <c r="S42" i="4"/>
  <c r="AB42" i="4"/>
  <c r="AC42" i="4" s="1"/>
  <c r="S40" i="4"/>
  <c r="W40" i="4"/>
  <c r="X40" i="4" s="1"/>
  <c r="AE40" i="4" s="1"/>
  <c r="AB40" i="4"/>
  <c r="AC40" i="4" s="1"/>
  <c r="AB30" i="4"/>
  <c r="AC30" i="4" s="1"/>
  <c r="S30" i="4"/>
  <c r="W30" i="4"/>
  <c r="X30" i="4" s="1"/>
  <c r="AE30" i="4" s="1"/>
  <c r="S28" i="4"/>
  <c r="AB28" i="4"/>
  <c r="AC28" i="4" s="1"/>
  <c r="W28" i="4"/>
  <c r="X28" i="4" s="1"/>
  <c r="AE28" i="4" s="1"/>
  <c r="W27" i="4"/>
  <c r="X27" i="4" s="1"/>
  <c r="AE27" i="4" s="1"/>
  <c r="AB27" i="4"/>
  <c r="AC27" i="4" s="1"/>
  <c r="S27" i="4"/>
  <c r="S21" i="4"/>
  <c r="W21" i="4"/>
  <c r="X21" i="4" s="1"/>
  <c r="AE21" i="4" s="1"/>
  <c r="AB21" i="4"/>
  <c r="AC21" i="4" s="1"/>
  <c r="S52" i="4"/>
  <c r="W52" i="4"/>
  <c r="X52" i="4" s="1"/>
  <c r="AE52" i="4" s="1"/>
  <c r="AB52" i="4"/>
  <c r="AC52" i="4" s="1"/>
  <c r="W39" i="4"/>
  <c r="X39" i="4" s="1"/>
  <c r="AE39" i="4" s="1"/>
  <c r="AB39" i="4"/>
  <c r="AC39" i="4" s="1"/>
  <c r="S39" i="4"/>
  <c r="S48" i="4"/>
  <c r="W48" i="4"/>
  <c r="X48" i="4" s="1"/>
  <c r="AE48" i="4" s="1"/>
  <c r="AB48" i="4"/>
  <c r="AC48" i="4" s="1"/>
  <c r="W61" i="4"/>
  <c r="X61" i="4" s="1"/>
  <c r="AE61" i="4" s="1"/>
  <c r="AB61" i="4"/>
  <c r="AC61" i="4" s="1"/>
  <c r="S61" i="4"/>
  <c r="W33" i="4"/>
  <c r="X33" i="4" s="1"/>
  <c r="AE33" i="4" s="1"/>
  <c r="AB33" i="4"/>
  <c r="AC33" i="4" s="1"/>
  <c r="S33" i="4"/>
  <c r="AB44" i="4"/>
  <c r="AC44" i="4" s="1"/>
  <c r="S44" i="4"/>
  <c r="W44" i="4"/>
  <c r="X44" i="4" s="1"/>
  <c r="AE44" i="4" s="1"/>
  <c r="AB18" i="4"/>
  <c r="AC18" i="4" s="1"/>
  <c r="W18" i="4"/>
  <c r="X18" i="4" s="1"/>
  <c r="AE18" i="4" s="1"/>
  <c r="S18" i="4"/>
  <c r="L8" i="5"/>
  <c r="AB24" i="4"/>
  <c r="AC24" i="4" s="1"/>
  <c r="S24" i="4"/>
  <c r="W24" i="4"/>
  <c r="X24" i="4" s="1"/>
  <c r="AE24" i="4" s="1"/>
  <c r="W13" i="4"/>
  <c r="X13" i="4" s="1"/>
  <c r="AE13" i="4" s="1"/>
  <c r="S13" i="4"/>
  <c r="AB13" i="4"/>
  <c r="AC13" i="4" s="1"/>
  <c r="S32" i="4"/>
  <c r="AB32" i="4"/>
  <c r="AC32" i="4" s="1"/>
  <c r="W32" i="4"/>
  <c r="X32" i="4" s="1"/>
  <c r="AE32" i="4" s="1"/>
  <c r="AB47" i="4"/>
  <c r="AC47" i="4" s="1"/>
  <c r="W47" i="4"/>
  <c r="X47" i="4" s="1"/>
  <c r="AE47" i="4" s="1"/>
  <c r="S47" i="4"/>
  <c r="S16" i="4"/>
  <c r="W16" i="4"/>
  <c r="X16" i="4" s="1"/>
  <c r="AE16" i="4" s="1"/>
  <c r="AB16" i="4"/>
  <c r="AC16" i="4" s="1"/>
  <c r="S64" i="4"/>
  <c r="AB64" i="4"/>
  <c r="AC64" i="4" s="1"/>
  <c r="W64" i="4"/>
  <c r="X64" i="4" s="1"/>
  <c r="AE64" i="4" s="1"/>
  <c r="W41" i="4"/>
  <c r="X41" i="4" s="1"/>
  <c r="AE41" i="4" s="1"/>
  <c r="AB41" i="4"/>
  <c r="AC41" i="4" s="1"/>
  <c r="S41" i="4"/>
  <c r="AB15" i="4"/>
  <c r="AC15" i="4" s="1"/>
  <c r="W15" i="4"/>
  <c r="X15" i="4" s="1"/>
  <c r="AE15" i="4" s="1"/>
  <c r="S15" i="4"/>
  <c r="AB43" i="4"/>
  <c r="AC43" i="4" s="1"/>
  <c r="W43" i="4"/>
  <c r="X43" i="4" s="1"/>
  <c r="AE43" i="4" s="1"/>
  <c r="S43" i="4"/>
  <c r="W49" i="4"/>
  <c r="X49" i="4" s="1"/>
  <c r="AE49" i="4" s="1"/>
  <c r="S49" i="4"/>
  <c r="AB49" i="4"/>
  <c r="AC49" i="4" s="1"/>
  <c r="W51" i="4"/>
  <c r="X51" i="4" s="1"/>
  <c r="AE51" i="4" s="1"/>
  <c r="AB51" i="4"/>
  <c r="AC51" i="4" s="1"/>
  <c r="S51" i="4"/>
  <c r="AB22" i="4"/>
  <c r="AC22" i="4" s="1"/>
  <c r="S22" i="4"/>
  <c r="W22" i="4"/>
  <c r="X22" i="4" s="1"/>
  <c r="AE22" i="4" s="1"/>
  <c r="W63" i="4"/>
  <c r="X63" i="4" s="1"/>
  <c r="AE63" i="4" s="1"/>
  <c r="AB63" i="4"/>
  <c r="AC63" i="4" s="1"/>
  <c r="S63" i="4"/>
  <c r="S56" i="4"/>
  <c r="W56" i="4"/>
  <c r="X56" i="4" s="1"/>
  <c r="AE56" i="4" s="1"/>
  <c r="AB56" i="4"/>
  <c r="AC56" i="4" s="1"/>
  <c r="W11" i="4"/>
  <c r="X11" i="4" s="1"/>
  <c r="AE11" i="4" s="1"/>
  <c r="AB11" i="4"/>
  <c r="AC11" i="4" s="1"/>
  <c r="S11" i="4"/>
  <c r="K66" i="4"/>
  <c r="P7" i="4"/>
  <c r="AB29" i="4"/>
  <c r="AC29" i="4" s="1"/>
  <c r="S29" i="4"/>
  <c r="W29" i="4"/>
  <c r="X29" i="4" s="1"/>
  <c r="AE29" i="4" s="1"/>
  <c r="W54" i="4"/>
  <c r="X54" i="4" s="1"/>
  <c r="AE54" i="4" s="1"/>
  <c r="AB54" i="4"/>
  <c r="AC54" i="4" s="1"/>
  <c r="S54" i="4"/>
  <c r="AB23" i="4"/>
  <c r="AC23" i="4" s="1"/>
  <c r="W23" i="4"/>
  <c r="X23" i="4" s="1"/>
  <c r="AE23" i="4" s="1"/>
  <c r="S23" i="4"/>
  <c r="S53" i="4"/>
  <c r="W53" i="4"/>
  <c r="X53" i="4" s="1"/>
  <c r="AE53" i="4" s="1"/>
  <c r="AB53" i="4"/>
  <c r="AC53" i="4" s="1"/>
  <c r="AB19" i="4"/>
  <c r="AC19" i="4" s="1"/>
  <c r="W19" i="4"/>
  <c r="X19" i="4" s="1"/>
  <c r="AE19" i="4" s="1"/>
  <c r="S19" i="4"/>
  <c r="S50" i="4"/>
  <c r="AB50" i="4"/>
  <c r="AC50" i="4" s="1"/>
  <c r="W50" i="4"/>
  <c r="X50" i="4" s="1"/>
  <c r="AE50" i="4" s="1"/>
  <c r="S60" i="4"/>
  <c r="AB60" i="4"/>
  <c r="AC60" i="4" s="1"/>
  <c r="W60" i="4"/>
  <c r="X60" i="4" s="1"/>
  <c r="AE60" i="4" s="1"/>
  <c r="S12" i="4"/>
  <c r="W12" i="4"/>
  <c r="X12" i="4" s="1"/>
  <c r="AE12" i="4" s="1"/>
  <c r="AB12" i="4"/>
  <c r="AC12" i="4" s="1"/>
  <c r="W20" i="4"/>
  <c r="X20" i="4" s="1"/>
  <c r="AE20" i="4" s="1"/>
  <c r="S20" i="4"/>
  <c r="AB20" i="4"/>
  <c r="AC20" i="4" s="1"/>
  <c r="AB25" i="4"/>
  <c r="AC25" i="4" s="1"/>
  <c r="S25" i="4"/>
  <c r="W25" i="4"/>
  <c r="X25" i="4" s="1"/>
  <c r="AE25" i="4" s="1"/>
  <c r="S34" i="4"/>
  <c r="W34" i="4"/>
  <c r="X34" i="4" s="1"/>
  <c r="AE34" i="4" s="1"/>
  <c r="AB34" i="4"/>
  <c r="AC34" i="4" s="1"/>
  <c r="W35" i="4"/>
  <c r="X35" i="4" s="1"/>
  <c r="AE35" i="4" s="1"/>
  <c r="AB35" i="4"/>
  <c r="AC35" i="4" s="1"/>
  <c r="S35" i="4"/>
  <c r="W10" i="4"/>
  <c r="X10" i="4" s="1"/>
  <c r="AE10" i="4" s="1"/>
  <c r="AB10" i="4"/>
  <c r="AC10" i="4" s="1"/>
  <c r="S10" i="4"/>
  <c r="W6" i="4"/>
  <c r="X6" i="4" s="1"/>
  <c r="AB6" i="4"/>
  <c r="AC6" i="4" s="1"/>
  <c r="S6" i="4"/>
  <c r="T6" i="4" s="1"/>
  <c r="R6" i="4"/>
  <c r="S36" i="4"/>
  <c r="AB36" i="4"/>
  <c r="AC36" i="4" s="1"/>
  <c r="W36" i="4"/>
  <c r="X36" i="4" s="1"/>
  <c r="AE36" i="4" s="1"/>
  <c r="AB37" i="4"/>
  <c r="AC37" i="4" s="1"/>
  <c r="S37" i="4"/>
  <c r="W37" i="4"/>
  <c r="X37" i="4" s="1"/>
  <c r="AE37" i="4" s="1"/>
  <c r="S65" i="4"/>
  <c r="AB65" i="4"/>
  <c r="AC65" i="4" s="1"/>
  <c r="W65" i="4"/>
  <c r="X65" i="4" s="1"/>
  <c r="AE65" i="4" s="1"/>
  <c r="AB38" i="4"/>
  <c r="AC38" i="4" s="1"/>
  <c r="S38" i="4"/>
  <c r="W38" i="4"/>
  <c r="X38" i="4" s="1"/>
  <c r="AE38" i="4" s="1"/>
  <c r="W17" i="4"/>
  <c r="X17" i="4" s="1"/>
  <c r="AE17" i="4" s="1"/>
  <c r="S17" i="4"/>
  <c r="AB17" i="4"/>
  <c r="AC17" i="4" s="1"/>
  <c r="S8" i="4"/>
  <c r="W8" i="4"/>
  <c r="X8" i="4" s="1"/>
  <c r="AE8" i="4" s="1"/>
  <c r="AB8" i="4"/>
  <c r="AC8" i="4" s="1"/>
  <c r="AB55" i="4"/>
  <c r="AC55" i="4" s="1"/>
  <c r="W55" i="4"/>
  <c r="X55" i="4" s="1"/>
  <c r="AE55" i="4" s="1"/>
  <c r="S55" i="4"/>
  <c r="AB59" i="4"/>
  <c r="AC59" i="4" s="1"/>
  <c r="W59" i="4"/>
  <c r="X59" i="4" s="1"/>
  <c r="AE59" i="4" s="1"/>
  <c r="S59" i="4"/>
  <c r="W26" i="4"/>
  <c r="X26" i="4" s="1"/>
  <c r="AE26" i="4" s="1"/>
  <c r="AB26" i="4"/>
  <c r="AC26" i="4" s="1"/>
  <c r="S26" i="4"/>
  <c r="W9" i="4"/>
  <c r="X9" i="4" s="1"/>
  <c r="AE9" i="4" s="1"/>
  <c r="AB9" i="4"/>
  <c r="AC9" i="4" s="1"/>
  <c r="S9" i="4"/>
  <c r="W57" i="4"/>
  <c r="X57" i="4" s="1"/>
  <c r="AE57" i="4" s="1"/>
  <c r="S57" i="4"/>
  <c r="AB57" i="4"/>
  <c r="AC57" i="4" s="1"/>
  <c r="W46" i="4"/>
  <c r="X46" i="4" s="1"/>
  <c r="AE46" i="4" s="1"/>
  <c r="S46" i="4"/>
  <c r="AB46" i="4"/>
  <c r="AC46" i="4" s="1"/>
  <c r="AB58" i="4"/>
  <c r="AC58" i="4" s="1"/>
  <c r="W58" i="4"/>
  <c r="X58" i="4" s="1"/>
  <c r="AE58" i="4" s="1"/>
  <c r="S58" i="4"/>
  <c r="W31" i="4"/>
  <c r="X31" i="4" s="1"/>
  <c r="AE31" i="4" s="1"/>
  <c r="AB31" i="4"/>
  <c r="AC31" i="4" s="1"/>
  <c r="S31" i="4"/>
  <c r="AB62" i="4"/>
  <c r="AC62" i="4" s="1"/>
  <c r="W62" i="4"/>
  <c r="X62" i="4" s="1"/>
  <c r="AE62" i="4" s="1"/>
  <c r="S62" i="4"/>
  <c r="AB45" i="4"/>
  <c r="AC45" i="4" s="1"/>
  <c r="W45" i="4"/>
  <c r="X45" i="4" s="1"/>
  <c r="AE45" i="4" s="1"/>
  <c r="S45" i="4"/>
  <c r="AB7" i="4" l="1"/>
  <c r="AC7" i="4" s="1"/>
  <c r="AC68" i="4" s="1"/>
  <c r="F4" i="5" s="1"/>
  <c r="R7" i="4"/>
  <c r="R8" i="4" s="1"/>
  <c r="R9" i="4" s="1"/>
  <c r="R10" i="4" s="1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29" i="4" s="1"/>
  <c r="R30" i="4" s="1"/>
  <c r="R31" i="4" s="1"/>
  <c r="R32" i="4" s="1"/>
  <c r="R33" i="4" s="1"/>
  <c r="R34" i="4" s="1"/>
  <c r="R35" i="4" s="1"/>
  <c r="R36" i="4" s="1"/>
  <c r="R37" i="4" s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R51" i="4" s="1"/>
  <c r="R52" i="4" s="1"/>
  <c r="R53" i="4" s="1"/>
  <c r="R54" i="4" s="1"/>
  <c r="R55" i="4" s="1"/>
  <c r="R56" i="4" s="1"/>
  <c r="R57" i="4" s="1"/>
  <c r="R58" i="4" s="1"/>
  <c r="R59" i="4" s="1"/>
  <c r="R60" i="4" s="1"/>
  <c r="R61" i="4" s="1"/>
  <c r="R62" i="4" s="1"/>
  <c r="R63" i="4" s="1"/>
  <c r="R64" i="4" s="1"/>
  <c r="R65" i="4" s="1"/>
  <c r="P66" i="4"/>
  <c r="W7" i="4"/>
  <c r="X7" i="4" s="1"/>
  <c r="S7" i="4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46" i="4" s="1"/>
  <c r="T47" i="4" s="1"/>
  <c r="T48" i="4" s="1"/>
  <c r="T49" i="4" s="1"/>
  <c r="T50" i="4" s="1"/>
  <c r="T51" i="4" s="1"/>
  <c r="T52" i="4" s="1"/>
  <c r="T53" i="4" s="1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X68" i="4" l="1"/>
  <c r="F13" i="5" s="1"/>
  <c r="AE7" i="4"/>
  <c r="AF7" i="4" l="1"/>
  <c r="AF8" i="4" s="1"/>
  <c r="AF9" i="4" s="1"/>
  <c r="AF10" i="4" s="1"/>
  <c r="AF11" i="4" s="1"/>
  <c r="AF12" i="4" s="1"/>
  <c r="AF13" i="4" s="1"/>
  <c r="AF14" i="4" s="1"/>
  <c r="AF15" i="4" s="1"/>
  <c r="AF16" i="4" s="1"/>
  <c r="AF17" i="4" s="1"/>
  <c r="AF18" i="4" s="1"/>
  <c r="AF19" i="4" s="1"/>
  <c r="AF20" i="4" s="1"/>
  <c r="AF21" i="4" s="1"/>
  <c r="AF22" i="4" s="1"/>
  <c r="AF23" i="4" s="1"/>
  <c r="AF24" i="4" s="1"/>
  <c r="AF25" i="4" s="1"/>
  <c r="AF26" i="4" s="1"/>
  <c r="AF27" i="4" s="1"/>
  <c r="AF28" i="4" s="1"/>
  <c r="AF29" i="4" s="1"/>
  <c r="AF30" i="4" s="1"/>
  <c r="AF31" i="4" s="1"/>
  <c r="AF32" i="4" s="1"/>
  <c r="AF33" i="4" s="1"/>
  <c r="AF34" i="4" s="1"/>
  <c r="AF35" i="4" s="1"/>
  <c r="AF36" i="4" s="1"/>
  <c r="AF37" i="4" s="1"/>
  <c r="AF38" i="4" s="1"/>
  <c r="AF39" i="4" s="1"/>
  <c r="AF40" i="4" s="1"/>
  <c r="AF41" i="4" s="1"/>
  <c r="AF42" i="4" s="1"/>
  <c r="AF43" i="4" s="1"/>
  <c r="AF44" i="4" s="1"/>
  <c r="AF45" i="4" s="1"/>
  <c r="AF46" i="4" s="1"/>
  <c r="AF47" i="4" s="1"/>
  <c r="AF48" i="4" s="1"/>
  <c r="AF49" i="4" s="1"/>
  <c r="AF50" i="4" s="1"/>
  <c r="AF51" i="4" s="1"/>
  <c r="AF52" i="4" s="1"/>
  <c r="AF53" i="4" s="1"/>
  <c r="AF54" i="4" s="1"/>
  <c r="AF55" i="4" s="1"/>
  <c r="AF56" i="4" s="1"/>
  <c r="AF57" i="4" s="1"/>
  <c r="AF58" i="4" s="1"/>
  <c r="AF59" i="4" s="1"/>
  <c r="AF60" i="4" s="1"/>
  <c r="AF61" i="4" s="1"/>
  <c r="AF62" i="4" s="1"/>
  <c r="AF63" i="4" s="1"/>
  <c r="AF64" i="4" s="1"/>
  <c r="AF65" i="4" s="1"/>
  <c r="AE6" i="4"/>
  <c r="AF69" i="4" s="1"/>
  <c r="C23" i="3"/>
  <c r="AF6" i="4" l="1"/>
  <c r="AF67" i="4"/>
  <c r="K16" i="5" s="1"/>
  <c r="E24" i="3"/>
  <c r="C27" i="3"/>
  <c r="F14" i="5" s="1"/>
  <c r="T6" i="6" l="1"/>
  <c r="G14" i="5"/>
  <c r="K9" i="5"/>
  <c r="K5" i="5"/>
  <c r="L5" i="5" s="1"/>
  <c r="D7" i="6"/>
  <c r="K7" i="6" s="1"/>
  <c r="F5" i="5"/>
  <c r="N9" i="5" l="1"/>
  <c r="L9" i="5"/>
  <c r="K10" i="5"/>
  <c r="K13" i="5"/>
  <c r="K14" i="5" l="1"/>
  <c r="L10" i="5"/>
  <c r="K11" i="5"/>
  <c r="K12" i="5"/>
  <c r="N10" i="5"/>
</calcChain>
</file>

<file path=xl/sharedStrings.xml><?xml version="1.0" encoding="utf-8"?>
<sst xmlns="http://schemas.openxmlformats.org/spreadsheetml/2006/main" count="221" uniqueCount="152">
  <si>
    <t>Florianópolis</t>
  </si>
  <si>
    <t>Serviço</t>
  </si>
  <si>
    <t>Custo</t>
  </si>
  <si>
    <t>1ª Fase</t>
  </si>
  <si>
    <t>2ª Fase</t>
  </si>
  <si>
    <t>3ª Fase</t>
  </si>
  <si>
    <t>%</t>
  </si>
  <si>
    <t>R$</t>
  </si>
  <si>
    <t>Serviços de topografia</t>
  </si>
  <si>
    <t>Terraplanagem Leve</t>
  </si>
  <si>
    <t xml:space="preserve">Terraplanagem médio </t>
  </si>
  <si>
    <t>Terraplanagem pesado</t>
  </si>
  <si>
    <t>Rede de Água potável</t>
  </si>
  <si>
    <t>Rede de Esgoto</t>
  </si>
  <si>
    <t>Drenagem de Águas pluviais - galerias</t>
  </si>
  <si>
    <t>Drenagem de Águas pluviais - guias e sarjetas</t>
  </si>
  <si>
    <t xml:space="preserve">Pavimentação </t>
  </si>
  <si>
    <t>Rede de iluminação pública</t>
  </si>
  <si>
    <t>Urbanizador:</t>
  </si>
  <si>
    <t>Tipo de obra</t>
  </si>
  <si>
    <t>BDI acórdão</t>
  </si>
  <si>
    <t>Custos</t>
  </si>
  <si>
    <t>Peso</t>
  </si>
  <si>
    <t>BDI Urb.</t>
  </si>
  <si>
    <t>BDI Rodovias</t>
  </si>
  <si>
    <t>BDI redes (água + esgoto)</t>
  </si>
  <si>
    <t>BDI rede elétrica</t>
  </si>
  <si>
    <t>Somas</t>
  </si>
  <si>
    <t>Loteador:</t>
  </si>
  <si>
    <t>Adm. Central</t>
  </si>
  <si>
    <t>S+G</t>
  </si>
  <si>
    <t>DF</t>
  </si>
  <si>
    <t>Soma</t>
  </si>
  <si>
    <t>BDI Lot.</t>
  </si>
  <si>
    <t>Comercialização</t>
  </si>
  <si>
    <t>Lucro Loteador</t>
  </si>
  <si>
    <t>Impostos</t>
  </si>
  <si>
    <t>IRPJ, CSLL, PIS e COFINS para SPE</t>
  </si>
  <si>
    <t>BDI Loteador</t>
  </si>
  <si>
    <t>Florianóopolis/SC</t>
  </si>
  <si>
    <t>Área da Gleba</t>
  </si>
  <si>
    <t>m2</t>
  </si>
  <si>
    <t>Áreas Verdes e de Lazer</t>
  </si>
  <si>
    <t>Área Institucional</t>
  </si>
  <si>
    <t>Área dos Lotes (útil)</t>
  </si>
  <si>
    <t>Arruamento e outros</t>
  </si>
  <si>
    <t>Área do Lote</t>
  </si>
  <si>
    <t>Quantidade de lotes</t>
  </si>
  <si>
    <t>Valor do Lote</t>
  </si>
  <si>
    <t>VU Lote</t>
  </si>
  <si>
    <t>Lotes</t>
  </si>
  <si>
    <t>Duração</t>
  </si>
  <si>
    <t>Velocidade de Venda</t>
  </si>
  <si>
    <t>Área útil</t>
  </si>
  <si>
    <t>Custo (PINI)</t>
  </si>
  <si>
    <t>Custo Total</t>
  </si>
  <si>
    <t>Receita Total</t>
  </si>
  <si>
    <t>Lucro</t>
  </si>
  <si>
    <t>un.</t>
  </si>
  <si>
    <t>meses</t>
  </si>
  <si>
    <t>lotes/mês</t>
  </si>
  <si>
    <t>R$/1.000m2</t>
  </si>
  <si>
    <t>1ª Etapa</t>
  </si>
  <si>
    <t>2ª Etapa</t>
  </si>
  <si>
    <t>3ª Etapa</t>
  </si>
  <si>
    <t>TOTAL</t>
  </si>
  <si>
    <t>-</t>
  </si>
  <si>
    <t>Despesas Iniciais</t>
  </si>
  <si>
    <t>Despesas de compra (ITBI)</t>
  </si>
  <si>
    <t>ref.: valor da gleba</t>
  </si>
  <si>
    <t>Legalização (cartório)</t>
  </si>
  <si>
    <t>Projeto</t>
  </si>
  <si>
    <t>ref.: custos urbanização</t>
  </si>
  <si>
    <t>Total</t>
  </si>
  <si>
    <t>Obs.: Considerou-se que a valorização dos imóveis no período do empreendimento é suficiente para compensar o ITU</t>
  </si>
  <si>
    <t>Sens.</t>
  </si>
  <si>
    <t>Vlote</t>
  </si>
  <si>
    <t>Taxa</t>
  </si>
  <si>
    <t>Mês</t>
  </si>
  <si>
    <t>VENDAS</t>
  </si>
  <si>
    <t>RECEITAS</t>
  </si>
  <si>
    <t>BALANÇO</t>
  </si>
  <si>
    <t>FC usando TMA ajustada ao risco e com lucro embutido na TMA</t>
  </si>
  <si>
    <t>FC para TIR</t>
  </si>
  <si>
    <t>Receitas Acum.</t>
  </si>
  <si>
    <t>Despesas Acum.</t>
  </si>
  <si>
    <t>Saldo</t>
  </si>
  <si>
    <t>Saldo Acumulado</t>
  </si>
  <si>
    <t>Saldo com BDI</t>
  </si>
  <si>
    <t>TOTAIS</t>
  </si>
  <si>
    <t>BDI Urbanizador</t>
  </si>
  <si>
    <t>TIR</t>
  </si>
  <si>
    <t>VPL</t>
  </si>
  <si>
    <t>Análise com Lucro</t>
  </si>
  <si>
    <t>acórdão TCU</t>
  </si>
  <si>
    <t>Lucro após pgto terreno:</t>
  </si>
  <si>
    <t>DI Loteador</t>
  </si>
  <si>
    <t xml:space="preserve">VPL: </t>
  </si>
  <si>
    <t>Líquido</t>
  </si>
  <si>
    <t>Sobre VGV</t>
  </si>
  <si>
    <t xml:space="preserve">VPL - Desp. Iniciais: </t>
  </si>
  <si>
    <t>Taxa de desconto sem risco (a.a.)</t>
  </si>
  <si>
    <t>VGV</t>
  </si>
  <si>
    <t>Taxa de desconto sem risco (a.m.)</t>
  </si>
  <si>
    <t>Terreno</t>
  </si>
  <si>
    <t>Resultado</t>
  </si>
  <si>
    <t>Análise com Risco</t>
  </si>
  <si>
    <t>Lucratividade</t>
  </si>
  <si>
    <t>Taxa básica (Selic) (a.a.)</t>
  </si>
  <si>
    <t>Prêmio Risco</t>
  </si>
  <si>
    <t>Rentabilidade</t>
  </si>
  <si>
    <t>Taxa básica (Selic) (a.m.)</t>
  </si>
  <si>
    <t>Custos/Área líquida</t>
  </si>
  <si>
    <t>Inflação (IPCA) (a.a)</t>
  </si>
  <si>
    <t>Resultado/Área líquida</t>
  </si>
  <si>
    <t>Inflação (IPCA) (a.m)</t>
  </si>
  <si>
    <t>Prêmio de Risco (em % da taxa básica)</t>
  </si>
  <si>
    <t>TIR (% a.m) =</t>
  </si>
  <si>
    <t>Taxa com inflação, com risco (a.a.)</t>
  </si>
  <si>
    <t>PB (meses) =</t>
  </si>
  <si>
    <t>Taxa sem inflação, com risco (a.a.)</t>
  </si>
  <si>
    <t>Taxa sem inflação, com risco (a.m.)</t>
  </si>
  <si>
    <t>Variação</t>
  </si>
  <si>
    <t>Valor da Gleba</t>
  </si>
  <si>
    <t>Custos Urb.</t>
  </si>
  <si>
    <t>Prêmio de Risco</t>
  </si>
  <si>
    <t>TMA (a.m.)</t>
  </si>
  <si>
    <t>Taxa de desconto real sem risco (a.a.)</t>
  </si>
  <si>
    <t>Taxa de desconto real sem risco (a.m.)</t>
  </si>
  <si>
    <t>ha</t>
  </si>
  <si>
    <t>R$/m2</t>
  </si>
  <si>
    <t>R$/ha</t>
  </si>
  <si>
    <t>VU</t>
  </si>
  <si>
    <t>Custos de Urbanização</t>
  </si>
  <si>
    <t>Receita</t>
  </si>
  <si>
    <t>% Custos</t>
  </si>
  <si>
    <t>PESSIMISTA</t>
  </si>
  <si>
    <t>VU LOTE</t>
  </si>
  <si>
    <t>CUSTOS URB.</t>
  </si>
  <si>
    <t>T.M.A.</t>
  </si>
  <si>
    <t>VALOR DA GLEBA</t>
  </si>
  <si>
    <t>REALISTA</t>
  </si>
  <si>
    <t>OTIMISTA</t>
  </si>
  <si>
    <t>BDI Loteador - Lucro</t>
  </si>
  <si>
    <t>Custos mais BDI Urb</t>
  </si>
  <si>
    <t>a.m.</t>
  </si>
  <si>
    <t>a.a.</t>
  </si>
  <si>
    <t>Receitas menos DI Loteador</t>
  </si>
  <si>
    <t>CUSTOS DE CONSTRUÇÃO/DESPESAS</t>
  </si>
  <si>
    <t>Demolições</t>
  </si>
  <si>
    <t>Receitas menos BDI Loteador</t>
  </si>
  <si>
    <t>FC usando TMA sem risco e com lucro embutido no BDI do Loteador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</si>
</sst>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8" formatCode="&quot;R$&quot;\ #,##0.00;[Red]\-&quot;R$&quot;\ #,##0.00"/>
    <numFmt numFmtId="43" formatCode="_-* #,##0.00_-;\-* #,##0.00_-;_-* &quot;-&quot;??_-;_-@_-"/>
    <numFmt numFmtId="164" formatCode="&quot;R$&quot;#,##0.00;[Red]\-&quot;R$&quot;#,##0.00"/>
    <numFmt numFmtId="165" formatCode="_-&quot;R$&quot;\ * #,##0.00_-;\-&quot;R$&quot;\ * #,##0.00_-;_-&quot;R$&quot;\ * &quot;-&quot;??_-;_-@"/>
    <numFmt numFmtId="166" formatCode="0.000"/>
    <numFmt numFmtId="167" formatCode="0.0%"/>
    <numFmt numFmtId="168" formatCode="_-* #,##0_-;\-* #,##0_-;_-* &quot;-&quot;??_-;_-@"/>
    <numFmt numFmtId="169" formatCode="_-* #,##0.00_-;\-* #,##0.00_-;_-* &quot;-&quot;??_-;_-@"/>
    <numFmt numFmtId="170" formatCode="0.0"/>
    <numFmt numFmtId="171" formatCode="#,##0.00_ ;\-#,##0.00\ "/>
    <numFmt numFmtId="172" formatCode="0.000%"/>
    <numFmt numFmtId="173" formatCode="#,##0.00_ ;[Red]\-#,##0.00\ "/>
    <numFmt numFmtId="174" formatCode="[$R$ -416]#,##0.00"/>
    <numFmt numFmtId="175" formatCode="&quot;R$&quot;\ #,##0.00"/>
    <numFmt numFmtId="176" formatCode="0.0000%"/>
    <numFmt numFmtId="177" formatCode="_-* #,##0_-;\-* #,##0_-;_-* &quot;-&quot;??_-;_-@_-"/>
  </numFmts>
  <fonts count="15" x14ac:knownFonts="1">
    <font>
      <sz val="10"/>
      <color theme="1"/>
      <name val="Calibri"/>
      <scheme val="minor"/>
    </font>
    <font>
      <sz val="12"/>
      <color theme="1"/>
      <name val="Calibri"/>
    </font>
    <font>
      <sz val="10"/>
      <name val="Calibri"/>
    </font>
    <font>
      <b/>
      <sz val="12"/>
      <color theme="1"/>
      <name val="Calibri"/>
    </font>
    <font>
      <sz val="10"/>
      <color theme="1"/>
      <name val="Calibri"/>
    </font>
    <font>
      <b/>
      <sz val="10"/>
      <color theme="1"/>
      <name val="Calibri"/>
    </font>
    <font>
      <sz val="10"/>
      <color theme="1"/>
      <name val="Calibri"/>
      <scheme val="minor"/>
    </font>
    <font>
      <sz val="10"/>
      <color rgb="FF0070C0"/>
      <name val="Calibri"/>
    </font>
    <font>
      <b/>
      <sz val="10"/>
      <color rgb="FFFF0000"/>
      <name val="Calibri"/>
    </font>
    <font>
      <b/>
      <sz val="10"/>
      <color theme="1"/>
      <name val="Calibri"/>
      <scheme val="minor"/>
    </font>
    <font>
      <sz val="1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66"/>
        <bgColor rgb="FFFFFF66"/>
      </patternFill>
    </fill>
    <fill>
      <patternFill patternType="solid">
        <fgColor rgb="FFCCFF99"/>
        <bgColor rgb="FFCCFF99"/>
      </patternFill>
    </fill>
    <fill>
      <patternFill patternType="solid">
        <fgColor rgb="FFA5A5A5"/>
        <bgColor rgb="FFA5A5A5"/>
      </patternFill>
    </fill>
    <fill>
      <patternFill patternType="solid">
        <fgColor rgb="FFBDD6EE"/>
        <bgColor rgb="FFBDD6EE"/>
      </patternFill>
    </fill>
    <fill>
      <patternFill patternType="solid">
        <fgColor rgb="FFB4C6E7"/>
        <bgColor rgb="FFB4C6E7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7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225">
    <xf numFmtId="0" fontId="0" fillId="0" borderId="0" xfId="0" applyAlignment="1">
      <alignment vertical="center"/>
    </xf>
    <xf numFmtId="0" fontId="1" fillId="0" borderId="0" xfId="0" applyFont="1"/>
    <xf numFmtId="0" fontId="1" fillId="2" borderId="8" xfId="0" applyFont="1" applyFill="1" applyBorder="1" applyAlignment="1">
      <alignment horizontal="center" vertical="center"/>
    </xf>
    <xf numFmtId="0" fontId="1" fillId="2" borderId="8" xfId="0" applyFont="1" applyFill="1" applyBorder="1"/>
    <xf numFmtId="0" fontId="1" fillId="2" borderId="8" xfId="0" applyFont="1" applyFill="1" applyBorder="1" applyAlignment="1">
      <alignment horizontal="right" vertical="center"/>
    </xf>
    <xf numFmtId="0" fontId="1" fillId="0" borderId="8" xfId="0" applyFont="1" applyBorder="1" applyAlignment="1">
      <alignment horizontal="left" vertical="center"/>
    </xf>
    <xf numFmtId="4" fontId="1" fillId="3" borderId="9" xfId="0" applyNumberFormat="1" applyFont="1" applyFill="1" applyBorder="1" applyAlignment="1">
      <alignment horizontal="right" vertical="center"/>
    </xf>
    <xf numFmtId="9" fontId="1" fillId="3" borderId="9" xfId="0" applyNumberFormat="1" applyFont="1" applyFill="1" applyBorder="1" applyAlignment="1">
      <alignment horizontal="center" vertical="center"/>
    </xf>
    <xf numFmtId="4" fontId="1" fillId="0" borderId="8" xfId="0" applyNumberFormat="1" applyFont="1" applyBorder="1" applyAlignment="1">
      <alignment horizontal="right" vertical="center"/>
    </xf>
    <xf numFmtId="0" fontId="1" fillId="0" borderId="0" xfId="0" applyFont="1" applyAlignment="1">
      <alignment horizontal="right"/>
    </xf>
    <xf numFmtId="4" fontId="1" fillId="0" borderId="0" xfId="0" applyNumberFormat="1" applyFont="1" applyAlignment="1">
      <alignment horizontal="center"/>
    </xf>
    <xf numFmtId="4" fontId="3" fillId="0" borderId="0" xfId="0" applyNumberFormat="1" applyFont="1"/>
    <xf numFmtId="4" fontId="1" fillId="0" borderId="0" xfId="0" applyNumberFormat="1" applyFont="1"/>
    <xf numFmtId="4" fontId="1" fillId="0" borderId="0" xfId="0" applyNumberFormat="1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10" fontId="1" fillId="3" borderId="10" xfId="0" applyNumberFormat="1" applyFont="1" applyFill="1" applyBorder="1" applyAlignment="1">
      <alignment horizontal="center" vertical="center"/>
    </xf>
    <xf numFmtId="4" fontId="1" fillId="0" borderId="0" xfId="0" applyNumberFormat="1" applyFont="1" applyAlignment="1">
      <alignment vertical="center"/>
    </xf>
    <xf numFmtId="166" fontId="1" fillId="0" borderId="0" xfId="0" applyNumberFormat="1" applyFont="1" applyAlignment="1">
      <alignment vertical="center"/>
    </xf>
    <xf numFmtId="10" fontId="1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10" fontId="3" fillId="0" borderId="0" xfId="0" applyNumberFormat="1" applyFont="1" applyAlignment="1">
      <alignment vertical="center"/>
    </xf>
    <xf numFmtId="10" fontId="1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10" fontId="1" fillId="0" borderId="0" xfId="0" applyNumberFormat="1" applyFont="1" applyAlignment="1">
      <alignment horizontal="center"/>
    </xf>
    <xf numFmtId="166" fontId="1" fillId="0" borderId="0" xfId="0" applyNumberFormat="1" applyFont="1"/>
    <xf numFmtId="10" fontId="3" fillId="0" borderId="0" xfId="0" applyNumberFormat="1" applyFont="1"/>
    <xf numFmtId="0" fontId="4" fillId="0" borderId="0" xfId="0" applyFont="1" applyAlignment="1">
      <alignment horizontal="center" vertical="center"/>
    </xf>
    <xf numFmtId="9" fontId="4" fillId="3" borderId="10" xfId="0" applyNumberFormat="1" applyFont="1" applyFill="1" applyBorder="1" applyAlignment="1">
      <alignment horizontal="center" vertical="center"/>
    </xf>
    <xf numFmtId="10" fontId="4" fillId="3" borderId="1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10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167" fontId="4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68" fontId="4" fillId="3" borderId="10" xfId="0" applyNumberFormat="1" applyFont="1" applyFill="1" applyBorder="1" applyAlignment="1">
      <alignment vertical="center"/>
    </xf>
    <xf numFmtId="0" fontId="4" fillId="0" borderId="0" xfId="0" applyFont="1" applyAlignment="1">
      <alignment horizontal="right" vertical="center"/>
    </xf>
    <xf numFmtId="4" fontId="4" fillId="0" borderId="0" xfId="0" applyNumberFormat="1" applyFont="1" applyAlignment="1">
      <alignment vertical="center"/>
    </xf>
    <xf numFmtId="9" fontId="4" fillId="0" borderId="0" xfId="0" applyNumberFormat="1" applyFont="1" applyAlignment="1">
      <alignment vertical="center"/>
    </xf>
    <xf numFmtId="168" fontId="4" fillId="0" borderId="0" xfId="0" applyNumberFormat="1" applyFont="1" applyAlignment="1">
      <alignment vertical="center"/>
    </xf>
    <xf numFmtId="168" fontId="7" fillId="0" borderId="0" xfId="0" applyNumberFormat="1" applyFont="1" applyAlignment="1">
      <alignment vertical="center"/>
    </xf>
    <xf numFmtId="169" fontId="4" fillId="0" borderId="0" xfId="0" applyNumberFormat="1" applyFont="1" applyAlignment="1">
      <alignment vertical="center"/>
    </xf>
    <xf numFmtId="167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170" fontId="4" fillId="3" borderId="10" xfId="0" applyNumberFormat="1" applyFont="1" applyFill="1" applyBorder="1" applyAlignment="1">
      <alignment vertical="center"/>
    </xf>
    <xf numFmtId="2" fontId="4" fillId="0" borderId="0" xfId="0" applyNumberFormat="1" applyFont="1" applyAlignment="1">
      <alignment vertical="center"/>
    </xf>
    <xf numFmtId="170" fontId="5" fillId="0" borderId="0" xfId="0" applyNumberFormat="1" applyFont="1" applyAlignment="1">
      <alignment vertical="center"/>
    </xf>
    <xf numFmtId="169" fontId="5" fillId="0" borderId="0" xfId="0" applyNumberFormat="1" applyFont="1" applyAlignment="1">
      <alignment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7" fontId="4" fillId="3" borderId="10" xfId="0" applyNumberFormat="1" applyFont="1" applyFill="1" applyBorder="1" applyAlignment="1">
      <alignment horizontal="center" vertical="center"/>
    </xf>
    <xf numFmtId="4" fontId="5" fillId="0" borderId="0" xfId="0" applyNumberFormat="1" applyFont="1" applyAlignment="1">
      <alignment vertical="center"/>
    </xf>
    <xf numFmtId="0" fontId="5" fillId="4" borderId="10" xfId="0" applyFont="1" applyFill="1" applyBorder="1" applyAlignment="1">
      <alignment vertical="center"/>
    </xf>
    <xf numFmtId="0" fontId="4" fillId="4" borderId="10" xfId="0" applyFont="1" applyFill="1" applyBorder="1" applyAlignment="1">
      <alignment vertical="center"/>
    </xf>
    <xf numFmtId="3" fontId="4" fillId="0" borderId="0" xfId="0" applyNumberFormat="1" applyFont="1" applyAlignment="1">
      <alignment vertical="center"/>
    </xf>
    <xf numFmtId="171" fontId="4" fillId="0" borderId="0" xfId="0" applyNumberFormat="1" applyFont="1" applyAlignment="1">
      <alignment vertical="center"/>
    </xf>
    <xf numFmtId="10" fontId="4" fillId="0" borderId="0" xfId="0" applyNumberFormat="1" applyFont="1" applyAlignment="1">
      <alignment vertical="center"/>
    </xf>
    <xf numFmtId="0" fontId="5" fillId="5" borderId="36" xfId="0" applyFont="1" applyFill="1" applyBorder="1" applyAlignment="1">
      <alignment horizontal="center" vertical="center"/>
    </xf>
    <xf numFmtId="0" fontId="5" fillId="5" borderId="37" xfId="0" applyFont="1" applyFill="1" applyBorder="1" applyAlignment="1">
      <alignment vertical="center"/>
    </xf>
    <xf numFmtId="0" fontId="5" fillId="5" borderId="39" xfId="0" applyFont="1" applyFill="1" applyBorder="1" applyAlignment="1">
      <alignment vertical="center"/>
    </xf>
    <xf numFmtId="0" fontId="5" fillId="5" borderId="40" xfId="0" applyFont="1" applyFill="1" applyBorder="1" applyAlignment="1">
      <alignment vertical="center"/>
    </xf>
    <xf numFmtId="0" fontId="5" fillId="5" borderId="41" xfId="0" applyFont="1" applyFill="1" applyBorder="1" applyAlignment="1">
      <alignment vertical="center"/>
    </xf>
    <xf numFmtId="0" fontId="5" fillId="5" borderId="10" xfId="0" applyFont="1" applyFill="1" applyBorder="1" applyAlignment="1">
      <alignment vertical="center"/>
    </xf>
    <xf numFmtId="0" fontId="5" fillId="5" borderId="31" xfId="0" applyFont="1" applyFill="1" applyBorder="1" applyAlignment="1">
      <alignment vertical="center"/>
    </xf>
    <xf numFmtId="0" fontId="5" fillId="5" borderId="32" xfId="0" applyFont="1" applyFill="1" applyBorder="1" applyAlignment="1">
      <alignment vertical="center"/>
    </xf>
    <xf numFmtId="0" fontId="5" fillId="5" borderId="33" xfId="0" applyFont="1" applyFill="1" applyBorder="1" applyAlignment="1">
      <alignment vertical="center"/>
    </xf>
    <xf numFmtId="167" fontId="5" fillId="5" borderId="42" xfId="0" applyNumberFormat="1" applyFont="1" applyFill="1" applyBorder="1" applyAlignment="1">
      <alignment vertical="center"/>
    </xf>
    <xf numFmtId="167" fontId="5" fillId="5" borderId="43" xfId="0" applyNumberFormat="1" applyFont="1" applyFill="1" applyBorder="1" applyAlignment="1">
      <alignment vertical="center"/>
    </xf>
    <xf numFmtId="0" fontId="5" fillId="5" borderId="36" xfId="0" applyFont="1" applyFill="1" applyBorder="1" applyAlignment="1">
      <alignment horizontal="right" vertical="center"/>
    </xf>
    <xf numFmtId="0" fontId="4" fillId="0" borderId="21" xfId="0" applyFont="1" applyBorder="1" applyAlignment="1">
      <alignment vertical="center"/>
    </xf>
    <xf numFmtId="0" fontId="4" fillId="3" borderId="47" xfId="0" applyFont="1" applyFill="1" applyBorder="1" applyAlignment="1">
      <alignment vertical="center"/>
    </xf>
    <xf numFmtId="0" fontId="4" fillId="3" borderId="48" xfId="0" applyFont="1" applyFill="1" applyBorder="1" applyAlignment="1">
      <alignment vertical="center"/>
    </xf>
    <xf numFmtId="0" fontId="4" fillId="0" borderId="29" xfId="0" applyFont="1" applyBorder="1" applyAlignment="1">
      <alignment vertical="center"/>
    </xf>
    <xf numFmtId="169" fontId="4" fillId="0" borderId="8" xfId="0" applyNumberFormat="1" applyFont="1" applyBorder="1" applyAlignment="1">
      <alignment vertical="center"/>
    </xf>
    <xf numFmtId="167" fontId="4" fillId="3" borderId="28" xfId="0" applyNumberFormat="1" applyFont="1" applyFill="1" applyBorder="1" applyAlignment="1">
      <alignment vertical="center"/>
    </xf>
    <xf numFmtId="169" fontId="4" fillId="0" borderId="48" xfId="0" applyNumberFormat="1" applyFont="1" applyBorder="1" applyAlignment="1">
      <alignment vertical="center"/>
    </xf>
    <xf numFmtId="167" fontId="4" fillId="3" borderId="48" xfId="0" applyNumberFormat="1" applyFont="1" applyFill="1" applyBorder="1" applyAlignment="1">
      <alignment vertical="center"/>
    </xf>
    <xf numFmtId="169" fontId="4" fillId="0" borderId="49" xfId="0" applyNumberFormat="1" applyFont="1" applyBorder="1" applyAlignment="1">
      <alignment vertical="center"/>
    </xf>
    <xf numFmtId="169" fontId="4" fillId="0" borderId="28" xfId="0" applyNumberFormat="1" applyFont="1" applyBorder="1" applyAlignment="1">
      <alignment vertical="center"/>
    </xf>
    <xf numFmtId="169" fontId="4" fillId="0" borderId="36" xfId="0" applyNumberFormat="1" applyFont="1" applyBorder="1" applyAlignment="1">
      <alignment vertical="center"/>
    </xf>
    <xf numFmtId="169" fontId="4" fillId="0" borderId="37" xfId="0" applyNumberFormat="1" applyFont="1" applyBorder="1" applyAlignment="1">
      <alignment vertical="center"/>
    </xf>
    <xf numFmtId="0" fontId="4" fillId="0" borderId="50" xfId="0" applyFont="1" applyBorder="1" applyAlignment="1">
      <alignment vertical="center"/>
    </xf>
    <xf numFmtId="3" fontId="4" fillId="3" borderId="36" xfId="0" applyNumberFormat="1" applyFont="1" applyFill="1" applyBorder="1" applyAlignment="1">
      <alignment vertical="center"/>
    </xf>
    <xf numFmtId="3" fontId="4" fillId="3" borderId="8" xfId="0" applyNumberFormat="1" applyFont="1" applyFill="1" applyBorder="1" applyAlignment="1">
      <alignment vertical="center"/>
    </xf>
    <xf numFmtId="3" fontId="4" fillId="0" borderId="5" xfId="0" applyNumberFormat="1" applyFont="1" applyBorder="1" applyAlignment="1">
      <alignment vertical="center"/>
    </xf>
    <xf numFmtId="167" fontId="4" fillId="3" borderId="6" xfId="0" applyNumberFormat="1" applyFont="1" applyFill="1" applyBorder="1" applyAlignment="1">
      <alignment vertical="center"/>
    </xf>
    <xf numFmtId="167" fontId="4" fillId="3" borderId="8" xfId="0" applyNumberFormat="1" applyFont="1" applyFill="1" applyBorder="1" applyAlignment="1">
      <alignment vertical="center"/>
    </xf>
    <xf numFmtId="169" fontId="4" fillId="0" borderId="6" xfId="0" applyNumberFormat="1" applyFont="1" applyBorder="1" applyAlignment="1">
      <alignment vertical="center"/>
    </xf>
    <xf numFmtId="171" fontId="4" fillId="0" borderId="8" xfId="0" applyNumberFormat="1" applyFont="1" applyBorder="1" applyAlignment="1">
      <alignment vertical="center"/>
    </xf>
    <xf numFmtId="3" fontId="5" fillId="0" borderId="0" xfId="0" applyNumberFormat="1" applyFont="1" applyAlignment="1">
      <alignment vertical="center"/>
    </xf>
    <xf numFmtId="171" fontId="5" fillId="0" borderId="0" xfId="0" applyNumberFormat="1" applyFont="1" applyAlignment="1">
      <alignment vertical="center"/>
    </xf>
    <xf numFmtId="172" fontId="4" fillId="0" borderId="0" xfId="0" applyNumberFormat="1" applyFont="1" applyAlignment="1">
      <alignment vertical="center"/>
    </xf>
    <xf numFmtId="8" fontId="4" fillId="0" borderId="0" xfId="0" applyNumberFormat="1" applyFont="1" applyAlignment="1">
      <alignment vertical="center"/>
    </xf>
    <xf numFmtId="0" fontId="5" fillId="0" borderId="0" xfId="0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0" fontId="4" fillId="0" borderId="18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4" fillId="0" borderId="20" xfId="0" applyFont="1" applyBorder="1" applyAlignment="1">
      <alignment horizontal="right" vertical="center"/>
    </xf>
    <xf numFmtId="169" fontId="5" fillId="6" borderId="10" xfId="0" applyNumberFormat="1" applyFont="1" applyFill="1" applyBorder="1" applyAlignment="1">
      <alignment vertical="center"/>
    </xf>
    <xf numFmtId="0" fontId="4" fillId="6" borderId="10" xfId="0" applyFont="1" applyFill="1" applyBorder="1" applyAlignment="1">
      <alignment vertical="center"/>
    </xf>
    <xf numFmtId="0" fontId="4" fillId="0" borderId="47" xfId="0" applyFont="1" applyBorder="1" applyAlignment="1">
      <alignment horizontal="right" vertical="center"/>
    </xf>
    <xf numFmtId="173" fontId="4" fillId="0" borderId="48" xfId="0" applyNumberFormat="1" applyFont="1" applyBorder="1" applyAlignment="1">
      <alignment vertical="center"/>
    </xf>
    <xf numFmtId="9" fontId="4" fillId="0" borderId="49" xfId="0" applyNumberFormat="1" applyFont="1" applyBorder="1" applyAlignment="1">
      <alignment vertical="center"/>
    </xf>
    <xf numFmtId="169" fontId="4" fillId="6" borderId="10" xfId="0" applyNumberFormat="1" applyFont="1" applyFill="1" applyBorder="1" applyAlignment="1">
      <alignment horizontal="right" vertical="center"/>
    </xf>
    <xf numFmtId="0" fontId="4" fillId="6" borderId="10" xfId="0" applyFont="1" applyFill="1" applyBorder="1" applyAlignment="1">
      <alignment horizontal="right" vertical="center"/>
    </xf>
    <xf numFmtId="0" fontId="4" fillId="0" borderId="36" xfId="0" applyFont="1" applyBorder="1" applyAlignment="1">
      <alignment horizontal="right" vertical="center"/>
    </xf>
    <xf numFmtId="173" fontId="8" fillId="0" borderId="8" xfId="0" applyNumberFormat="1" applyFont="1" applyBorder="1" applyAlignment="1">
      <alignment vertical="center"/>
    </xf>
    <xf numFmtId="9" fontId="4" fillId="0" borderId="37" xfId="0" applyNumberFormat="1" applyFont="1" applyBorder="1" applyAlignment="1">
      <alignment vertical="center"/>
    </xf>
    <xf numFmtId="169" fontId="4" fillId="6" borderId="10" xfId="0" applyNumberFormat="1" applyFont="1" applyFill="1" applyBorder="1" applyAlignment="1">
      <alignment vertical="center"/>
    </xf>
    <xf numFmtId="167" fontId="4" fillId="6" borderId="10" xfId="0" applyNumberFormat="1" applyFont="1" applyFill="1" applyBorder="1" applyAlignment="1">
      <alignment vertical="center"/>
    </xf>
    <xf numFmtId="173" fontId="4" fillId="3" borderId="8" xfId="0" applyNumberFormat="1" applyFont="1" applyFill="1" applyBorder="1" applyAlignment="1">
      <alignment vertical="center"/>
    </xf>
    <xf numFmtId="9" fontId="4" fillId="3" borderId="37" xfId="0" applyNumberFormat="1" applyFont="1" applyFill="1" applyBorder="1" applyAlignment="1">
      <alignment vertical="center"/>
    </xf>
    <xf numFmtId="173" fontId="4" fillId="0" borderId="8" xfId="0" applyNumberFormat="1" applyFont="1" applyBorder="1" applyAlignment="1">
      <alignment vertical="center"/>
    </xf>
    <xf numFmtId="0" fontId="4" fillId="4" borderId="10" xfId="0" applyFont="1" applyFill="1" applyBorder="1" applyAlignment="1">
      <alignment horizontal="right" vertical="center"/>
    </xf>
    <xf numFmtId="169" fontId="4" fillId="4" borderId="10" xfId="0" applyNumberFormat="1" applyFont="1" applyFill="1" applyBorder="1" applyAlignment="1">
      <alignment vertical="center"/>
    </xf>
    <xf numFmtId="173" fontId="4" fillId="4" borderId="10" xfId="0" applyNumberFormat="1" applyFont="1" applyFill="1" applyBorder="1" applyAlignment="1">
      <alignment vertical="center"/>
    </xf>
    <xf numFmtId="0" fontId="4" fillId="0" borderId="51" xfId="0" applyFont="1" applyBorder="1" applyAlignment="1">
      <alignment horizontal="right" vertical="center"/>
    </xf>
    <xf numFmtId="173" fontId="4" fillId="0" borderId="52" xfId="0" applyNumberFormat="1" applyFont="1" applyBorder="1" applyAlignment="1">
      <alignment vertical="center"/>
    </xf>
    <xf numFmtId="9" fontId="4" fillId="0" borderId="53" xfId="0" applyNumberFormat="1" applyFont="1" applyBorder="1" applyAlignment="1">
      <alignment vertical="center"/>
    </xf>
    <xf numFmtId="173" fontId="5" fillId="0" borderId="0" xfId="0" applyNumberFormat="1" applyFont="1" applyAlignment="1">
      <alignment vertical="center"/>
    </xf>
    <xf numFmtId="167" fontId="4" fillId="4" borderId="10" xfId="0" applyNumberFormat="1" applyFont="1" applyFill="1" applyBorder="1" applyAlignment="1">
      <alignment vertical="center"/>
    </xf>
    <xf numFmtId="10" fontId="4" fillId="3" borderId="10" xfId="0" applyNumberFormat="1" applyFont="1" applyFill="1" applyBorder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7" borderId="10" xfId="0" applyFont="1" applyFill="1" applyBorder="1" applyAlignment="1">
      <alignment horizontal="right" vertical="center"/>
    </xf>
    <xf numFmtId="10" fontId="4" fillId="7" borderId="10" xfId="0" applyNumberFormat="1" applyFont="1" applyFill="1" applyBorder="1" applyAlignment="1">
      <alignment horizontal="center" vertical="center"/>
    </xf>
    <xf numFmtId="170" fontId="4" fillId="7" borderId="10" xfId="0" applyNumberFormat="1" applyFont="1" applyFill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9" fontId="6" fillId="0" borderId="0" xfId="0" applyNumberFormat="1" applyFont="1" applyAlignment="1">
      <alignment vertical="center"/>
    </xf>
    <xf numFmtId="174" fontId="6" fillId="0" borderId="0" xfId="0" applyNumberFormat="1" applyFont="1" applyAlignment="1">
      <alignment vertical="center"/>
    </xf>
    <xf numFmtId="4" fontId="6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0" fontId="0" fillId="8" borderId="0" xfId="0" applyFill="1" applyAlignment="1">
      <alignment vertical="center"/>
    </xf>
    <xf numFmtId="10" fontId="0" fillId="8" borderId="0" xfId="0" applyNumberFormat="1" applyFill="1" applyAlignment="1">
      <alignment vertical="center"/>
    </xf>
    <xf numFmtId="164" fontId="0" fillId="8" borderId="0" xfId="0" applyNumberFormat="1" applyFill="1" applyAlignment="1">
      <alignment vertical="center"/>
    </xf>
    <xf numFmtId="10" fontId="0" fillId="0" borderId="0" xfId="0" applyNumberFormat="1" applyAlignment="1">
      <alignment vertical="center"/>
    </xf>
    <xf numFmtId="43" fontId="4" fillId="3" borderId="10" xfId="1" applyFont="1" applyFill="1" applyBorder="1" applyAlignment="1">
      <alignment vertical="center"/>
    </xf>
    <xf numFmtId="169" fontId="10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43" fontId="6" fillId="0" borderId="0" xfId="0" applyNumberFormat="1" applyFont="1" applyAlignment="1">
      <alignment vertical="center"/>
    </xf>
    <xf numFmtId="169" fontId="4" fillId="0" borderId="10" xfId="0" applyNumberFormat="1" applyFont="1" applyBorder="1" applyAlignment="1">
      <alignment vertical="center"/>
    </xf>
    <xf numFmtId="4" fontId="11" fillId="0" borderId="0" xfId="0" applyNumberFormat="1" applyFont="1" applyAlignment="1">
      <alignment vertical="center"/>
    </xf>
    <xf numFmtId="9" fontId="0" fillId="0" borderId="0" xfId="0" applyNumberFormat="1" applyAlignment="1">
      <alignment vertical="center"/>
    </xf>
    <xf numFmtId="9" fontId="12" fillId="0" borderId="0" xfId="0" applyNumberFormat="1" applyFont="1" applyAlignment="1">
      <alignment vertical="center"/>
    </xf>
    <xf numFmtId="43" fontId="12" fillId="0" borderId="0" xfId="1" applyFont="1" applyAlignment="1">
      <alignment vertical="center"/>
    </xf>
    <xf numFmtId="43" fontId="0" fillId="0" borderId="0" xfId="0" applyNumberFormat="1" applyAlignment="1">
      <alignment vertical="center"/>
    </xf>
    <xf numFmtId="0" fontId="12" fillId="0" borderId="0" xfId="0" applyFont="1" applyAlignment="1">
      <alignment vertical="center"/>
    </xf>
    <xf numFmtId="175" fontId="0" fillId="0" borderId="0" xfId="0" applyNumberFormat="1" applyAlignment="1">
      <alignment vertical="center"/>
    </xf>
    <xf numFmtId="10" fontId="0" fillId="0" borderId="0" xfId="2" applyNumberFormat="1" applyFont="1" applyAlignment="1">
      <alignment vertical="center"/>
    </xf>
    <xf numFmtId="0" fontId="0" fillId="9" borderId="0" xfId="0" applyFill="1" applyAlignment="1">
      <alignment vertical="center"/>
    </xf>
    <xf numFmtId="43" fontId="11" fillId="0" borderId="0" xfId="0" applyNumberFormat="1" applyFont="1" applyAlignment="1">
      <alignment vertical="center"/>
    </xf>
    <xf numFmtId="167" fontId="4" fillId="0" borderId="54" xfId="0" applyNumberFormat="1" applyFont="1" applyBorder="1" applyAlignment="1">
      <alignment vertical="center"/>
    </xf>
    <xf numFmtId="0" fontId="4" fillId="0" borderId="55" xfId="0" applyFont="1" applyBorder="1" applyAlignment="1">
      <alignment vertical="center"/>
    </xf>
    <xf numFmtId="0" fontId="4" fillId="0" borderId="56" xfId="0" applyFont="1" applyBorder="1" applyAlignment="1">
      <alignment horizontal="right" vertical="center"/>
    </xf>
    <xf numFmtId="0" fontId="4" fillId="0" borderId="57" xfId="0" applyFont="1" applyBorder="1" applyAlignment="1">
      <alignment horizontal="right" vertical="center"/>
    </xf>
    <xf numFmtId="9" fontId="4" fillId="0" borderId="58" xfId="0" applyNumberFormat="1" applyFont="1" applyBorder="1" applyAlignment="1">
      <alignment vertical="center"/>
    </xf>
    <xf numFmtId="0" fontId="4" fillId="0" borderId="59" xfId="0" applyFont="1" applyBorder="1" applyAlignment="1">
      <alignment horizontal="right" vertical="center"/>
    </xf>
    <xf numFmtId="173" fontId="8" fillId="0" borderId="60" xfId="0" applyNumberFormat="1" applyFont="1" applyBorder="1" applyAlignment="1">
      <alignment vertical="center"/>
    </xf>
    <xf numFmtId="169" fontId="4" fillId="0" borderId="61" xfId="0" applyNumberFormat="1" applyFont="1" applyBorder="1" applyAlignment="1">
      <alignment vertical="center"/>
    </xf>
    <xf numFmtId="17" fontId="13" fillId="0" borderId="0" xfId="0" applyNumberFormat="1" applyFont="1" applyAlignment="1">
      <alignment vertical="center"/>
    </xf>
    <xf numFmtId="0" fontId="13" fillId="0" borderId="0" xfId="0" applyFont="1" applyAlignment="1">
      <alignment horizontal="center" vertical="center"/>
    </xf>
    <xf numFmtId="169" fontId="4" fillId="0" borderId="62" xfId="0" applyNumberFormat="1" applyFont="1" applyBorder="1" applyAlignment="1">
      <alignment vertical="center"/>
    </xf>
    <xf numFmtId="169" fontId="4" fillId="0" borderId="63" xfId="0" applyNumberFormat="1" applyFont="1" applyBorder="1" applyAlignment="1">
      <alignment vertical="center"/>
    </xf>
    <xf numFmtId="169" fontId="4" fillId="0" borderId="64" xfId="0" applyNumberFormat="1" applyFont="1" applyBorder="1" applyAlignment="1">
      <alignment vertical="center"/>
    </xf>
    <xf numFmtId="169" fontId="4" fillId="0" borderId="65" xfId="0" applyNumberFormat="1" applyFont="1" applyBorder="1" applyAlignment="1">
      <alignment vertical="center"/>
    </xf>
    <xf numFmtId="169" fontId="4" fillId="0" borderId="66" xfId="0" applyNumberFormat="1" applyFont="1" applyBorder="1" applyAlignment="1">
      <alignment vertical="center"/>
    </xf>
    <xf numFmtId="169" fontId="4" fillId="0" borderId="67" xfId="0" applyNumberFormat="1" applyFont="1" applyBorder="1" applyAlignment="1">
      <alignment vertical="center"/>
    </xf>
    <xf numFmtId="169" fontId="4" fillId="0" borderId="68" xfId="0" applyNumberFormat="1" applyFont="1" applyBorder="1" applyAlignment="1">
      <alignment vertical="center"/>
    </xf>
    <xf numFmtId="169" fontId="4" fillId="0" borderId="69" xfId="0" applyNumberFormat="1" applyFont="1" applyBorder="1" applyAlignment="1">
      <alignment vertical="center"/>
    </xf>
    <xf numFmtId="169" fontId="4" fillId="0" borderId="70" xfId="0" applyNumberFormat="1" applyFont="1" applyBorder="1" applyAlignment="1">
      <alignment vertical="center"/>
    </xf>
    <xf numFmtId="0" fontId="13" fillId="0" borderId="0" xfId="0" applyFont="1" applyAlignment="1">
      <alignment horizontal="center"/>
    </xf>
    <xf numFmtId="167" fontId="13" fillId="3" borderId="10" xfId="0" applyNumberFormat="1" applyFont="1" applyFill="1" applyBorder="1" applyAlignment="1">
      <alignment horizontal="center" vertical="center"/>
    </xf>
    <xf numFmtId="176" fontId="4" fillId="0" borderId="0" xfId="0" applyNumberFormat="1" applyFont="1" applyAlignment="1">
      <alignment vertical="center"/>
    </xf>
    <xf numFmtId="0" fontId="4" fillId="0" borderId="65" xfId="0" applyFont="1" applyBorder="1" applyAlignment="1">
      <alignment vertical="center"/>
    </xf>
    <xf numFmtId="0" fontId="4" fillId="0" borderId="67" xfId="0" applyFont="1" applyBorder="1" applyAlignment="1">
      <alignment vertical="center"/>
    </xf>
    <xf numFmtId="0" fontId="4" fillId="0" borderId="70" xfId="0" applyFont="1" applyBorder="1" applyAlignment="1">
      <alignment vertical="center"/>
    </xf>
    <xf numFmtId="172" fontId="6" fillId="0" borderId="0" xfId="0" applyNumberFormat="1" applyFont="1" applyAlignment="1">
      <alignment vertical="center"/>
    </xf>
    <xf numFmtId="172" fontId="0" fillId="0" borderId="0" xfId="2" applyNumberFormat="1" applyFont="1" applyAlignment="1">
      <alignment vertical="center"/>
    </xf>
    <xf numFmtId="177" fontId="0" fillId="0" borderId="0" xfId="0" applyNumberFormat="1" applyAlignment="1">
      <alignment vertical="center"/>
    </xf>
    <xf numFmtId="169" fontId="0" fillId="0" borderId="0" xfId="0" applyNumberFormat="1" applyAlignment="1">
      <alignment vertic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165" fontId="3" fillId="2" borderId="5" xfId="0" applyNumberFormat="1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2" fillId="0" borderId="24" xfId="0" applyFont="1" applyBorder="1" applyAlignment="1">
      <alignment vertical="center"/>
    </xf>
    <xf numFmtId="0" fontId="2" fillId="0" borderId="38" xfId="0" applyFont="1" applyBorder="1" applyAlignment="1">
      <alignment vertical="center"/>
    </xf>
    <xf numFmtId="0" fontId="5" fillId="5" borderId="12" xfId="0" applyFont="1" applyFill="1" applyBorder="1" applyAlignment="1">
      <alignment horizontal="center"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26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0" fontId="14" fillId="5" borderId="15" xfId="0" applyFont="1" applyFill="1" applyBorder="1" applyAlignment="1">
      <alignment horizontal="center" vertical="center"/>
    </xf>
    <xf numFmtId="0" fontId="2" fillId="0" borderId="16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5" fillId="5" borderId="18" xfId="0" applyFont="1" applyFill="1" applyBorder="1" applyAlignment="1">
      <alignment horizontal="center" vertical="center"/>
    </xf>
    <xf numFmtId="0" fontId="2" fillId="0" borderId="19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5" fillId="5" borderId="31" xfId="0" applyFont="1" applyFill="1" applyBorder="1" applyAlignment="1">
      <alignment horizontal="center" vertical="center"/>
    </xf>
    <xf numFmtId="0" fontId="2" fillId="0" borderId="45" xfId="0" applyFont="1" applyBorder="1" applyAlignment="1">
      <alignment vertical="center"/>
    </xf>
    <xf numFmtId="0" fontId="5" fillId="5" borderId="32" xfId="0" applyFont="1" applyFill="1" applyBorder="1" applyAlignment="1">
      <alignment horizontal="center" vertical="center"/>
    </xf>
    <xf numFmtId="0" fontId="2" fillId="0" borderId="46" xfId="0" applyFont="1" applyBorder="1" applyAlignment="1">
      <alignment vertical="center"/>
    </xf>
    <xf numFmtId="0" fontId="5" fillId="5" borderId="33" xfId="0" applyFont="1" applyFill="1" applyBorder="1" applyAlignment="1">
      <alignment horizontal="center" vertical="center"/>
    </xf>
    <xf numFmtId="0" fontId="2" fillId="0" borderId="44" xfId="0" applyFont="1" applyBorder="1" applyAlignment="1">
      <alignment vertical="center"/>
    </xf>
    <xf numFmtId="167" fontId="5" fillId="5" borderId="21" xfId="0" applyNumberFormat="1" applyFont="1" applyFill="1" applyBorder="1" applyAlignment="1">
      <alignment horizontal="center" vertical="center"/>
    </xf>
    <xf numFmtId="0" fontId="2" fillId="0" borderId="28" xfId="0" applyFont="1" applyBorder="1" applyAlignment="1">
      <alignment vertical="center"/>
    </xf>
    <xf numFmtId="167" fontId="5" fillId="5" borderId="29" xfId="0" applyNumberFormat="1" applyFont="1" applyFill="1" applyBorder="1" applyAlignment="1">
      <alignment horizontal="center" vertical="center"/>
    </xf>
    <xf numFmtId="0" fontId="5" fillId="5" borderId="30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2" fillId="0" borderId="23" xfId="0" applyFont="1" applyBorder="1" applyAlignment="1">
      <alignment vertical="center"/>
    </xf>
    <xf numFmtId="0" fontId="5" fillId="5" borderId="35" xfId="0" applyFont="1" applyFill="1" applyBorder="1" applyAlignment="1">
      <alignment horizontal="center" vertical="center" wrapText="1"/>
    </xf>
    <xf numFmtId="0" fontId="14" fillId="5" borderId="34" xfId="0" applyFont="1" applyFill="1" applyBorder="1" applyAlignment="1">
      <alignment horizontal="center" vertical="center" wrapText="1"/>
    </xf>
    <xf numFmtId="0" fontId="14" fillId="5" borderId="4" xfId="0" applyFont="1" applyFill="1" applyBorder="1" applyAlignment="1">
      <alignment horizontal="center" vertical="center" wrapText="1"/>
    </xf>
    <xf numFmtId="0" fontId="2" fillId="0" borderId="22" xfId="0" applyFont="1" applyBorder="1" applyAlignment="1">
      <alignment vertical="center"/>
    </xf>
    <xf numFmtId="0" fontId="14" fillId="5" borderId="21" xfId="0" applyFont="1" applyFill="1" applyBorder="1" applyAlignment="1">
      <alignment horizontal="center" vertical="center"/>
    </xf>
    <xf numFmtId="167" fontId="0" fillId="0" borderId="0" xfId="2" applyNumberFormat="1" applyFont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sz="1600" b="0" baseline="0">
                <a:solidFill>
                  <a:srgbClr val="757575"/>
                </a:solidFill>
                <a:latin typeface="+mn-lt"/>
              </a:rPr>
              <a:t>Valor da Gleba vs .Valor do Lote Paradigma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numRef>
              <c:f>SENSIBILIDADE!$B$4:$B$10</c:f>
              <c:numCache>
                <c:formatCode>_(* #,##0.00_);_(* \(#,##0.00\);_(* "-"??_);_(@_)</c:formatCode>
                <c:ptCount val="7"/>
                <c:pt idx="0">
                  <c:v>225</c:v>
                </c:pt>
                <c:pt idx="1">
                  <c:v>233.35</c:v>
                </c:pt>
                <c:pt idx="2">
                  <c:v>241.67500000000001</c:v>
                </c:pt>
                <c:pt idx="3" formatCode="General">
                  <c:v>250</c:v>
                </c:pt>
                <c:pt idx="4">
                  <c:v>258.32500000000005</c:v>
                </c:pt>
                <c:pt idx="5">
                  <c:v>266.64999999999998</c:v>
                </c:pt>
                <c:pt idx="6">
                  <c:v>275</c:v>
                </c:pt>
              </c:numCache>
            </c:numRef>
          </c:cat>
          <c:val>
            <c:numRef>
              <c:f>SENSIBILIDADE!$D$4:$D$10</c:f>
              <c:numCache>
                <c:formatCode>#,##0.00</c:formatCode>
                <c:ptCount val="7"/>
                <c:pt idx="0">
                  <c:v>132706239.28558935</c:v>
                </c:pt>
                <c:pt idx="1">
                  <c:v>142774000.68340257</c:v>
                </c:pt>
                <c:pt idx="2">
                  <c:v>152817647.68265814</c:v>
                </c:pt>
                <c:pt idx="3">
                  <c:v>161199237.48263481</c:v>
                </c:pt>
                <c:pt idx="4">
                  <c:v>172892884.48189026</c:v>
                </c:pt>
                <c:pt idx="5">
                  <c:v>182924474.28186706</c:v>
                </c:pt>
                <c:pt idx="6">
                  <c:v>192992235.67968032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FF-41D2-9DE2-C4A12BD8D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926552"/>
        <c:axId val="1634790280"/>
      </c:lineChart>
      <c:catAx>
        <c:axId val="375926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VU</a:t>
                </a:r>
                <a:r>
                  <a:rPr lang="pt-BR" b="0" baseline="0">
                    <a:solidFill>
                      <a:srgbClr val="000000"/>
                    </a:solidFill>
                    <a:latin typeface="+mn-lt"/>
                  </a:rPr>
                  <a:t> de Venda</a:t>
                </a: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 do Lote (R$/m2)</a:t>
                </a:r>
              </a:p>
            </c:rich>
          </c:tx>
          <c:overlay val="0"/>
        </c:title>
        <c:numFmt formatCode="#,##0.00" sourceLinked="0"/>
        <c:majorTickMark val="none"/>
        <c:minorTickMark val="none"/>
        <c:tickLblPos val="nextTo"/>
        <c:txPr>
          <a:bodyPr rot="-1800000" anchor="b" anchorCtr="1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634790280"/>
        <c:crosses val="autoZero"/>
        <c:auto val="1"/>
        <c:lblAlgn val="ctr"/>
        <c:lblOffset val="100"/>
        <c:noMultiLvlLbl val="1"/>
      </c:catAx>
      <c:valAx>
        <c:axId val="1634790280"/>
        <c:scaling>
          <c:orientation val="minMax"/>
          <c:max val="200000000"/>
          <c:min val="120000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Valor da Gleba (R$)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37592655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Valor da Gleba vs. Custos Urb.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SENSIBILIDADE!$K$3</c:f>
              <c:strCache>
                <c:ptCount val="1"/>
                <c:pt idx="0">
                  <c:v>Valor da Gleba</c:v>
                </c:pt>
              </c:strCache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numRef>
              <c:f>SENSIBILIDADE!$J$4:$J$10</c:f>
              <c:numCache>
                <c:formatCode>_(* #,##0.00_);_(* \(#,##0.00\);_(* "-"??_);_(@_)</c:formatCode>
                <c:ptCount val="7"/>
                <c:pt idx="0">
                  <c:v>95647.295499999978</c:v>
                </c:pt>
                <c:pt idx="1">
                  <c:v>101273.60699999999</c:v>
                </c:pt>
                <c:pt idx="2">
                  <c:v>106899.91849999997</c:v>
                </c:pt>
                <c:pt idx="3" formatCode="#,##0.00">
                  <c:v>112526.22999999998</c:v>
                </c:pt>
                <c:pt idx="4">
                  <c:v>118152.54149999999</c:v>
                </c:pt>
                <c:pt idx="5">
                  <c:v>123778.85299999999</c:v>
                </c:pt>
                <c:pt idx="6">
                  <c:v>129405.16449999997</c:v>
                </c:pt>
              </c:numCache>
            </c:numRef>
          </c:cat>
          <c:val>
            <c:numRef>
              <c:f>SENSIBILIDADE!$K$4:$K$10</c:f>
              <c:numCache>
                <c:formatCode>#,##0.00</c:formatCode>
                <c:ptCount val="7"/>
                <c:pt idx="0">
                  <c:v>183621349.15580776</c:v>
                </c:pt>
                <c:pt idx="1">
                  <c:v>176697311.93141681</c:v>
                </c:pt>
                <c:pt idx="2">
                  <c:v>169773274.70702577</c:v>
                </c:pt>
                <c:pt idx="3">
                  <c:v>161199237.48263481</c:v>
                </c:pt>
                <c:pt idx="4">
                  <c:v>155925200.25824383</c:v>
                </c:pt>
                <c:pt idx="5">
                  <c:v>149001163.03385288</c:v>
                </c:pt>
                <c:pt idx="6">
                  <c:v>142077125.80946195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EC-46FC-8570-6AE4000C8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481798"/>
        <c:axId val="400594540"/>
      </c:lineChart>
      <c:catAx>
        <c:axId val="1334817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Custos Urb. (R$/1.000 m2 de área útil)</a:t>
                </a:r>
              </a:p>
            </c:rich>
          </c:tx>
          <c:overlay val="0"/>
        </c:title>
        <c:numFmt formatCode="#,##0.00" sourceLinked="0"/>
        <c:majorTickMark val="none"/>
        <c:minorTickMark val="none"/>
        <c:tickLblPos val="nextTo"/>
        <c:txPr>
          <a:bodyPr rot="-1800000" vert="horz" anchor="b" anchorCtr="1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400594540"/>
        <c:crosses val="autoZero"/>
        <c:auto val="1"/>
        <c:lblAlgn val="ctr"/>
        <c:lblOffset val="100"/>
        <c:noMultiLvlLbl val="1"/>
      </c:catAx>
      <c:valAx>
        <c:axId val="400594540"/>
        <c:scaling>
          <c:orientation val="minMax"/>
          <c:max val="200000000"/>
          <c:min val="120000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Valor da Gleba (R$)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3348179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Valor da Gleba vs. TMA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SENSIBILIDADE!$T$3</c:f>
              <c:strCache>
                <c:ptCount val="1"/>
                <c:pt idx="0">
                  <c:v>Valor da Gleba</c:v>
                </c:pt>
              </c:strCache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numRef>
              <c:f>SENSIBILIDADE!$S$4:$S$8</c:f>
              <c:numCache>
                <c:formatCode>0.000%</c:formatCode>
                <c:ptCount val="5"/>
                <c:pt idx="0">
                  <c:v>9.4000000000000004E-3</c:v>
                </c:pt>
                <c:pt idx="1">
                  <c:v>1.0200000000000001E-2</c:v>
                </c:pt>
                <c:pt idx="2">
                  <c:v>1.1049422492014793E-2</c:v>
                </c:pt>
                <c:pt idx="3">
                  <c:v>1.18E-2</c:v>
                </c:pt>
                <c:pt idx="4">
                  <c:v>1.26E-2</c:v>
                </c:pt>
              </c:numCache>
            </c:numRef>
          </c:cat>
          <c:val>
            <c:numRef>
              <c:f>SENSIBILIDADE!$T$4:$T$8</c:f>
              <c:numCache>
                <c:formatCode>#,##0.00</c:formatCode>
                <c:ptCount val="5"/>
                <c:pt idx="0">
                  <c:v>174457162.9699086</c:v>
                </c:pt>
                <c:pt idx="1">
                  <c:v>168526242.73750892</c:v>
                </c:pt>
                <c:pt idx="2">
                  <c:v>161199237.48263481</c:v>
                </c:pt>
                <c:pt idx="3">
                  <c:v>157412618.87140647</c:v>
                </c:pt>
                <c:pt idx="4">
                  <c:v>152203712.88062373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52-4C5C-A830-22E7AED81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481798"/>
        <c:axId val="400594540"/>
      </c:lineChart>
      <c:catAx>
        <c:axId val="1334817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Taxa</a:t>
                </a:r>
                <a:r>
                  <a:rPr lang="pt-BR" b="0" baseline="0">
                    <a:solidFill>
                      <a:srgbClr val="000000"/>
                    </a:solidFill>
                    <a:latin typeface="+mn-lt"/>
                  </a:rPr>
                  <a:t> Mínima de Atratividade</a:t>
                </a:r>
                <a:endParaRPr lang="pt-BR" b="0">
                  <a:solidFill>
                    <a:srgbClr val="000000"/>
                  </a:solidFill>
                  <a:latin typeface="+mn-lt"/>
                </a:endParaRP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txPr>
          <a:bodyPr rot="-1800000" vert="horz" anchor="b" anchorCtr="1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400594540"/>
        <c:crosses val="autoZero"/>
        <c:auto val="1"/>
        <c:lblAlgn val="ctr"/>
        <c:lblOffset val="100"/>
        <c:noMultiLvlLbl val="1"/>
      </c:catAx>
      <c:valAx>
        <c:axId val="400594540"/>
        <c:scaling>
          <c:orientation val="minMax"/>
          <c:max val="200000000"/>
          <c:min val="120000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Valor da Gleba (R$)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3348179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17689</xdr:colOff>
      <xdr:row>11</xdr:row>
      <xdr:rowOff>119743</xdr:rowOff>
    </xdr:from>
    <xdr:ext cx="4715703" cy="2703443"/>
    <xdr:graphicFrame macro="">
      <xdr:nvGraphicFramePr>
        <xdr:cNvPr id="1785725610" name="Chart 1" title="Gráfico">
          <a:extLst>
            <a:ext uri="{FF2B5EF4-FFF2-40B4-BE49-F238E27FC236}">
              <a16:creationId xmlns:a16="http://schemas.microsoft.com/office/drawing/2014/main" id="{00000000-0008-0000-0500-0000AA027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449233</xdr:colOff>
      <xdr:row>12</xdr:row>
      <xdr:rowOff>51764</xdr:rowOff>
    </xdr:from>
    <xdr:ext cx="5251680" cy="2766995"/>
    <xdr:graphicFrame macro="">
      <xdr:nvGraphicFramePr>
        <xdr:cNvPr id="584402864" name="Chart 2" title="Gráfico">
          <a:extLst>
            <a:ext uri="{FF2B5EF4-FFF2-40B4-BE49-F238E27FC236}">
              <a16:creationId xmlns:a16="http://schemas.microsoft.com/office/drawing/2014/main" id="{00000000-0008-0000-0500-0000B047D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15</xdr:col>
      <xdr:colOff>585658</xdr:colOff>
      <xdr:row>11</xdr:row>
      <xdr:rowOff>62781</xdr:rowOff>
    </xdr:from>
    <xdr:ext cx="5262532" cy="2755979"/>
    <xdr:graphicFrame macro="">
      <xdr:nvGraphicFramePr>
        <xdr:cNvPr id="2" name="Chart 2" title="Gráfico">
          <a:extLst>
            <a:ext uri="{FF2B5EF4-FFF2-40B4-BE49-F238E27FC236}">
              <a16:creationId xmlns:a16="http://schemas.microsoft.com/office/drawing/2014/main" id="{EA9D0149-2A53-42B0-B915-E0BED3676D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B16" sqref="B16"/>
    </sheetView>
  </sheetViews>
  <sheetFormatPr defaultColWidth="14.44140625" defaultRowHeight="15" customHeight="1" x14ac:dyDescent="0.3"/>
  <cols>
    <col min="1" max="1" width="55.88671875" customWidth="1"/>
    <col min="2" max="2" width="13.44140625" customWidth="1"/>
    <col min="3" max="3" width="6.6640625" customWidth="1"/>
    <col min="4" max="4" width="11" bestFit="1" customWidth="1"/>
    <col min="5" max="5" width="6.6640625" customWidth="1"/>
    <col min="6" max="6" width="11" bestFit="1" customWidth="1"/>
    <col min="7" max="7" width="6.33203125" customWidth="1"/>
    <col min="8" max="8" width="15" bestFit="1" customWidth="1"/>
    <col min="9" max="26" width="12.33203125" customWidth="1"/>
  </cols>
  <sheetData>
    <row r="1" spans="1:26" ht="15" customHeight="1" x14ac:dyDescent="0.3">
      <c r="A1" s="1"/>
      <c r="B1" s="1"/>
      <c r="C1" s="1"/>
      <c r="D1" s="184" t="s">
        <v>0</v>
      </c>
      <c r="E1" s="185"/>
      <c r="F1" s="185"/>
      <c r="G1" s="185"/>
      <c r="H1" s="186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 x14ac:dyDescent="0.3">
      <c r="A2" s="187" t="s">
        <v>1</v>
      </c>
      <c r="B2" s="187" t="s">
        <v>2</v>
      </c>
      <c r="C2" s="189" t="s">
        <v>3</v>
      </c>
      <c r="D2" s="190"/>
      <c r="E2" s="191" t="s">
        <v>4</v>
      </c>
      <c r="F2" s="190"/>
      <c r="G2" s="189" t="s">
        <v>5</v>
      </c>
      <c r="H2" s="190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 x14ac:dyDescent="0.3">
      <c r="A3" s="188"/>
      <c r="B3" s="188"/>
      <c r="C3" s="2" t="s">
        <v>6</v>
      </c>
      <c r="D3" s="3" t="s">
        <v>7</v>
      </c>
      <c r="E3" s="4" t="s">
        <v>6</v>
      </c>
      <c r="F3" s="3" t="s">
        <v>7</v>
      </c>
      <c r="G3" s="4" t="s">
        <v>6</v>
      </c>
      <c r="H3" s="3" t="s">
        <v>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 x14ac:dyDescent="0.3">
      <c r="A4" s="5" t="s">
        <v>8</v>
      </c>
      <c r="B4" s="6">
        <v>12060.06</v>
      </c>
      <c r="C4" s="7">
        <v>1</v>
      </c>
      <c r="D4" s="8">
        <f t="shared" ref="D4:D13" si="0">C4*$B4</f>
        <v>12060.06</v>
      </c>
      <c r="E4" s="7">
        <v>1</v>
      </c>
      <c r="F4" s="8">
        <f t="shared" ref="F4:F13" si="1">E4*$B4</f>
        <v>12060.06</v>
      </c>
      <c r="G4" s="7">
        <v>1</v>
      </c>
      <c r="H4" s="8">
        <f t="shared" ref="H4:H13" si="2">G4*$B4</f>
        <v>12060.06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 x14ac:dyDescent="0.3">
      <c r="A5" s="5" t="s">
        <v>9</v>
      </c>
      <c r="B5" s="6">
        <v>2078.35</v>
      </c>
      <c r="C5" s="7">
        <v>1</v>
      </c>
      <c r="D5" s="8">
        <f t="shared" si="0"/>
        <v>2078.35</v>
      </c>
      <c r="E5" s="7">
        <v>1</v>
      </c>
      <c r="F5" s="8">
        <f t="shared" si="1"/>
        <v>2078.35</v>
      </c>
      <c r="G5" s="7">
        <v>1</v>
      </c>
      <c r="H5" s="8">
        <f t="shared" si="2"/>
        <v>2078.35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 x14ac:dyDescent="0.3">
      <c r="A6" s="5" t="s">
        <v>10</v>
      </c>
      <c r="B6" s="6">
        <v>5968.19</v>
      </c>
      <c r="C6" s="7">
        <v>0</v>
      </c>
      <c r="D6" s="8">
        <f t="shared" si="0"/>
        <v>0</v>
      </c>
      <c r="E6" s="7">
        <v>0</v>
      </c>
      <c r="F6" s="8">
        <f t="shared" si="1"/>
        <v>0</v>
      </c>
      <c r="G6" s="7">
        <v>0</v>
      </c>
      <c r="H6" s="8">
        <f t="shared" si="2"/>
        <v>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 x14ac:dyDescent="0.3">
      <c r="A7" s="5" t="s">
        <v>11</v>
      </c>
      <c r="B7" s="6">
        <v>15693.02</v>
      </c>
      <c r="C7" s="7">
        <v>0</v>
      </c>
      <c r="D7" s="8">
        <f t="shared" si="0"/>
        <v>0</v>
      </c>
      <c r="E7" s="7">
        <v>0</v>
      </c>
      <c r="F7" s="8">
        <f t="shared" si="1"/>
        <v>0</v>
      </c>
      <c r="G7" s="7">
        <v>0</v>
      </c>
      <c r="H7" s="8">
        <f t="shared" si="2"/>
        <v>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 x14ac:dyDescent="0.3">
      <c r="A8" s="5" t="s">
        <v>12</v>
      </c>
      <c r="B8" s="6">
        <v>11959.62</v>
      </c>
      <c r="C8" s="7">
        <v>1</v>
      </c>
      <c r="D8" s="8">
        <f t="shared" si="0"/>
        <v>11959.62</v>
      </c>
      <c r="E8" s="7">
        <v>1</v>
      </c>
      <c r="F8" s="8">
        <f t="shared" si="1"/>
        <v>11959.62</v>
      </c>
      <c r="G8" s="7">
        <v>1</v>
      </c>
      <c r="H8" s="8">
        <f t="shared" si="2"/>
        <v>11959.62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 x14ac:dyDescent="0.3">
      <c r="A9" s="5" t="s">
        <v>13</v>
      </c>
      <c r="B9" s="6">
        <v>28885.35</v>
      </c>
      <c r="C9" s="7">
        <v>1</v>
      </c>
      <c r="D9" s="8">
        <f t="shared" si="0"/>
        <v>28885.35</v>
      </c>
      <c r="E9" s="7">
        <v>1</v>
      </c>
      <c r="F9" s="8">
        <f t="shared" si="1"/>
        <v>28885.35</v>
      </c>
      <c r="G9" s="7">
        <v>1</v>
      </c>
      <c r="H9" s="8">
        <f t="shared" si="2"/>
        <v>28885.35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 x14ac:dyDescent="0.3">
      <c r="A10" s="5" t="s">
        <v>14</v>
      </c>
      <c r="B10" s="6">
        <v>11881.14</v>
      </c>
      <c r="C10" s="7">
        <v>1</v>
      </c>
      <c r="D10" s="8">
        <f t="shared" si="0"/>
        <v>11881.14</v>
      </c>
      <c r="E10" s="7">
        <v>1</v>
      </c>
      <c r="F10" s="8">
        <f t="shared" si="1"/>
        <v>11881.14</v>
      </c>
      <c r="G10" s="7">
        <v>1</v>
      </c>
      <c r="H10" s="8">
        <f t="shared" si="2"/>
        <v>11881.14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 x14ac:dyDescent="0.3">
      <c r="A11" s="5" t="s">
        <v>15</v>
      </c>
      <c r="B11" s="6">
        <v>9786.8700000000008</v>
      </c>
      <c r="C11" s="7">
        <v>1</v>
      </c>
      <c r="D11" s="8">
        <f t="shared" si="0"/>
        <v>9786.8700000000008</v>
      </c>
      <c r="E11" s="7">
        <v>1</v>
      </c>
      <c r="F11" s="8">
        <f t="shared" si="1"/>
        <v>9786.8700000000008</v>
      </c>
      <c r="G11" s="7">
        <v>1</v>
      </c>
      <c r="H11" s="8">
        <f t="shared" si="2"/>
        <v>9786.8700000000008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 x14ac:dyDescent="0.3">
      <c r="A12" s="5" t="s">
        <v>16</v>
      </c>
      <c r="B12" s="6">
        <v>31994.26</v>
      </c>
      <c r="C12" s="7">
        <v>1</v>
      </c>
      <c r="D12" s="8">
        <f t="shared" si="0"/>
        <v>31994.26</v>
      </c>
      <c r="E12" s="7">
        <v>1</v>
      </c>
      <c r="F12" s="8">
        <f t="shared" si="1"/>
        <v>31994.26</v>
      </c>
      <c r="G12" s="7">
        <v>1</v>
      </c>
      <c r="H12" s="8">
        <f t="shared" si="2"/>
        <v>31994.26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 x14ac:dyDescent="0.3">
      <c r="A13" s="5" t="s">
        <v>17</v>
      </c>
      <c r="B13" s="6">
        <v>3880.58</v>
      </c>
      <c r="C13" s="7">
        <v>1</v>
      </c>
      <c r="D13" s="8">
        <f t="shared" si="0"/>
        <v>3880.58</v>
      </c>
      <c r="E13" s="7">
        <v>1</v>
      </c>
      <c r="F13" s="8">
        <f t="shared" si="1"/>
        <v>3880.58</v>
      </c>
      <c r="G13" s="7">
        <v>1</v>
      </c>
      <c r="H13" s="8">
        <f t="shared" si="2"/>
        <v>3880.58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6" x14ac:dyDescent="0.3">
      <c r="A14" s="9"/>
      <c r="B14" s="10"/>
      <c r="C14" s="10"/>
      <c r="D14" s="11">
        <f>SUM(D4:D13)</f>
        <v>112526.22999999998</v>
      </c>
      <c r="E14" s="12"/>
      <c r="F14" s="11">
        <f>SUM(F4:F13)</f>
        <v>112526.22999999998</v>
      </c>
      <c r="G14" s="12"/>
      <c r="H14" s="11">
        <f>SUM(H4:H13)</f>
        <v>112526.22999999998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6" x14ac:dyDescent="0.3">
      <c r="A15" s="9"/>
      <c r="B15" s="13"/>
      <c r="C15" s="13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6" x14ac:dyDescent="0.3">
      <c r="A16" s="1"/>
      <c r="B16" s="1"/>
      <c r="C16" s="1">
        <v>50</v>
      </c>
      <c r="D16" s="11">
        <v>15000</v>
      </c>
      <c r="E16" s="11"/>
      <c r="F16" s="11">
        <f>D16*C16</f>
        <v>750000</v>
      </c>
      <c r="G16" s="11"/>
      <c r="H16" s="11">
        <f>F16*D14/1000</f>
        <v>84394672.499999985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6" x14ac:dyDescent="0.3">
      <c r="A17" s="1"/>
      <c r="B17" s="1"/>
      <c r="C17">
        <v>50</v>
      </c>
      <c r="D17" s="11">
        <v>15000</v>
      </c>
      <c r="E17" s="11"/>
      <c r="F17" s="11">
        <f t="shared" ref="F17:F18" si="3">D17*C17</f>
        <v>750000</v>
      </c>
      <c r="G17" s="11"/>
      <c r="H17" s="11">
        <f>F17*F14/1000</f>
        <v>84394672.499999985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6" x14ac:dyDescent="0.3">
      <c r="A18" s="1"/>
      <c r="B18" s="1"/>
      <c r="C18" s="1">
        <v>42</v>
      </c>
      <c r="D18" s="11">
        <v>15000</v>
      </c>
      <c r="E18" s="11"/>
      <c r="F18" s="11">
        <f t="shared" si="3"/>
        <v>630000</v>
      </c>
      <c r="G18" s="11"/>
      <c r="H18" s="11">
        <f>F18*H14/1000</f>
        <v>70891524.899999991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6" x14ac:dyDescent="0.3">
      <c r="A19" s="1"/>
      <c r="B19" s="1"/>
      <c r="C19" s="1"/>
      <c r="D19" s="1"/>
      <c r="E19" s="1"/>
      <c r="F19" s="1"/>
      <c r="G19" s="1"/>
      <c r="H19" s="12">
        <f>SUM(H16:H18)</f>
        <v>239680869.89999998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6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6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6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6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6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6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6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6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6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6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6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6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6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6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6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6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6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6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6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6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6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6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6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6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6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6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6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6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6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6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6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6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6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6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6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6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6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6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6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6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6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6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6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6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6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6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6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6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6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6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6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6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6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6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6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6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6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6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6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6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6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6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6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6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6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6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6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6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6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6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6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6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6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6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6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6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6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6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6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6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6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6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6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6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6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6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6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6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6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6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6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6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6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6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6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6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6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6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6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6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6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6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6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6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6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6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6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6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6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6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6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6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6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6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6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6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6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6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6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6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6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6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6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6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6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6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6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6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6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6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6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6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6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6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6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6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6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6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6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6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6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6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6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6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6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6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6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6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6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6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6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6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6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6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6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6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6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6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6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6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6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6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6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6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6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6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6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6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6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6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6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6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6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6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6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6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6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6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6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6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6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6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6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6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6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6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6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6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6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6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6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6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6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6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6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6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6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6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6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6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6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6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6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6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6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6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6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6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6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6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6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6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6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6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6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6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6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6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6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6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6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6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6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6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6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6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6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6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6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6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6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6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6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6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6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6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6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6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6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6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6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6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6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6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6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6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6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6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6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6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6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6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6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6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6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6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6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6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6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6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6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6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6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6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6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6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6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6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6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6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6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6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6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6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6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6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6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6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6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6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6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6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6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6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6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6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6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6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6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6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6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6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6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6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6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6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6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6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6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6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6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6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6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6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6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6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6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6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6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6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6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6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6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6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6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6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6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6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6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6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6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6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6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6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6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6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6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6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6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6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6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6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6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6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6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6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6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6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6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6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6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6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6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6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6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6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6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6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6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6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6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6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6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6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6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6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6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6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6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6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6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6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6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6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6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6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6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6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6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6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6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6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6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6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6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6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6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6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6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6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6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6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6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6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6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6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6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6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6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6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6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6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6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6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6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6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6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6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6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6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6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6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6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6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6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6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6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6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6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6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6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6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6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6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6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6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6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6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6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6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6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6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6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6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6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6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6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6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6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6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6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6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6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6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6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6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6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6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6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6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6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6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6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6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6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6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6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6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6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6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6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6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6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6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6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6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6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6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6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6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6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6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6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6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6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6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6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6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6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6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6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6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6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6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6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6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6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6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6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6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6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6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6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6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6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6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6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6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6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6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6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6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6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6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6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6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6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6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6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6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6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6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6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6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6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6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6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6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6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6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6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6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6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6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6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6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6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6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6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6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6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6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6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6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6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6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6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6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6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6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6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6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6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6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6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6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6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6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6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6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6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6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6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6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6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6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6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6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6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6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6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6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6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6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6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6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6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6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6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6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6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6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6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6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6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6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6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6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6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6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6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6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6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6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6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6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6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6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6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6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6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6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6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6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6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6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6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6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6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6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6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6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6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6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6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6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6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6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6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6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6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6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6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6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6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6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6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6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6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6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6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6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6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6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6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6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6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6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6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6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6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6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6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6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6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6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6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6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6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6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6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6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6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6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6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6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6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6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6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6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6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6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6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6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6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6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6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6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6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6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6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6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6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6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6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6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6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6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6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6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6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6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6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6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6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6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6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6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6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6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6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6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6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6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6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6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6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6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6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6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6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6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6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6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6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6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6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6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6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6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6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6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6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6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6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6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6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6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6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6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6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6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6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6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6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6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6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6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6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6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6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6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6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6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6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6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6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6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6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6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6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6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6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6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6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6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6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6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6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6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6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6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6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6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6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6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6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6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6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6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6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6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6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6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6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6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6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6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6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6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6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6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6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6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6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6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6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6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6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6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6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6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6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6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6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6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6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6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6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6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6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6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6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6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6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6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6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6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6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6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6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6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6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6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6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6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6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6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6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6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6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6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6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6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6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6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6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6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6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6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6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6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6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6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6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6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6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6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6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6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6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6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6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6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6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6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6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6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6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6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6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6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6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6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6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6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6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6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6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6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6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6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6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6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6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6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6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6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6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6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6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6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6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6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6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6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6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6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6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6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6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6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6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6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6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6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6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6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6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6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6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6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6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6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6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6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6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6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6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6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6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6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6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6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6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6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6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6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6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6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6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6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6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6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6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6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6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6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6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6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6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6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6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6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6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6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6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6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6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6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6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6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6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6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6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6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6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6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6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6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6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6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6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6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6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6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6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6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6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6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6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6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6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6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6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6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6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6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6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6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6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6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6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6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6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6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6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6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6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6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6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6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6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6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6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6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6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6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6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6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6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6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6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6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6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6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6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6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6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6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6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6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6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6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6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6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6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6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6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6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6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6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6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6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6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6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6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6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6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6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6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D1:H1"/>
    <mergeCell ref="A2:A3"/>
    <mergeCell ref="B2:B3"/>
    <mergeCell ref="C2:D2"/>
    <mergeCell ref="E2:F2"/>
    <mergeCell ref="G2:H2"/>
  </mergeCells>
  <pageMargins left="0.511811024" right="0.511811024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>
      <selection activeCell="B17" sqref="B17"/>
    </sheetView>
  </sheetViews>
  <sheetFormatPr defaultColWidth="14.44140625" defaultRowHeight="15" customHeight="1" x14ac:dyDescent="0.3"/>
  <cols>
    <col min="1" max="1" width="24.88671875" customWidth="1"/>
    <col min="2" max="2" width="13.33203125" customWidth="1"/>
    <col min="3" max="3" width="26.5546875" bestFit="1" customWidth="1"/>
    <col min="4" max="4" width="9.88671875" customWidth="1"/>
    <col min="5" max="5" width="8.6640625" customWidth="1"/>
    <col min="6" max="6" width="11" bestFit="1" customWidth="1"/>
    <col min="7" max="26" width="8.6640625" customWidth="1"/>
  </cols>
  <sheetData>
    <row r="1" spans="1:8" ht="13.5" customHeight="1" x14ac:dyDescent="0.3">
      <c r="A1" s="14" t="s">
        <v>18</v>
      </c>
      <c r="B1" s="12"/>
      <c r="C1" s="12"/>
      <c r="D1" s="1"/>
      <c r="E1" s="1"/>
      <c r="F1" s="1"/>
      <c r="G1" s="1"/>
      <c r="H1" s="1"/>
    </row>
    <row r="2" spans="1:8" ht="13.5" customHeight="1" x14ac:dyDescent="0.3">
      <c r="A2" s="15" t="s">
        <v>19</v>
      </c>
      <c r="B2" s="16" t="s">
        <v>20</v>
      </c>
      <c r="C2" s="17" t="s">
        <v>21</v>
      </c>
      <c r="D2" s="17" t="s">
        <v>22</v>
      </c>
      <c r="E2" s="17" t="s">
        <v>23</v>
      </c>
      <c r="G2" s="17"/>
    </row>
    <row r="3" spans="1:8" ht="13.5" customHeight="1" x14ac:dyDescent="0.3">
      <c r="A3" s="18" t="s">
        <v>24</v>
      </c>
      <c r="B3" s="19">
        <v>0.2097</v>
      </c>
      <c r="C3" s="20">
        <f>PINI!B4/2*PINI!C4+PINI!B5*PINI!C5+PINI!B12*PINI!C12</f>
        <v>40102.639999999999</v>
      </c>
      <c r="D3" s="21">
        <f>C3/C6</f>
        <v>0.35638481801087618</v>
      </c>
      <c r="E3" s="22">
        <f t="shared" ref="E3:E5" si="0">B3*D3</f>
        <v>7.473389633688074E-2</v>
      </c>
      <c r="G3" s="21"/>
    </row>
    <row r="4" spans="1:8" ht="13.5" customHeight="1" x14ac:dyDescent="0.3">
      <c r="A4" s="18" t="s">
        <v>25</v>
      </c>
      <c r="B4" s="19">
        <v>0.24179999999999999</v>
      </c>
      <c r="C4" s="20">
        <f>PINI!B8*PINI!C8+PINI!B9*PINI!C9+PINI!B10*PINI!C10+PINI!B11*PINI!C11+PINI!B4/2*PINI!C4</f>
        <v>68543.010000000009</v>
      </c>
      <c r="D4" s="21">
        <f>C4/C6</f>
        <v>0.60912917814806378</v>
      </c>
      <c r="E4" s="22">
        <f t="shared" si="0"/>
        <v>0.14728743527620181</v>
      </c>
      <c r="G4" s="21"/>
    </row>
    <row r="5" spans="1:8" ht="13.5" customHeight="1" x14ac:dyDescent="0.3">
      <c r="A5" s="18" t="s">
        <v>26</v>
      </c>
      <c r="B5" s="19">
        <v>0.25840000000000002</v>
      </c>
      <c r="C5" s="20">
        <f>PINI!B13</f>
        <v>3880.58</v>
      </c>
      <c r="D5" s="21">
        <f>C5/C6</f>
        <v>3.4486003841059987E-2</v>
      </c>
      <c r="E5" s="22">
        <f t="shared" si="0"/>
        <v>8.9111833925299005E-3</v>
      </c>
      <c r="G5" s="21"/>
    </row>
    <row r="6" spans="1:8" ht="13.5" customHeight="1" x14ac:dyDescent="0.3">
      <c r="A6" s="18"/>
      <c r="B6" s="23" t="s">
        <v>27</v>
      </c>
      <c r="C6" s="20">
        <f t="shared" ref="C6:E6" si="1">SUM(C3:C5)</f>
        <v>112526.23000000001</v>
      </c>
      <c r="D6" s="21">
        <f t="shared" si="1"/>
        <v>1</v>
      </c>
      <c r="E6" s="24">
        <f t="shared" si="1"/>
        <v>0.23093251500561246</v>
      </c>
      <c r="G6" s="21"/>
    </row>
    <row r="7" spans="1:8" ht="13.5" customHeight="1" x14ac:dyDescent="0.3">
      <c r="A7" s="1"/>
      <c r="B7" s="1"/>
      <c r="C7" s="1"/>
      <c r="D7" s="12"/>
      <c r="E7" s="12"/>
      <c r="F7" s="1"/>
      <c r="G7" s="1"/>
      <c r="H7" s="25"/>
    </row>
    <row r="8" spans="1:8" ht="13.5" customHeight="1" x14ac:dyDescent="0.3">
      <c r="A8" s="14" t="s">
        <v>28</v>
      </c>
      <c r="B8" s="1"/>
      <c r="C8" s="1"/>
      <c r="D8" s="1"/>
      <c r="E8" s="1"/>
      <c r="F8" s="1"/>
      <c r="G8" s="1"/>
      <c r="H8" s="1"/>
    </row>
    <row r="9" spans="1:8" ht="13.5" customHeight="1" x14ac:dyDescent="0.3">
      <c r="A9" s="15" t="s">
        <v>19</v>
      </c>
      <c r="B9" s="26" t="s">
        <v>29</v>
      </c>
      <c r="C9" s="26" t="s">
        <v>30</v>
      </c>
      <c r="D9" s="26" t="s">
        <v>31</v>
      </c>
      <c r="E9" s="26" t="s">
        <v>32</v>
      </c>
      <c r="F9" s="27" t="s">
        <v>21</v>
      </c>
      <c r="G9" s="27" t="s">
        <v>22</v>
      </c>
      <c r="H9" s="27" t="s">
        <v>33</v>
      </c>
    </row>
    <row r="10" spans="1:8" ht="13.5" customHeight="1" x14ac:dyDescent="0.3">
      <c r="A10" s="1" t="s">
        <v>24</v>
      </c>
      <c r="B10" s="28">
        <v>3.7999999999999999E-2</v>
      </c>
      <c r="C10" s="28">
        <v>3.2000000000000002E-3</v>
      </c>
      <c r="D10" s="28">
        <v>1.0200000000000001E-2</v>
      </c>
      <c r="E10" s="28">
        <f t="shared" ref="E10:E12" si="2">SUM(B10:D10)</f>
        <v>5.1400000000000001E-2</v>
      </c>
      <c r="F10" s="12">
        <f t="shared" ref="F10:G10" si="3">C3</f>
        <v>40102.639999999999</v>
      </c>
      <c r="G10" s="29">
        <f t="shared" si="3"/>
        <v>0.35638481801087618</v>
      </c>
      <c r="H10" s="25">
        <f t="shared" ref="H10:H12" si="4">E10*G10</f>
        <v>1.8318179645759037E-2</v>
      </c>
    </row>
    <row r="11" spans="1:8" ht="13.5" customHeight="1" x14ac:dyDescent="0.3">
      <c r="A11" s="1" t="s">
        <v>25</v>
      </c>
      <c r="B11" s="28">
        <v>3.4299999999999997E-2</v>
      </c>
      <c r="C11" s="28">
        <v>2.8E-3</v>
      </c>
      <c r="D11" s="28">
        <v>9.4000000000000004E-3</v>
      </c>
      <c r="E11" s="28">
        <f t="shared" si="2"/>
        <v>4.6499999999999993E-2</v>
      </c>
      <c r="F11" s="12">
        <f t="shared" ref="F11:G11" si="5">C4</f>
        <v>68543.010000000009</v>
      </c>
      <c r="G11" s="29">
        <f t="shared" si="5"/>
        <v>0.60912917814806378</v>
      </c>
      <c r="H11" s="25">
        <f t="shared" si="4"/>
        <v>2.832450678388496E-2</v>
      </c>
    </row>
    <row r="12" spans="1:8" ht="13.5" customHeight="1" x14ac:dyDescent="0.3">
      <c r="A12" s="1" t="s">
        <v>26</v>
      </c>
      <c r="B12" s="28">
        <v>5.2900000000000003E-2</v>
      </c>
      <c r="C12" s="28">
        <v>2.5000000000000001E-3</v>
      </c>
      <c r="D12" s="28">
        <v>1.01E-2</v>
      </c>
      <c r="E12" s="28">
        <f t="shared" si="2"/>
        <v>6.5500000000000003E-2</v>
      </c>
      <c r="F12" s="12">
        <f t="shared" ref="F12:G12" si="6">C5</f>
        <v>3880.58</v>
      </c>
      <c r="G12" s="29">
        <f t="shared" si="6"/>
        <v>3.4486003841059987E-2</v>
      </c>
      <c r="H12" s="25">
        <f t="shared" si="4"/>
        <v>2.2588332515894294E-3</v>
      </c>
    </row>
    <row r="13" spans="1:8" ht="13.5" customHeight="1" x14ac:dyDescent="0.3">
      <c r="A13" s="1"/>
      <c r="B13" s="1"/>
      <c r="C13" s="1"/>
      <c r="D13" s="1"/>
      <c r="E13" s="1"/>
      <c r="F13" s="12">
        <f t="shared" ref="F13:H13" si="7">SUM(F10:F12)</f>
        <v>112526.23000000001</v>
      </c>
      <c r="G13" s="29">
        <f t="shared" si="7"/>
        <v>1</v>
      </c>
      <c r="H13" s="30">
        <f t="shared" si="7"/>
        <v>4.8901519681233428E-2</v>
      </c>
    </row>
    <row r="14" spans="1:8" ht="13.5" customHeight="1" x14ac:dyDescent="0.3"/>
    <row r="15" spans="1:8" ht="13.5" customHeight="1" x14ac:dyDescent="0.3">
      <c r="A15" s="31" t="s">
        <v>34</v>
      </c>
      <c r="B15" s="32">
        <v>0.06</v>
      </c>
    </row>
    <row r="16" spans="1:8" ht="13.5" customHeight="1" x14ac:dyDescent="0.3">
      <c r="A16" s="31" t="s">
        <v>35</v>
      </c>
      <c r="B16" s="54">
        <v>0.2</v>
      </c>
    </row>
    <row r="17" spans="1:4" ht="13.5" customHeight="1" x14ac:dyDescent="0.3">
      <c r="A17" s="31" t="s">
        <v>36</v>
      </c>
      <c r="B17" s="33">
        <v>6.7299999999999999E-2</v>
      </c>
      <c r="C17" s="34" t="s">
        <v>37</v>
      </c>
    </row>
    <row r="18" spans="1:4" ht="13.5" customHeight="1" x14ac:dyDescent="0.3">
      <c r="A18" s="31" t="s">
        <v>38</v>
      </c>
      <c r="B18" s="35">
        <f>H13+B15+B16+B17</f>
        <v>0.3762015196812335</v>
      </c>
      <c r="C18" s="136">
        <f>(1+B15)*(1+B17)*(1+H13)-1</f>
        <v>0.18666214747312715</v>
      </c>
      <c r="D18" s="137">
        <f>B15+B17+H13</f>
        <v>0.17620151968123343</v>
      </c>
    </row>
    <row r="19" spans="1:4" ht="13.5" customHeight="1" x14ac:dyDescent="0.3"/>
    <row r="20" spans="1:4" ht="13.5" customHeight="1" x14ac:dyDescent="0.3"/>
    <row r="21" spans="1:4" ht="13.5" customHeight="1" x14ac:dyDescent="0.3"/>
    <row r="22" spans="1:4" ht="13.5" customHeight="1" x14ac:dyDescent="0.3"/>
    <row r="23" spans="1:4" ht="13.5" customHeight="1" x14ac:dyDescent="0.3"/>
    <row r="24" spans="1:4" ht="13.5" customHeight="1" x14ac:dyDescent="0.3"/>
    <row r="25" spans="1:4" ht="13.5" customHeight="1" x14ac:dyDescent="0.3"/>
    <row r="26" spans="1:4" ht="13.5" customHeight="1" x14ac:dyDescent="0.3"/>
    <row r="27" spans="1:4" ht="13.5" customHeight="1" x14ac:dyDescent="0.3"/>
    <row r="28" spans="1:4" ht="13.5" customHeight="1" x14ac:dyDescent="0.3"/>
    <row r="29" spans="1:4" ht="13.5" customHeight="1" x14ac:dyDescent="0.3"/>
    <row r="30" spans="1:4" ht="13.5" customHeight="1" x14ac:dyDescent="0.3"/>
    <row r="31" spans="1:4" ht="13.5" customHeight="1" x14ac:dyDescent="0.3"/>
    <row r="32" spans="1:4" ht="13.5" customHeight="1" x14ac:dyDescent="0.3"/>
    <row r="33" ht="13.5" customHeight="1" x14ac:dyDescent="0.3"/>
    <row r="34" ht="13.5" customHeight="1" x14ac:dyDescent="0.3"/>
    <row r="35" ht="13.5" customHeight="1" x14ac:dyDescent="0.3"/>
    <row r="36" ht="13.5" customHeight="1" x14ac:dyDescent="0.3"/>
    <row r="37" ht="13.5" customHeight="1" x14ac:dyDescent="0.3"/>
    <row r="38" ht="13.5" customHeight="1" x14ac:dyDescent="0.3"/>
    <row r="39" ht="13.5" customHeight="1" x14ac:dyDescent="0.3"/>
    <row r="40" ht="13.5" customHeight="1" x14ac:dyDescent="0.3"/>
    <row r="41" ht="13.5" customHeight="1" x14ac:dyDescent="0.3"/>
    <row r="42" ht="13.5" customHeight="1" x14ac:dyDescent="0.3"/>
    <row r="43" ht="13.5" customHeight="1" x14ac:dyDescent="0.3"/>
    <row r="44" ht="13.5" customHeight="1" x14ac:dyDescent="0.3"/>
    <row r="45" ht="13.5" customHeight="1" x14ac:dyDescent="0.3"/>
    <row r="46" ht="13.5" customHeight="1" x14ac:dyDescent="0.3"/>
    <row r="47" ht="13.5" customHeight="1" x14ac:dyDescent="0.3"/>
    <row r="48" ht="13.5" customHeight="1" x14ac:dyDescent="0.3"/>
    <row r="49" ht="13.5" customHeight="1" x14ac:dyDescent="0.3"/>
    <row r="50" ht="13.5" customHeight="1" x14ac:dyDescent="0.3"/>
    <row r="51" ht="13.5" customHeight="1" x14ac:dyDescent="0.3"/>
    <row r="52" ht="13.5" customHeight="1" x14ac:dyDescent="0.3"/>
    <row r="53" ht="13.5" customHeight="1" x14ac:dyDescent="0.3"/>
    <row r="54" ht="13.5" customHeight="1" x14ac:dyDescent="0.3"/>
    <row r="55" ht="13.5" customHeight="1" x14ac:dyDescent="0.3"/>
    <row r="56" ht="13.5" customHeight="1" x14ac:dyDescent="0.3"/>
    <row r="57" ht="13.5" customHeight="1" x14ac:dyDescent="0.3"/>
    <row r="58" ht="13.5" customHeight="1" x14ac:dyDescent="0.3"/>
    <row r="59" ht="13.5" customHeight="1" x14ac:dyDescent="0.3"/>
    <row r="60" ht="13.5" customHeight="1" x14ac:dyDescent="0.3"/>
    <row r="61" ht="13.5" customHeight="1" x14ac:dyDescent="0.3"/>
    <row r="62" ht="13.5" customHeight="1" x14ac:dyDescent="0.3"/>
    <row r="63" ht="13.5" customHeight="1" x14ac:dyDescent="0.3"/>
    <row r="64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  <row r="77" ht="13.5" customHeight="1" x14ac:dyDescent="0.3"/>
    <row r="78" ht="13.5" customHeight="1" x14ac:dyDescent="0.3"/>
    <row r="79" ht="13.5" customHeight="1" x14ac:dyDescent="0.3"/>
    <row r="80" ht="13.5" customHeight="1" x14ac:dyDescent="0.3"/>
    <row r="81" ht="13.5" customHeight="1" x14ac:dyDescent="0.3"/>
    <row r="82" ht="13.5" customHeight="1" x14ac:dyDescent="0.3"/>
    <row r="83" ht="13.5" customHeight="1" x14ac:dyDescent="0.3"/>
    <row r="84" ht="13.5" customHeight="1" x14ac:dyDescent="0.3"/>
    <row r="85" ht="13.5" customHeight="1" x14ac:dyDescent="0.3"/>
    <row r="86" ht="13.5" customHeight="1" x14ac:dyDescent="0.3"/>
    <row r="87" ht="13.5" customHeight="1" x14ac:dyDescent="0.3"/>
    <row r="88" ht="13.5" customHeight="1" x14ac:dyDescent="0.3"/>
    <row r="89" ht="13.5" customHeight="1" x14ac:dyDescent="0.3"/>
    <row r="90" ht="13.5" customHeight="1" x14ac:dyDescent="0.3"/>
    <row r="91" ht="13.5" customHeight="1" x14ac:dyDescent="0.3"/>
    <row r="92" ht="13.5" customHeight="1" x14ac:dyDescent="0.3"/>
    <row r="93" ht="13.5" customHeight="1" x14ac:dyDescent="0.3"/>
    <row r="94" ht="13.5" customHeight="1" x14ac:dyDescent="0.3"/>
    <row r="95" ht="13.5" customHeight="1" x14ac:dyDescent="0.3"/>
    <row r="96" ht="13.5" customHeight="1" x14ac:dyDescent="0.3"/>
    <row r="97" ht="13.5" customHeight="1" x14ac:dyDescent="0.3"/>
    <row r="98" ht="13.5" customHeight="1" x14ac:dyDescent="0.3"/>
    <row r="99" ht="13.5" customHeight="1" x14ac:dyDescent="0.3"/>
    <row r="100" ht="13.5" customHeight="1" x14ac:dyDescent="0.3"/>
    <row r="101" ht="13.5" customHeight="1" x14ac:dyDescent="0.3"/>
    <row r="102" ht="13.5" customHeight="1" x14ac:dyDescent="0.3"/>
    <row r="103" ht="13.5" customHeight="1" x14ac:dyDescent="0.3"/>
    <row r="104" ht="13.5" customHeight="1" x14ac:dyDescent="0.3"/>
    <row r="105" ht="13.5" customHeight="1" x14ac:dyDescent="0.3"/>
    <row r="106" ht="13.5" customHeight="1" x14ac:dyDescent="0.3"/>
    <row r="107" ht="13.5" customHeight="1" x14ac:dyDescent="0.3"/>
    <row r="108" ht="13.5" customHeight="1" x14ac:dyDescent="0.3"/>
    <row r="109" ht="13.5" customHeight="1" x14ac:dyDescent="0.3"/>
    <row r="110" ht="13.5" customHeight="1" x14ac:dyDescent="0.3"/>
    <row r="111" ht="13.5" customHeight="1" x14ac:dyDescent="0.3"/>
    <row r="112" ht="13.5" customHeight="1" x14ac:dyDescent="0.3"/>
    <row r="113" ht="13.5" customHeight="1" x14ac:dyDescent="0.3"/>
    <row r="114" ht="13.5" customHeight="1" x14ac:dyDescent="0.3"/>
    <row r="115" ht="13.5" customHeight="1" x14ac:dyDescent="0.3"/>
    <row r="116" ht="13.5" customHeight="1" x14ac:dyDescent="0.3"/>
    <row r="117" ht="13.5" customHeight="1" x14ac:dyDescent="0.3"/>
    <row r="118" ht="13.5" customHeight="1" x14ac:dyDescent="0.3"/>
    <row r="119" ht="13.5" customHeight="1" x14ac:dyDescent="0.3"/>
    <row r="120" ht="13.5" customHeight="1" x14ac:dyDescent="0.3"/>
    <row r="121" ht="13.5" customHeight="1" x14ac:dyDescent="0.3"/>
    <row r="122" ht="13.5" customHeight="1" x14ac:dyDescent="0.3"/>
    <row r="123" ht="13.5" customHeight="1" x14ac:dyDescent="0.3"/>
    <row r="124" ht="13.5" customHeight="1" x14ac:dyDescent="0.3"/>
    <row r="125" ht="13.5" customHeight="1" x14ac:dyDescent="0.3"/>
    <row r="126" ht="13.5" customHeight="1" x14ac:dyDescent="0.3"/>
    <row r="127" ht="13.5" customHeight="1" x14ac:dyDescent="0.3"/>
    <row r="128" ht="13.5" customHeight="1" x14ac:dyDescent="0.3"/>
    <row r="129" ht="13.5" customHeight="1" x14ac:dyDescent="0.3"/>
    <row r="130" ht="13.5" customHeight="1" x14ac:dyDescent="0.3"/>
    <row r="131" ht="13.5" customHeight="1" x14ac:dyDescent="0.3"/>
    <row r="132" ht="13.5" customHeight="1" x14ac:dyDescent="0.3"/>
    <row r="133" ht="13.5" customHeight="1" x14ac:dyDescent="0.3"/>
    <row r="134" ht="13.5" customHeight="1" x14ac:dyDescent="0.3"/>
    <row r="135" ht="13.5" customHeight="1" x14ac:dyDescent="0.3"/>
    <row r="136" ht="13.5" customHeight="1" x14ac:dyDescent="0.3"/>
    <row r="137" ht="13.5" customHeight="1" x14ac:dyDescent="0.3"/>
    <row r="138" ht="13.5" customHeight="1" x14ac:dyDescent="0.3"/>
    <row r="139" ht="13.5" customHeight="1" x14ac:dyDescent="0.3"/>
    <row r="140" ht="13.5" customHeight="1" x14ac:dyDescent="0.3"/>
    <row r="141" ht="13.5" customHeight="1" x14ac:dyDescent="0.3"/>
    <row r="142" ht="13.5" customHeight="1" x14ac:dyDescent="0.3"/>
    <row r="143" ht="13.5" customHeight="1" x14ac:dyDescent="0.3"/>
    <row r="144" ht="13.5" customHeight="1" x14ac:dyDescent="0.3"/>
    <row r="145" ht="13.5" customHeight="1" x14ac:dyDescent="0.3"/>
    <row r="146" ht="13.5" customHeight="1" x14ac:dyDescent="0.3"/>
    <row r="147" ht="13.5" customHeight="1" x14ac:dyDescent="0.3"/>
    <row r="148" ht="13.5" customHeight="1" x14ac:dyDescent="0.3"/>
    <row r="149" ht="13.5" customHeight="1" x14ac:dyDescent="0.3"/>
    <row r="150" ht="13.5" customHeight="1" x14ac:dyDescent="0.3"/>
    <row r="151" ht="13.5" customHeight="1" x14ac:dyDescent="0.3"/>
    <row r="152" ht="13.5" customHeight="1" x14ac:dyDescent="0.3"/>
    <row r="153" ht="13.5" customHeight="1" x14ac:dyDescent="0.3"/>
    <row r="154" ht="13.5" customHeight="1" x14ac:dyDescent="0.3"/>
    <row r="155" ht="13.5" customHeight="1" x14ac:dyDescent="0.3"/>
    <row r="156" ht="13.5" customHeight="1" x14ac:dyDescent="0.3"/>
    <row r="157" ht="13.5" customHeight="1" x14ac:dyDescent="0.3"/>
    <row r="158" ht="13.5" customHeight="1" x14ac:dyDescent="0.3"/>
    <row r="159" ht="13.5" customHeight="1" x14ac:dyDescent="0.3"/>
    <row r="160" ht="13.5" customHeight="1" x14ac:dyDescent="0.3"/>
    <row r="161" ht="13.5" customHeight="1" x14ac:dyDescent="0.3"/>
    <row r="162" ht="13.5" customHeight="1" x14ac:dyDescent="0.3"/>
    <row r="163" ht="13.5" customHeight="1" x14ac:dyDescent="0.3"/>
    <row r="164" ht="13.5" customHeight="1" x14ac:dyDescent="0.3"/>
    <row r="165" ht="13.5" customHeight="1" x14ac:dyDescent="0.3"/>
    <row r="166" ht="13.5" customHeight="1" x14ac:dyDescent="0.3"/>
    <row r="167" ht="13.5" customHeight="1" x14ac:dyDescent="0.3"/>
    <row r="168" ht="13.5" customHeight="1" x14ac:dyDescent="0.3"/>
    <row r="169" ht="13.5" customHeight="1" x14ac:dyDescent="0.3"/>
    <row r="170" ht="13.5" customHeight="1" x14ac:dyDescent="0.3"/>
    <row r="171" ht="13.5" customHeight="1" x14ac:dyDescent="0.3"/>
    <row r="172" ht="13.5" customHeight="1" x14ac:dyDescent="0.3"/>
    <row r="173" ht="13.5" customHeight="1" x14ac:dyDescent="0.3"/>
    <row r="174" ht="13.5" customHeight="1" x14ac:dyDescent="0.3"/>
    <row r="175" ht="13.5" customHeight="1" x14ac:dyDescent="0.3"/>
    <row r="176" ht="13.5" customHeight="1" x14ac:dyDescent="0.3"/>
    <row r="177" ht="13.5" customHeight="1" x14ac:dyDescent="0.3"/>
    <row r="178" ht="13.5" customHeight="1" x14ac:dyDescent="0.3"/>
    <row r="179" ht="13.5" customHeight="1" x14ac:dyDescent="0.3"/>
    <row r="180" ht="13.5" customHeight="1" x14ac:dyDescent="0.3"/>
    <row r="181" ht="13.5" customHeight="1" x14ac:dyDescent="0.3"/>
    <row r="182" ht="13.5" customHeight="1" x14ac:dyDescent="0.3"/>
    <row r="183" ht="13.5" customHeight="1" x14ac:dyDescent="0.3"/>
    <row r="184" ht="13.5" customHeight="1" x14ac:dyDescent="0.3"/>
    <row r="185" ht="13.5" customHeight="1" x14ac:dyDescent="0.3"/>
    <row r="186" ht="13.5" customHeight="1" x14ac:dyDescent="0.3"/>
    <row r="187" ht="13.5" customHeight="1" x14ac:dyDescent="0.3"/>
    <row r="188" ht="13.5" customHeight="1" x14ac:dyDescent="0.3"/>
    <row r="189" ht="13.5" customHeight="1" x14ac:dyDescent="0.3"/>
    <row r="190" ht="13.5" customHeight="1" x14ac:dyDescent="0.3"/>
    <row r="191" ht="13.5" customHeight="1" x14ac:dyDescent="0.3"/>
    <row r="192" ht="13.5" customHeight="1" x14ac:dyDescent="0.3"/>
    <row r="193" ht="13.5" customHeight="1" x14ac:dyDescent="0.3"/>
    <row r="194" ht="13.5" customHeight="1" x14ac:dyDescent="0.3"/>
    <row r="195" ht="13.5" customHeight="1" x14ac:dyDescent="0.3"/>
    <row r="196" ht="13.5" customHeight="1" x14ac:dyDescent="0.3"/>
    <row r="197" ht="13.5" customHeight="1" x14ac:dyDescent="0.3"/>
    <row r="198" ht="13.5" customHeight="1" x14ac:dyDescent="0.3"/>
    <row r="199" ht="13.5" customHeight="1" x14ac:dyDescent="0.3"/>
    <row r="200" ht="13.5" customHeight="1" x14ac:dyDescent="0.3"/>
    <row r="201" ht="13.5" customHeight="1" x14ac:dyDescent="0.3"/>
    <row r="202" ht="13.5" customHeight="1" x14ac:dyDescent="0.3"/>
    <row r="203" ht="13.5" customHeight="1" x14ac:dyDescent="0.3"/>
    <row r="204" ht="13.5" customHeight="1" x14ac:dyDescent="0.3"/>
    <row r="205" ht="13.5" customHeight="1" x14ac:dyDescent="0.3"/>
    <row r="206" ht="13.5" customHeight="1" x14ac:dyDescent="0.3"/>
    <row r="207" ht="13.5" customHeight="1" x14ac:dyDescent="0.3"/>
    <row r="208" ht="13.5" customHeight="1" x14ac:dyDescent="0.3"/>
    <row r="209" ht="13.5" customHeight="1" x14ac:dyDescent="0.3"/>
    <row r="210" ht="13.5" customHeight="1" x14ac:dyDescent="0.3"/>
    <row r="211" ht="13.5" customHeight="1" x14ac:dyDescent="0.3"/>
    <row r="212" ht="13.5" customHeight="1" x14ac:dyDescent="0.3"/>
    <row r="213" ht="13.5" customHeight="1" x14ac:dyDescent="0.3"/>
    <row r="214" ht="13.5" customHeight="1" x14ac:dyDescent="0.3"/>
    <row r="215" ht="13.5" customHeight="1" x14ac:dyDescent="0.3"/>
    <row r="216" ht="13.5" customHeight="1" x14ac:dyDescent="0.3"/>
    <row r="217" ht="13.5" customHeight="1" x14ac:dyDescent="0.3"/>
    <row r="218" ht="13.5" customHeight="1" x14ac:dyDescent="0.3"/>
    <row r="219" ht="13.5" customHeight="1" x14ac:dyDescent="0.3"/>
    <row r="220" ht="13.5" customHeight="1" x14ac:dyDescent="0.3"/>
    <row r="221" ht="13.5" customHeight="1" x14ac:dyDescent="0.3"/>
    <row r="222" ht="13.5" customHeight="1" x14ac:dyDescent="0.3"/>
    <row r="223" ht="13.5" customHeight="1" x14ac:dyDescent="0.3"/>
    <row r="224" ht="13.5" customHeight="1" x14ac:dyDescent="0.3"/>
    <row r="225" ht="13.5" customHeight="1" x14ac:dyDescent="0.3"/>
    <row r="226" ht="13.5" customHeight="1" x14ac:dyDescent="0.3"/>
    <row r="227" ht="13.5" customHeight="1" x14ac:dyDescent="0.3"/>
    <row r="228" ht="13.5" customHeight="1" x14ac:dyDescent="0.3"/>
    <row r="229" ht="13.5" customHeight="1" x14ac:dyDescent="0.3"/>
    <row r="230" ht="13.5" customHeight="1" x14ac:dyDescent="0.3"/>
    <row r="231" ht="13.5" customHeight="1" x14ac:dyDescent="0.3"/>
    <row r="232" ht="13.5" customHeight="1" x14ac:dyDescent="0.3"/>
    <row r="233" ht="13.5" customHeight="1" x14ac:dyDescent="0.3"/>
    <row r="234" ht="13.5" customHeight="1" x14ac:dyDescent="0.3"/>
    <row r="235" ht="13.5" customHeight="1" x14ac:dyDescent="0.3"/>
    <row r="236" ht="13.5" customHeight="1" x14ac:dyDescent="0.3"/>
    <row r="237" ht="13.5" customHeight="1" x14ac:dyDescent="0.3"/>
    <row r="238" ht="13.5" customHeight="1" x14ac:dyDescent="0.3"/>
    <row r="239" ht="13.5" customHeight="1" x14ac:dyDescent="0.3"/>
    <row r="240" ht="13.5" customHeight="1" x14ac:dyDescent="0.3"/>
    <row r="241" ht="13.5" customHeight="1" x14ac:dyDescent="0.3"/>
    <row r="242" ht="13.5" customHeight="1" x14ac:dyDescent="0.3"/>
    <row r="243" ht="13.5" customHeight="1" x14ac:dyDescent="0.3"/>
    <row r="244" ht="13.5" customHeight="1" x14ac:dyDescent="0.3"/>
    <row r="245" ht="13.5" customHeight="1" x14ac:dyDescent="0.3"/>
    <row r="246" ht="13.5" customHeight="1" x14ac:dyDescent="0.3"/>
    <row r="247" ht="13.5" customHeight="1" x14ac:dyDescent="0.3"/>
    <row r="248" ht="13.5" customHeight="1" x14ac:dyDescent="0.3"/>
    <row r="249" ht="13.5" customHeight="1" x14ac:dyDescent="0.3"/>
    <row r="250" ht="13.5" customHeight="1" x14ac:dyDescent="0.3"/>
    <row r="251" ht="13.5" customHeight="1" x14ac:dyDescent="0.3"/>
    <row r="252" ht="13.5" customHeight="1" x14ac:dyDescent="0.3"/>
    <row r="253" ht="13.5" customHeight="1" x14ac:dyDescent="0.3"/>
    <row r="254" ht="13.5" customHeight="1" x14ac:dyDescent="0.3"/>
    <row r="255" ht="13.5" customHeight="1" x14ac:dyDescent="0.3"/>
    <row r="256" ht="13.5" customHeight="1" x14ac:dyDescent="0.3"/>
    <row r="257" ht="13.5" customHeight="1" x14ac:dyDescent="0.3"/>
    <row r="258" ht="13.5" customHeight="1" x14ac:dyDescent="0.3"/>
    <row r="259" ht="13.5" customHeight="1" x14ac:dyDescent="0.3"/>
    <row r="260" ht="13.5" customHeight="1" x14ac:dyDescent="0.3"/>
    <row r="261" ht="13.5" customHeight="1" x14ac:dyDescent="0.3"/>
    <row r="262" ht="13.5" customHeight="1" x14ac:dyDescent="0.3"/>
    <row r="263" ht="13.5" customHeight="1" x14ac:dyDescent="0.3"/>
    <row r="264" ht="13.5" customHeight="1" x14ac:dyDescent="0.3"/>
    <row r="265" ht="13.5" customHeight="1" x14ac:dyDescent="0.3"/>
    <row r="266" ht="13.5" customHeight="1" x14ac:dyDescent="0.3"/>
    <row r="267" ht="13.5" customHeight="1" x14ac:dyDescent="0.3"/>
    <row r="268" ht="13.5" customHeight="1" x14ac:dyDescent="0.3"/>
    <row r="269" ht="13.5" customHeight="1" x14ac:dyDescent="0.3"/>
    <row r="270" ht="13.5" customHeight="1" x14ac:dyDescent="0.3"/>
    <row r="271" ht="13.5" customHeight="1" x14ac:dyDescent="0.3"/>
    <row r="272" ht="13.5" customHeight="1" x14ac:dyDescent="0.3"/>
    <row r="273" ht="13.5" customHeight="1" x14ac:dyDescent="0.3"/>
    <row r="274" ht="13.5" customHeight="1" x14ac:dyDescent="0.3"/>
    <row r="275" ht="13.5" customHeight="1" x14ac:dyDescent="0.3"/>
    <row r="276" ht="13.5" customHeight="1" x14ac:dyDescent="0.3"/>
    <row r="277" ht="13.5" customHeight="1" x14ac:dyDescent="0.3"/>
    <row r="278" ht="13.5" customHeight="1" x14ac:dyDescent="0.3"/>
    <row r="279" ht="13.5" customHeight="1" x14ac:dyDescent="0.3"/>
    <row r="280" ht="13.5" customHeight="1" x14ac:dyDescent="0.3"/>
    <row r="281" ht="13.5" customHeight="1" x14ac:dyDescent="0.3"/>
    <row r="282" ht="13.5" customHeight="1" x14ac:dyDescent="0.3"/>
    <row r="283" ht="13.5" customHeight="1" x14ac:dyDescent="0.3"/>
    <row r="284" ht="13.5" customHeight="1" x14ac:dyDescent="0.3"/>
    <row r="285" ht="13.5" customHeight="1" x14ac:dyDescent="0.3"/>
    <row r="286" ht="13.5" customHeight="1" x14ac:dyDescent="0.3"/>
    <row r="287" ht="13.5" customHeight="1" x14ac:dyDescent="0.3"/>
    <row r="288" ht="13.5" customHeight="1" x14ac:dyDescent="0.3"/>
    <row r="289" ht="13.5" customHeight="1" x14ac:dyDescent="0.3"/>
    <row r="290" ht="13.5" customHeight="1" x14ac:dyDescent="0.3"/>
    <row r="291" ht="13.5" customHeight="1" x14ac:dyDescent="0.3"/>
    <row r="292" ht="13.5" customHeight="1" x14ac:dyDescent="0.3"/>
    <row r="293" ht="13.5" customHeight="1" x14ac:dyDescent="0.3"/>
    <row r="294" ht="13.5" customHeight="1" x14ac:dyDescent="0.3"/>
    <row r="295" ht="13.5" customHeight="1" x14ac:dyDescent="0.3"/>
    <row r="296" ht="13.5" customHeight="1" x14ac:dyDescent="0.3"/>
    <row r="297" ht="13.5" customHeight="1" x14ac:dyDescent="0.3"/>
    <row r="298" ht="13.5" customHeight="1" x14ac:dyDescent="0.3"/>
    <row r="299" ht="13.5" customHeight="1" x14ac:dyDescent="0.3"/>
    <row r="300" ht="13.5" customHeight="1" x14ac:dyDescent="0.3"/>
    <row r="301" ht="13.5" customHeight="1" x14ac:dyDescent="0.3"/>
    <row r="302" ht="13.5" customHeight="1" x14ac:dyDescent="0.3"/>
    <row r="303" ht="13.5" customHeight="1" x14ac:dyDescent="0.3"/>
    <row r="304" ht="13.5" customHeight="1" x14ac:dyDescent="0.3"/>
    <row r="305" ht="13.5" customHeight="1" x14ac:dyDescent="0.3"/>
    <row r="306" ht="13.5" customHeight="1" x14ac:dyDescent="0.3"/>
    <row r="307" ht="13.5" customHeight="1" x14ac:dyDescent="0.3"/>
    <row r="308" ht="13.5" customHeight="1" x14ac:dyDescent="0.3"/>
    <row r="309" ht="13.5" customHeight="1" x14ac:dyDescent="0.3"/>
    <row r="310" ht="13.5" customHeight="1" x14ac:dyDescent="0.3"/>
    <row r="311" ht="13.5" customHeight="1" x14ac:dyDescent="0.3"/>
    <row r="312" ht="13.5" customHeight="1" x14ac:dyDescent="0.3"/>
    <row r="313" ht="13.5" customHeight="1" x14ac:dyDescent="0.3"/>
    <row r="314" ht="13.5" customHeight="1" x14ac:dyDescent="0.3"/>
    <row r="315" ht="13.5" customHeight="1" x14ac:dyDescent="0.3"/>
    <row r="316" ht="13.5" customHeight="1" x14ac:dyDescent="0.3"/>
    <row r="317" ht="13.5" customHeight="1" x14ac:dyDescent="0.3"/>
    <row r="318" ht="13.5" customHeight="1" x14ac:dyDescent="0.3"/>
    <row r="319" ht="13.5" customHeight="1" x14ac:dyDescent="0.3"/>
    <row r="320" ht="13.5" customHeight="1" x14ac:dyDescent="0.3"/>
    <row r="321" ht="13.5" customHeight="1" x14ac:dyDescent="0.3"/>
    <row r="322" ht="13.5" customHeight="1" x14ac:dyDescent="0.3"/>
    <row r="323" ht="13.5" customHeight="1" x14ac:dyDescent="0.3"/>
    <row r="324" ht="13.5" customHeight="1" x14ac:dyDescent="0.3"/>
    <row r="325" ht="13.5" customHeight="1" x14ac:dyDescent="0.3"/>
    <row r="326" ht="13.5" customHeight="1" x14ac:dyDescent="0.3"/>
    <row r="327" ht="13.5" customHeight="1" x14ac:dyDescent="0.3"/>
    <row r="328" ht="13.5" customHeight="1" x14ac:dyDescent="0.3"/>
    <row r="329" ht="13.5" customHeight="1" x14ac:dyDescent="0.3"/>
    <row r="330" ht="13.5" customHeight="1" x14ac:dyDescent="0.3"/>
    <row r="331" ht="13.5" customHeight="1" x14ac:dyDescent="0.3"/>
    <row r="332" ht="13.5" customHeight="1" x14ac:dyDescent="0.3"/>
    <row r="333" ht="13.5" customHeight="1" x14ac:dyDescent="0.3"/>
    <row r="334" ht="13.5" customHeight="1" x14ac:dyDescent="0.3"/>
    <row r="335" ht="13.5" customHeight="1" x14ac:dyDescent="0.3"/>
    <row r="336" ht="13.5" customHeight="1" x14ac:dyDescent="0.3"/>
    <row r="337" ht="13.5" customHeight="1" x14ac:dyDescent="0.3"/>
    <row r="338" ht="13.5" customHeight="1" x14ac:dyDescent="0.3"/>
    <row r="339" ht="13.5" customHeight="1" x14ac:dyDescent="0.3"/>
    <row r="340" ht="13.5" customHeight="1" x14ac:dyDescent="0.3"/>
    <row r="341" ht="13.5" customHeight="1" x14ac:dyDescent="0.3"/>
    <row r="342" ht="13.5" customHeight="1" x14ac:dyDescent="0.3"/>
    <row r="343" ht="13.5" customHeight="1" x14ac:dyDescent="0.3"/>
    <row r="344" ht="13.5" customHeight="1" x14ac:dyDescent="0.3"/>
    <row r="345" ht="13.5" customHeight="1" x14ac:dyDescent="0.3"/>
    <row r="346" ht="13.5" customHeight="1" x14ac:dyDescent="0.3"/>
    <row r="347" ht="13.5" customHeight="1" x14ac:dyDescent="0.3"/>
    <row r="348" ht="13.5" customHeight="1" x14ac:dyDescent="0.3"/>
    <row r="349" ht="13.5" customHeight="1" x14ac:dyDescent="0.3"/>
    <row r="350" ht="13.5" customHeight="1" x14ac:dyDescent="0.3"/>
    <row r="351" ht="13.5" customHeight="1" x14ac:dyDescent="0.3"/>
    <row r="352" ht="13.5" customHeight="1" x14ac:dyDescent="0.3"/>
    <row r="353" ht="13.5" customHeight="1" x14ac:dyDescent="0.3"/>
    <row r="354" ht="13.5" customHeight="1" x14ac:dyDescent="0.3"/>
    <row r="355" ht="13.5" customHeight="1" x14ac:dyDescent="0.3"/>
    <row r="356" ht="13.5" customHeight="1" x14ac:dyDescent="0.3"/>
    <row r="357" ht="13.5" customHeight="1" x14ac:dyDescent="0.3"/>
    <row r="358" ht="13.5" customHeight="1" x14ac:dyDescent="0.3"/>
    <row r="359" ht="13.5" customHeight="1" x14ac:dyDescent="0.3"/>
    <row r="360" ht="13.5" customHeight="1" x14ac:dyDescent="0.3"/>
    <row r="361" ht="13.5" customHeight="1" x14ac:dyDescent="0.3"/>
    <row r="362" ht="13.5" customHeight="1" x14ac:dyDescent="0.3"/>
    <row r="363" ht="13.5" customHeight="1" x14ac:dyDescent="0.3"/>
    <row r="364" ht="13.5" customHeight="1" x14ac:dyDescent="0.3"/>
    <row r="365" ht="13.5" customHeight="1" x14ac:dyDescent="0.3"/>
    <row r="366" ht="13.5" customHeight="1" x14ac:dyDescent="0.3"/>
    <row r="367" ht="13.5" customHeight="1" x14ac:dyDescent="0.3"/>
    <row r="368" ht="13.5" customHeight="1" x14ac:dyDescent="0.3"/>
    <row r="369" ht="13.5" customHeight="1" x14ac:dyDescent="0.3"/>
    <row r="370" ht="13.5" customHeight="1" x14ac:dyDescent="0.3"/>
    <row r="371" ht="13.5" customHeight="1" x14ac:dyDescent="0.3"/>
    <row r="372" ht="13.5" customHeight="1" x14ac:dyDescent="0.3"/>
    <row r="373" ht="13.5" customHeight="1" x14ac:dyDescent="0.3"/>
    <row r="374" ht="13.5" customHeight="1" x14ac:dyDescent="0.3"/>
    <row r="375" ht="13.5" customHeight="1" x14ac:dyDescent="0.3"/>
    <row r="376" ht="13.5" customHeight="1" x14ac:dyDescent="0.3"/>
    <row r="377" ht="13.5" customHeight="1" x14ac:dyDescent="0.3"/>
    <row r="378" ht="13.5" customHeight="1" x14ac:dyDescent="0.3"/>
    <row r="379" ht="13.5" customHeight="1" x14ac:dyDescent="0.3"/>
    <row r="380" ht="13.5" customHeight="1" x14ac:dyDescent="0.3"/>
    <row r="381" ht="13.5" customHeight="1" x14ac:dyDescent="0.3"/>
    <row r="382" ht="13.5" customHeight="1" x14ac:dyDescent="0.3"/>
    <row r="383" ht="13.5" customHeight="1" x14ac:dyDescent="0.3"/>
    <row r="384" ht="13.5" customHeight="1" x14ac:dyDescent="0.3"/>
    <row r="385" ht="13.5" customHeight="1" x14ac:dyDescent="0.3"/>
    <row r="386" ht="13.5" customHeight="1" x14ac:dyDescent="0.3"/>
    <row r="387" ht="13.5" customHeight="1" x14ac:dyDescent="0.3"/>
    <row r="388" ht="13.5" customHeight="1" x14ac:dyDescent="0.3"/>
    <row r="389" ht="13.5" customHeight="1" x14ac:dyDescent="0.3"/>
    <row r="390" ht="13.5" customHeight="1" x14ac:dyDescent="0.3"/>
    <row r="391" ht="13.5" customHeight="1" x14ac:dyDescent="0.3"/>
    <row r="392" ht="13.5" customHeight="1" x14ac:dyDescent="0.3"/>
    <row r="393" ht="13.5" customHeight="1" x14ac:dyDescent="0.3"/>
    <row r="394" ht="13.5" customHeight="1" x14ac:dyDescent="0.3"/>
    <row r="395" ht="13.5" customHeight="1" x14ac:dyDescent="0.3"/>
    <row r="396" ht="13.5" customHeight="1" x14ac:dyDescent="0.3"/>
    <row r="397" ht="13.5" customHeight="1" x14ac:dyDescent="0.3"/>
    <row r="398" ht="13.5" customHeight="1" x14ac:dyDescent="0.3"/>
    <row r="399" ht="13.5" customHeight="1" x14ac:dyDescent="0.3"/>
    <row r="400" ht="13.5" customHeight="1" x14ac:dyDescent="0.3"/>
    <row r="401" ht="13.5" customHeight="1" x14ac:dyDescent="0.3"/>
    <row r="402" ht="13.5" customHeight="1" x14ac:dyDescent="0.3"/>
    <row r="403" ht="13.5" customHeight="1" x14ac:dyDescent="0.3"/>
    <row r="404" ht="13.5" customHeight="1" x14ac:dyDescent="0.3"/>
    <row r="405" ht="13.5" customHeight="1" x14ac:dyDescent="0.3"/>
    <row r="406" ht="13.5" customHeight="1" x14ac:dyDescent="0.3"/>
    <row r="407" ht="13.5" customHeight="1" x14ac:dyDescent="0.3"/>
    <row r="408" ht="13.5" customHeight="1" x14ac:dyDescent="0.3"/>
    <row r="409" ht="13.5" customHeight="1" x14ac:dyDescent="0.3"/>
    <row r="410" ht="13.5" customHeight="1" x14ac:dyDescent="0.3"/>
    <row r="411" ht="13.5" customHeight="1" x14ac:dyDescent="0.3"/>
    <row r="412" ht="13.5" customHeight="1" x14ac:dyDescent="0.3"/>
    <row r="413" ht="13.5" customHeight="1" x14ac:dyDescent="0.3"/>
    <row r="414" ht="13.5" customHeight="1" x14ac:dyDescent="0.3"/>
    <row r="415" ht="13.5" customHeight="1" x14ac:dyDescent="0.3"/>
    <row r="416" ht="13.5" customHeight="1" x14ac:dyDescent="0.3"/>
    <row r="417" ht="13.5" customHeight="1" x14ac:dyDescent="0.3"/>
    <row r="418" ht="13.5" customHeight="1" x14ac:dyDescent="0.3"/>
    <row r="419" ht="13.5" customHeight="1" x14ac:dyDescent="0.3"/>
    <row r="420" ht="13.5" customHeight="1" x14ac:dyDescent="0.3"/>
    <row r="421" ht="13.5" customHeight="1" x14ac:dyDescent="0.3"/>
    <row r="422" ht="13.5" customHeight="1" x14ac:dyDescent="0.3"/>
    <row r="423" ht="13.5" customHeight="1" x14ac:dyDescent="0.3"/>
    <row r="424" ht="13.5" customHeight="1" x14ac:dyDescent="0.3"/>
    <row r="425" ht="13.5" customHeight="1" x14ac:dyDescent="0.3"/>
    <row r="426" ht="13.5" customHeight="1" x14ac:dyDescent="0.3"/>
    <row r="427" ht="13.5" customHeight="1" x14ac:dyDescent="0.3"/>
    <row r="428" ht="13.5" customHeight="1" x14ac:dyDescent="0.3"/>
    <row r="429" ht="13.5" customHeight="1" x14ac:dyDescent="0.3"/>
    <row r="430" ht="13.5" customHeight="1" x14ac:dyDescent="0.3"/>
    <row r="431" ht="13.5" customHeight="1" x14ac:dyDescent="0.3"/>
    <row r="432" ht="13.5" customHeight="1" x14ac:dyDescent="0.3"/>
    <row r="433" ht="13.5" customHeight="1" x14ac:dyDescent="0.3"/>
    <row r="434" ht="13.5" customHeight="1" x14ac:dyDescent="0.3"/>
    <row r="435" ht="13.5" customHeight="1" x14ac:dyDescent="0.3"/>
    <row r="436" ht="13.5" customHeight="1" x14ac:dyDescent="0.3"/>
    <row r="437" ht="13.5" customHeight="1" x14ac:dyDescent="0.3"/>
    <row r="438" ht="13.5" customHeight="1" x14ac:dyDescent="0.3"/>
    <row r="439" ht="13.5" customHeight="1" x14ac:dyDescent="0.3"/>
    <row r="440" ht="13.5" customHeight="1" x14ac:dyDescent="0.3"/>
    <row r="441" ht="13.5" customHeight="1" x14ac:dyDescent="0.3"/>
    <row r="442" ht="13.5" customHeight="1" x14ac:dyDescent="0.3"/>
    <row r="443" ht="13.5" customHeight="1" x14ac:dyDescent="0.3"/>
    <row r="444" ht="13.5" customHeight="1" x14ac:dyDescent="0.3"/>
    <row r="445" ht="13.5" customHeight="1" x14ac:dyDescent="0.3"/>
    <row r="446" ht="13.5" customHeight="1" x14ac:dyDescent="0.3"/>
    <row r="447" ht="13.5" customHeight="1" x14ac:dyDescent="0.3"/>
    <row r="448" ht="13.5" customHeight="1" x14ac:dyDescent="0.3"/>
    <row r="449" ht="13.5" customHeight="1" x14ac:dyDescent="0.3"/>
    <row r="450" ht="13.5" customHeight="1" x14ac:dyDescent="0.3"/>
    <row r="451" ht="13.5" customHeight="1" x14ac:dyDescent="0.3"/>
    <row r="452" ht="13.5" customHeight="1" x14ac:dyDescent="0.3"/>
    <row r="453" ht="13.5" customHeight="1" x14ac:dyDescent="0.3"/>
    <row r="454" ht="13.5" customHeight="1" x14ac:dyDescent="0.3"/>
    <row r="455" ht="13.5" customHeight="1" x14ac:dyDescent="0.3"/>
    <row r="456" ht="13.5" customHeight="1" x14ac:dyDescent="0.3"/>
    <row r="457" ht="13.5" customHeight="1" x14ac:dyDescent="0.3"/>
    <row r="458" ht="13.5" customHeight="1" x14ac:dyDescent="0.3"/>
    <row r="459" ht="13.5" customHeight="1" x14ac:dyDescent="0.3"/>
    <row r="460" ht="13.5" customHeight="1" x14ac:dyDescent="0.3"/>
    <row r="461" ht="13.5" customHeight="1" x14ac:dyDescent="0.3"/>
    <row r="462" ht="13.5" customHeight="1" x14ac:dyDescent="0.3"/>
    <row r="463" ht="13.5" customHeight="1" x14ac:dyDescent="0.3"/>
    <row r="464" ht="13.5" customHeight="1" x14ac:dyDescent="0.3"/>
    <row r="465" ht="13.5" customHeight="1" x14ac:dyDescent="0.3"/>
    <row r="466" ht="13.5" customHeight="1" x14ac:dyDescent="0.3"/>
    <row r="467" ht="13.5" customHeight="1" x14ac:dyDescent="0.3"/>
    <row r="468" ht="13.5" customHeight="1" x14ac:dyDescent="0.3"/>
    <row r="469" ht="13.5" customHeight="1" x14ac:dyDescent="0.3"/>
    <row r="470" ht="13.5" customHeight="1" x14ac:dyDescent="0.3"/>
    <row r="471" ht="13.5" customHeight="1" x14ac:dyDescent="0.3"/>
    <row r="472" ht="13.5" customHeight="1" x14ac:dyDescent="0.3"/>
    <row r="473" ht="13.5" customHeight="1" x14ac:dyDescent="0.3"/>
    <row r="474" ht="13.5" customHeight="1" x14ac:dyDescent="0.3"/>
    <row r="475" ht="13.5" customHeight="1" x14ac:dyDescent="0.3"/>
    <row r="476" ht="13.5" customHeight="1" x14ac:dyDescent="0.3"/>
    <row r="477" ht="13.5" customHeight="1" x14ac:dyDescent="0.3"/>
    <row r="478" ht="13.5" customHeight="1" x14ac:dyDescent="0.3"/>
    <row r="479" ht="13.5" customHeight="1" x14ac:dyDescent="0.3"/>
    <row r="480" ht="13.5" customHeight="1" x14ac:dyDescent="0.3"/>
    <row r="481" ht="13.5" customHeight="1" x14ac:dyDescent="0.3"/>
    <row r="482" ht="13.5" customHeight="1" x14ac:dyDescent="0.3"/>
    <row r="483" ht="13.5" customHeight="1" x14ac:dyDescent="0.3"/>
    <row r="484" ht="13.5" customHeight="1" x14ac:dyDescent="0.3"/>
    <row r="485" ht="13.5" customHeight="1" x14ac:dyDescent="0.3"/>
    <row r="486" ht="13.5" customHeight="1" x14ac:dyDescent="0.3"/>
    <row r="487" ht="13.5" customHeight="1" x14ac:dyDescent="0.3"/>
    <row r="488" ht="13.5" customHeight="1" x14ac:dyDescent="0.3"/>
    <row r="489" ht="13.5" customHeight="1" x14ac:dyDescent="0.3"/>
    <row r="490" ht="13.5" customHeight="1" x14ac:dyDescent="0.3"/>
    <row r="491" ht="13.5" customHeight="1" x14ac:dyDescent="0.3"/>
    <row r="492" ht="13.5" customHeight="1" x14ac:dyDescent="0.3"/>
    <row r="493" ht="13.5" customHeight="1" x14ac:dyDescent="0.3"/>
    <row r="494" ht="13.5" customHeight="1" x14ac:dyDescent="0.3"/>
    <row r="495" ht="13.5" customHeight="1" x14ac:dyDescent="0.3"/>
    <row r="496" ht="13.5" customHeight="1" x14ac:dyDescent="0.3"/>
    <row r="497" ht="13.5" customHeight="1" x14ac:dyDescent="0.3"/>
    <row r="498" ht="13.5" customHeight="1" x14ac:dyDescent="0.3"/>
    <row r="499" ht="13.5" customHeight="1" x14ac:dyDescent="0.3"/>
    <row r="500" ht="13.5" customHeight="1" x14ac:dyDescent="0.3"/>
    <row r="501" ht="13.5" customHeight="1" x14ac:dyDescent="0.3"/>
    <row r="502" ht="13.5" customHeight="1" x14ac:dyDescent="0.3"/>
    <row r="503" ht="13.5" customHeight="1" x14ac:dyDescent="0.3"/>
    <row r="504" ht="13.5" customHeight="1" x14ac:dyDescent="0.3"/>
    <row r="505" ht="13.5" customHeight="1" x14ac:dyDescent="0.3"/>
    <row r="506" ht="13.5" customHeight="1" x14ac:dyDescent="0.3"/>
    <row r="507" ht="13.5" customHeight="1" x14ac:dyDescent="0.3"/>
    <row r="508" ht="13.5" customHeight="1" x14ac:dyDescent="0.3"/>
    <row r="509" ht="13.5" customHeight="1" x14ac:dyDescent="0.3"/>
    <row r="510" ht="13.5" customHeight="1" x14ac:dyDescent="0.3"/>
    <row r="511" ht="13.5" customHeight="1" x14ac:dyDescent="0.3"/>
    <row r="512" ht="13.5" customHeight="1" x14ac:dyDescent="0.3"/>
    <row r="513" ht="13.5" customHeight="1" x14ac:dyDescent="0.3"/>
    <row r="514" ht="13.5" customHeight="1" x14ac:dyDescent="0.3"/>
    <row r="515" ht="13.5" customHeight="1" x14ac:dyDescent="0.3"/>
    <row r="516" ht="13.5" customHeight="1" x14ac:dyDescent="0.3"/>
    <row r="517" ht="13.5" customHeight="1" x14ac:dyDescent="0.3"/>
    <row r="518" ht="13.5" customHeight="1" x14ac:dyDescent="0.3"/>
    <row r="519" ht="13.5" customHeight="1" x14ac:dyDescent="0.3"/>
    <row r="520" ht="13.5" customHeight="1" x14ac:dyDescent="0.3"/>
    <row r="521" ht="13.5" customHeight="1" x14ac:dyDescent="0.3"/>
    <row r="522" ht="13.5" customHeight="1" x14ac:dyDescent="0.3"/>
    <row r="523" ht="13.5" customHeight="1" x14ac:dyDescent="0.3"/>
    <row r="524" ht="13.5" customHeight="1" x14ac:dyDescent="0.3"/>
    <row r="525" ht="13.5" customHeight="1" x14ac:dyDescent="0.3"/>
    <row r="526" ht="13.5" customHeight="1" x14ac:dyDescent="0.3"/>
    <row r="527" ht="13.5" customHeight="1" x14ac:dyDescent="0.3"/>
    <row r="528" ht="13.5" customHeight="1" x14ac:dyDescent="0.3"/>
    <row r="529" ht="13.5" customHeight="1" x14ac:dyDescent="0.3"/>
    <row r="530" ht="13.5" customHeight="1" x14ac:dyDescent="0.3"/>
    <row r="531" ht="13.5" customHeight="1" x14ac:dyDescent="0.3"/>
    <row r="532" ht="13.5" customHeight="1" x14ac:dyDescent="0.3"/>
    <row r="533" ht="13.5" customHeight="1" x14ac:dyDescent="0.3"/>
    <row r="534" ht="13.5" customHeight="1" x14ac:dyDescent="0.3"/>
    <row r="535" ht="13.5" customHeight="1" x14ac:dyDescent="0.3"/>
    <row r="536" ht="13.5" customHeight="1" x14ac:dyDescent="0.3"/>
    <row r="537" ht="13.5" customHeight="1" x14ac:dyDescent="0.3"/>
    <row r="538" ht="13.5" customHeight="1" x14ac:dyDescent="0.3"/>
    <row r="539" ht="13.5" customHeight="1" x14ac:dyDescent="0.3"/>
    <row r="540" ht="13.5" customHeight="1" x14ac:dyDescent="0.3"/>
    <row r="541" ht="13.5" customHeight="1" x14ac:dyDescent="0.3"/>
    <row r="542" ht="13.5" customHeight="1" x14ac:dyDescent="0.3"/>
    <row r="543" ht="13.5" customHeight="1" x14ac:dyDescent="0.3"/>
    <row r="544" ht="13.5" customHeight="1" x14ac:dyDescent="0.3"/>
    <row r="545" ht="13.5" customHeight="1" x14ac:dyDescent="0.3"/>
    <row r="546" ht="13.5" customHeight="1" x14ac:dyDescent="0.3"/>
    <row r="547" ht="13.5" customHeight="1" x14ac:dyDescent="0.3"/>
    <row r="548" ht="13.5" customHeight="1" x14ac:dyDescent="0.3"/>
    <row r="549" ht="13.5" customHeight="1" x14ac:dyDescent="0.3"/>
    <row r="550" ht="13.5" customHeight="1" x14ac:dyDescent="0.3"/>
    <row r="551" ht="13.5" customHeight="1" x14ac:dyDescent="0.3"/>
    <row r="552" ht="13.5" customHeight="1" x14ac:dyDescent="0.3"/>
    <row r="553" ht="13.5" customHeight="1" x14ac:dyDescent="0.3"/>
    <row r="554" ht="13.5" customHeight="1" x14ac:dyDescent="0.3"/>
    <row r="555" ht="13.5" customHeight="1" x14ac:dyDescent="0.3"/>
    <row r="556" ht="13.5" customHeight="1" x14ac:dyDescent="0.3"/>
    <row r="557" ht="13.5" customHeight="1" x14ac:dyDescent="0.3"/>
    <row r="558" ht="13.5" customHeight="1" x14ac:dyDescent="0.3"/>
    <row r="559" ht="13.5" customHeight="1" x14ac:dyDescent="0.3"/>
    <row r="560" ht="13.5" customHeight="1" x14ac:dyDescent="0.3"/>
    <row r="561" ht="13.5" customHeight="1" x14ac:dyDescent="0.3"/>
    <row r="562" ht="13.5" customHeight="1" x14ac:dyDescent="0.3"/>
    <row r="563" ht="13.5" customHeight="1" x14ac:dyDescent="0.3"/>
    <row r="564" ht="13.5" customHeight="1" x14ac:dyDescent="0.3"/>
    <row r="565" ht="13.5" customHeight="1" x14ac:dyDescent="0.3"/>
    <row r="566" ht="13.5" customHeight="1" x14ac:dyDescent="0.3"/>
    <row r="567" ht="13.5" customHeight="1" x14ac:dyDescent="0.3"/>
    <row r="568" ht="13.5" customHeight="1" x14ac:dyDescent="0.3"/>
    <row r="569" ht="13.5" customHeight="1" x14ac:dyDescent="0.3"/>
    <row r="570" ht="13.5" customHeight="1" x14ac:dyDescent="0.3"/>
    <row r="571" ht="13.5" customHeight="1" x14ac:dyDescent="0.3"/>
    <row r="572" ht="13.5" customHeight="1" x14ac:dyDescent="0.3"/>
    <row r="573" ht="13.5" customHeight="1" x14ac:dyDescent="0.3"/>
    <row r="574" ht="13.5" customHeight="1" x14ac:dyDescent="0.3"/>
    <row r="575" ht="13.5" customHeight="1" x14ac:dyDescent="0.3"/>
    <row r="576" ht="13.5" customHeight="1" x14ac:dyDescent="0.3"/>
    <row r="577" ht="13.5" customHeight="1" x14ac:dyDescent="0.3"/>
    <row r="578" ht="13.5" customHeight="1" x14ac:dyDescent="0.3"/>
    <row r="579" ht="13.5" customHeight="1" x14ac:dyDescent="0.3"/>
    <row r="580" ht="13.5" customHeight="1" x14ac:dyDescent="0.3"/>
    <row r="581" ht="13.5" customHeight="1" x14ac:dyDescent="0.3"/>
    <row r="582" ht="13.5" customHeight="1" x14ac:dyDescent="0.3"/>
    <row r="583" ht="13.5" customHeight="1" x14ac:dyDescent="0.3"/>
    <row r="584" ht="13.5" customHeight="1" x14ac:dyDescent="0.3"/>
    <row r="585" ht="13.5" customHeight="1" x14ac:dyDescent="0.3"/>
    <row r="586" ht="13.5" customHeight="1" x14ac:dyDescent="0.3"/>
    <row r="587" ht="13.5" customHeight="1" x14ac:dyDescent="0.3"/>
    <row r="588" ht="13.5" customHeight="1" x14ac:dyDescent="0.3"/>
    <row r="589" ht="13.5" customHeight="1" x14ac:dyDescent="0.3"/>
    <row r="590" ht="13.5" customHeight="1" x14ac:dyDescent="0.3"/>
    <row r="591" ht="13.5" customHeight="1" x14ac:dyDescent="0.3"/>
    <row r="592" ht="13.5" customHeight="1" x14ac:dyDescent="0.3"/>
    <row r="593" ht="13.5" customHeight="1" x14ac:dyDescent="0.3"/>
    <row r="594" ht="13.5" customHeight="1" x14ac:dyDescent="0.3"/>
    <row r="595" ht="13.5" customHeight="1" x14ac:dyDescent="0.3"/>
    <row r="596" ht="13.5" customHeight="1" x14ac:dyDescent="0.3"/>
    <row r="597" ht="13.5" customHeight="1" x14ac:dyDescent="0.3"/>
    <row r="598" ht="13.5" customHeight="1" x14ac:dyDescent="0.3"/>
    <row r="599" ht="13.5" customHeight="1" x14ac:dyDescent="0.3"/>
    <row r="600" ht="13.5" customHeight="1" x14ac:dyDescent="0.3"/>
    <row r="601" ht="13.5" customHeight="1" x14ac:dyDescent="0.3"/>
    <row r="602" ht="13.5" customHeight="1" x14ac:dyDescent="0.3"/>
    <row r="603" ht="13.5" customHeight="1" x14ac:dyDescent="0.3"/>
    <row r="604" ht="13.5" customHeight="1" x14ac:dyDescent="0.3"/>
    <row r="605" ht="13.5" customHeight="1" x14ac:dyDescent="0.3"/>
    <row r="606" ht="13.5" customHeight="1" x14ac:dyDescent="0.3"/>
    <row r="607" ht="13.5" customHeight="1" x14ac:dyDescent="0.3"/>
    <row r="608" ht="13.5" customHeight="1" x14ac:dyDescent="0.3"/>
    <row r="609" ht="13.5" customHeight="1" x14ac:dyDescent="0.3"/>
    <row r="610" ht="13.5" customHeight="1" x14ac:dyDescent="0.3"/>
    <row r="611" ht="13.5" customHeight="1" x14ac:dyDescent="0.3"/>
    <row r="612" ht="13.5" customHeight="1" x14ac:dyDescent="0.3"/>
    <row r="613" ht="13.5" customHeight="1" x14ac:dyDescent="0.3"/>
    <row r="614" ht="13.5" customHeight="1" x14ac:dyDescent="0.3"/>
    <row r="615" ht="13.5" customHeight="1" x14ac:dyDescent="0.3"/>
    <row r="616" ht="13.5" customHeight="1" x14ac:dyDescent="0.3"/>
    <row r="617" ht="13.5" customHeight="1" x14ac:dyDescent="0.3"/>
    <row r="618" ht="13.5" customHeight="1" x14ac:dyDescent="0.3"/>
    <row r="619" ht="13.5" customHeight="1" x14ac:dyDescent="0.3"/>
    <row r="620" ht="13.5" customHeight="1" x14ac:dyDescent="0.3"/>
    <row r="621" ht="13.5" customHeight="1" x14ac:dyDescent="0.3"/>
    <row r="622" ht="13.5" customHeight="1" x14ac:dyDescent="0.3"/>
    <row r="623" ht="13.5" customHeight="1" x14ac:dyDescent="0.3"/>
    <row r="624" ht="13.5" customHeight="1" x14ac:dyDescent="0.3"/>
    <row r="625" ht="13.5" customHeight="1" x14ac:dyDescent="0.3"/>
    <row r="626" ht="13.5" customHeight="1" x14ac:dyDescent="0.3"/>
    <row r="627" ht="13.5" customHeight="1" x14ac:dyDescent="0.3"/>
    <row r="628" ht="13.5" customHeight="1" x14ac:dyDescent="0.3"/>
    <row r="629" ht="13.5" customHeight="1" x14ac:dyDescent="0.3"/>
    <row r="630" ht="13.5" customHeight="1" x14ac:dyDescent="0.3"/>
    <row r="631" ht="13.5" customHeight="1" x14ac:dyDescent="0.3"/>
    <row r="632" ht="13.5" customHeight="1" x14ac:dyDescent="0.3"/>
    <row r="633" ht="13.5" customHeight="1" x14ac:dyDescent="0.3"/>
    <row r="634" ht="13.5" customHeight="1" x14ac:dyDescent="0.3"/>
    <row r="635" ht="13.5" customHeight="1" x14ac:dyDescent="0.3"/>
    <row r="636" ht="13.5" customHeight="1" x14ac:dyDescent="0.3"/>
    <row r="637" ht="13.5" customHeight="1" x14ac:dyDescent="0.3"/>
    <row r="638" ht="13.5" customHeight="1" x14ac:dyDescent="0.3"/>
    <row r="639" ht="13.5" customHeight="1" x14ac:dyDescent="0.3"/>
    <row r="640" ht="13.5" customHeight="1" x14ac:dyDescent="0.3"/>
    <row r="641" ht="13.5" customHeight="1" x14ac:dyDescent="0.3"/>
    <row r="642" ht="13.5" customHeight="1" x14ac:dyDescent="0.3"/>
    <row r="643" ht="13.5" customHeight="1" x14ac:dyDescent="0.3"/>
    <row r="644" ht="13.5" customHeight="1" x14ac:dyDescent="0.3"/>
    <row r="645" ht="13.5" customHeight="1" x14ac:dyDescent="0.3"/>
    <row r="646" ht="13.5" customHeight="1" x14ac:dyDescent="0.3"/>
    <row r="647" ht="13.5" customHeight="1" x14ac:dyDescent="0.3"/>
    <row r="648" ht="13.5" customHeight="1" x14ac:dyDescent="0.3"/>
    <row r="649" ht="13.5" customHeight="1" x14ac:dyDescent="0.3"/>
    <row r="650" ht="13.5" customHeight="1" x14ac:dyDescent="0.3"/>
    <row r="651" ht="13.5" customHeight="1" x14ac:dyDescent="0.3"/>
    <row r="652" ht="13.5" customHeight="1" x14ac:dyDescent="0.3"/>
    <row r="653" ht="13.5" customHeight="1" x14ac:dyDescent="0.3"/>
    <row r="654" ht="13.5" customHeight="1" x14ac:dyDescent="0.3"/>
    <row r="655" ht="13.5" customHeight="1" x14ac:dyDescent="0.3"/>
    <row r="656" ht="13.5" customHeight="1" x14ac:dyDescent="0.3"/>
    <row r="657" ht="13.5" customHeight="1" x14ac:dyDescent="0.3"/>
    <row r="658" ht="13.5" customHeight="1" x14ac:dyDescent="0.3"/>
    <row r="659" ht="13.5" customHeight="1" x14ac:dyDescent="0.3"/>
    <row r="660" ht="13.5" customHeight="1" x14ac:dyDescent="0.3"/>
    <row r="661" ht="13.5" customHeight="1" x14ac:dyDescent="0.3"/>
    <row r="662" ht="13.5" customHeight="1" x14ac:dyDescent="0.3"/>
    <row r="663" ht="13.5" customHeight="1" x14ac:dyDescent="0.3"/>
    <row r="664" ht="13.5" customHeight="1" x14ac:dyDescent="0.3"/>
    <row r="665" ht="13.5" customHeight="1" x14ac:dyDescent="0.3"/>
    <row r="666" ht="13.5" customHeight="1" x14ac:dyDescent="0.3"/>
    <row r="667" ht="13.5" customHeight="1" x14ac:dyDescent="0.3"/>
    <row r="668" ht="13.5" customHeight="1" x14ac:dyDescent="0.3"/>
    <row r="669" ht="13.5" customHeight="1" x14ac:dyDescent="0.3"/>
    <row r="670" ht="13.5" customHeight="1" x14ac:dyDescent="0.3"/>
    <row r="671" ht="13.5" customHeight="1" x14ac:dyDescent="0.3"/>
    <row r="672" ht="13.5" customHeight="1" x14ac:dyDescent="0.3"/>
    <row r="673" ht="13.5" customHeight="1" x14ac:dyDescent="0.3"/>
    <row r="674" ht="13.5" customHeight="1" x14ac:dyDescent="0.3"/>
    <row r="675" ht="13.5" customHeight="1" x14ac:dyDescent="0.3"/>
    <row r="676" ht="13.5" customHeight="1" x14ac:dyDescent="0.3"/>
    <row r="677" ht="13.5" customHeight="1" x14ac:dyDescent="0.3"/>
    <row r="678" ht="13.5" customHeight="1" x14ac:dyDescent="0.3"/>
    <row r="679" ht="13.5" customHeight="1" x14ac:dyDescent="0.3"/>
    <row r="680" ht="13.5" customHeight="1" x14ac:dyDescent="0.3"/>
    <row r="681" ht="13.5" customHeight="1" x14ac:dyDescent="0.3"/>
    <row r="682" ht="13.5" customHeight="1" x14ac:dyDescent="0.3"/>
    <row r="683" ht="13.5" customHeight="1" x14ac:dyDescent="0.3"/>
    <row r="684" ht="13.5" customHeight="1" x14ac:dyDescent="0.3"/>
    <row r="685" ht="13.5" customHeight="1" x14ac:dyDescent="0.3"/>
    <row r="686" ht="13.5" customHeight="1" x14ac:dyDescent="0.3"/>
    <row r="687" ht="13.5" customHeight="1" x14ac:dyDescent="0.3"/>
    <row r="688" ht="13.5" customHeight="1" x14ac:dyDescent="0.3"/>
    <row r="689" ht="13.5" customHeight="1" x14ac:dyDescent="0.3"/>
    <row r="690" ht="13.5" customHeight="1" x14ac:dyDescent="0.3"/>
    <row r="691" ht="13.5" customHeight="1" x14ac:dyDescent="0.3"/>
    <row r="692" ht="13.5" customHeight="1" x14ac:dyDescent="0.3"/>
    <row r="693" ht="13.5" customHeight="1" x14ac:dyDescent="0.3"/>
    <row r="694" ht="13.5" customHeight="1" x14ac:dyDescent="0.3"/>
    <row r="695" ht="13.5" customHeight="1" x14ac:dyDescent="0.3"/>
    <row r="696" ht="13.5" customHeight="1" x14ac:dyDescent="0.3"/>
    <row r="697" ht="13.5" customHeight="1" x14ac:dyDescent="0.3"/>
    <row r="698" ht="13.5" customHeight="1" x14ac:dyDescent="0.3"/>
    <row r="699" ht="13.5" customHeight="1" x14ac:dyDescent="0.3"/>
    <row r="700" ht="13.5" customHeight="1" x14ac:dyDescent="0.3"/>
    <row r="701" ht="13.5" customHeight="1" x14ac:dyDescent="0.3"/>
    <row r="702" ht="13.5" customHeight="1" x14ac:dyDescent="0.3"/>
    <row r="703" ht="13.5" customHeight="1" x14ac:dyDescent="0.3"/>
    <row r="704" ht="13.5" customHeight="1" x14ac:dyDescent="0.3"/>
    <row r="705" ht="13.5" customHeight="1" x14ac:dyDescent="0.3"/>
    <row r="706" ht="13.5" customHeight="1" x14ac:dyDescent="0.3"/>
    <row r="707" ht="13.5" customHeight="1" x14ac:dyDescent="0.3"/>
    <row r="708" ht="13.5" customHeight="1" x14ac:dyDescent="0.3"/>
    <row r="709" ht="13.5" customHeight="1" x14ac:dyDescent="0.3"/>
    <row r="710" ht="13.5" customHeight="1" x14ac:dyDescent="0.3"/>
    <row r="711" ht="13.5" customHeight="1" x14ac:dyDescent="0.3"/>
    <row r="712" ht="13.5" customHeight="1" x14ac:dyDescent="0.3"/>
    <row r="713" ht="13.5" customHeight="1" x14ac:dyDescent="0.3"/>
    <row r="714" ht="13.5" customHeight="1" x14ac:dyDescent="0.3"/>
    <row r="715" ht="13.5" customHeight="1" x14ac:dyDescent="0.3"/>
    <row r="716" ht="13.5" customHeight="1" x14ac:dyDescent="0.3"/>
    <row r="717" ht="13.5" customHeight="1" x14ac:dyDescent="0.3"/>
    <row r="718" ht="13.5" customHeight="1" x14ac:dyDescent="0.3"/>
    <row r="719" ht="13.5" customHeight="1" x14ac:dyDescent="0.3"/>
    <row r="720" ht="13.5" customHeight="1" x14ac:dyDescent="0.3"/>
    <row r="721" ht="13.5" customHeight="1" x14ac:dyDescent="0.3"/>
    <row r="722" ht="13.5" customHeight="1" x14ac:dyDescent="0.3"/>
    <row r="723" ht="13.5" customHeight="1" x14ac:dyDescent="0.3"/>
    <row r="724" ht="13.5" customHeight="1" x14ac:dyDescent="0.3"/>
    <row r="725" ht="13.5" customHeight="1" x14ac:dyDescent="0.3"/>
    <row r="726" ht="13.5" customHeight="1" x14ac:dyDescent="0.3"/>
    <row r="727" ht="13.5" customHeight="1" x14ac:dyDescent="0.3"/>
    <row r="728" ht="13.5" customHeight="1" x14ac:dyDescent="0.3"/>
    <row r="729" ht="13.5" customHeight="1" x14ac:dyDescent="0.3"/>
    <row r="730" ht="13.5" customHeight="1" x14ac:dyDescent="0.3"/>
    <row r="731" ht="13.5" customHeight="1" x14ac:dyDescent="0.3"/>
    <row r="732" ht="13.5" customHeight="1" x14ac:dyDescent="0.3"/>
    <row r="733" ht="13.5" customHeight="1" x14ac:dyDescent="0.3"/>
    <row r="734" ht="13.5" customHeight="1" x14ac:dyDescent="0.3"/>
    <row r="735" ht="13.5" customHeight="1" x14ac:dyDescent="0.3"/>
    <row r="736" ht="13.5" customHeight="1" x14ac:dyDescent="0.3"/>
    <row r="737" ht="13.5" customHeight="1" x14ac:dyDescent="0.3"/>
    <row r="738" ht="13.5" customHeight="1" x14ac:dyDescent="0.3"/>
    <row r="739" ht="13.5" customHeight="1" x14ac:dyDescent="0.3"/>
    <row r="740" ht="13.5" customHeight="1" x14ac:dyDescent="0.3"/>
    <row r="741" ht="13.5" customHeight="1" x14ac:dyDescent="0.3"/>
    <row r="742" ht="13.5" customHeight="1" x14ac:dyDescent="0.3"/>
    <row r="743" ht="13.5" customHeight="1" x14ac:dyDescent="0.3"/>
    <row r="744" ht="13.5" customHeight="1" x14ac:dyDescent="0.3"/>
    <row r="745" ht="13.5" customHeight="1" x14ac:dyDescent="0.3"/>
    <row r="746" ht="13.5" customHeight="1" x14ac:dyDescent="0.3"/>
    <row r="747" ht="13.5" customHeight="1" x14ac:dyDescent="0.3"/>
    <row r="748" ht="13.5" customHeight="1" x14ac:dyDescent="0.3"/>
    <row r="749" ht="13.5" customHeight="1" x14ac:dyDescent="0.3"/>
    <row r="750" ht="13.5" customHeight="1" x14ac:dyDescent="0.3"/>
    <row r="751" ht="13.5" customHeight="1" x14ac:dyDescent="0.3"/>
    <row r="752" ht="13.5" customHeight="1" x14ac:dyDescent="0.3"/>
    <row r="753" ht="13.5" customHeight="1" x14ac:dyDescent="0.3"/>
    <row r="754" ht="13.5" customHeight="1" x14ac:dyDescent="0.3"/>
    <row r="755" ht="13.5" customHeight="1" x14ac:dyDescent="0.3"/>
    <row r="756" ht="13.5" customHeight="1" x14ac:dyDescent="0.3"/>
    <row r="757" ht="13.5" customHeight="1" x14ac:dyDescent="0.3"/>
    <row r="758" ht="13.5" customHeight="1" x14ac:dyDescent="0.3"/>
    <row r="759" ht="13.5" customHeight="1" x14ac:dyDescent="0.3"/>
    <row r="760" ht="13.5" customHeight="1" x14ac:dyDescent="0.3"/>
    <row r="761" ht="13.5" customHeight="1" x14ac:dyDescent="0.3"/>
    <row r="762" ht="13.5" customHeight="1" x14ac:dyDescent="0.3"/>
    <row r="763" ht="13.5" customHeight="1" x14ac:dyDescent="0.3"/>
    <row r="764" ht="13.5" customHeight="1" x14ac:dyDescent="0.3"/>
    <row r="765" ht="13.5" customHeight="1" x14ac:dyDescent="0.3"/>
    <row r="766" ht="13.5" customHeight="1" x14ac:dyDescent="0.3"/>
    <row r="767" ht="13.5" customHeight="1" x14ac:dyDescent="0.3"/>
    <row r="768" ht="13.5" customHeight="1" x14ac:dyDescent="0.3"/>
    <row r="769" ht="13.5" customHeight="1" x14ac:dyDescent="0.3"/>
    <row r="770" ht="13.5" customHeight="1" x14ac:dyDescent="0.3"/>
    <row r="771" ht="13.5" customHeight="1" x14ac:dyDescent="0.3"/>
    <row r="772" ht="13.5" customHeight="1" x14ac:dyDescent="0.3"/>
    <row r="773" ht="13.5" customHeight="1" x14ac:dyDescent="0.3"/>
    <row r="774" ht="13.5" customHeight="1" x14ac:dyDescent="0.3"/>
    <row r="775" ht="13.5" customHeight="1" x14ac:dyDescent="0.3"/>
    <row r="776" ht="13.5" customHeight="1" x14ac:dyDescent="0.3"/>
    <row r="777" ht="13.5" customHeight="1" x14ac:dyDescent="0.3"/>
    <row r="778" ht="13.5" customHeight="1" x14ac:dyDescent="0.3"/>
    <row r="779" ht="13.5" customHeight="1" x14ac:dyDescent="0.3"/>
    <row r="780" ht="13.5" customHeight="1" x14ac:dyDescent="0.3"/>
    <row r="781" ht="13.5" customHeight="1" x14ac:dyDescent="0.3"/>
    <row r="782" ht="13.5" customHeight="1" x14ac:dyDescent="0.3"/>
    <row r="783" ht="13.5" customHeight="1" x14ac:dyDescent="0.3"/>
    <row r="784" ht="13.5" customHeight="1" x14ac:dyDescent="0.3"/>
    <row r="785" ht="13.5" customHeight="1" x14ac:dyDescent="0.3"/>
    <row r="786" ht="13.5" customHeight="1" x14ac:dyDescent="0.3"/>
    <row r="787" ht="13.5" customHeight="1" x14ac:dyDescent="0.3"/>
    <row r="788" ht="13.5" customHeight="1" x14ac:dyDescent="0.3"/>
    <row r="789" ht="13.5" customHeight="1" x14ac:dyDescent="0.3"/>
    <row r="790" ht="13.5" customHeight="1" x14ac:dyDescent="0.3"/>
    <row r="791" ht="13.5" customHeight="1" x14ac:dyDescent="0.3"/>
    <row r="792" ht="13.5" customHeight="1" x14ac:dyDescent="0.3"/>
    <row r="793" ht="13.5" customHeight="1" x14ac:dyDescent="0.3"/>
    <row r="794" ht="13.5" customHeight="1" x14ac:dyDescent="0.3"/>
    <row r="795" ht="13.5" customHeight="1" x14ac:dyDescent="0.3"/>
    <row r="796" ht="13.5" customHeight="1" x14ac:dyDescent="0.3"/>
    <row r="797" ht="13.5" customHeight="1" x14ac:dyDescent="0.3"/>
    <row r="798" ht="13.5" customHeight="1" x14ac:dyDescent="0.3"/>
    <row r="799" ht="13.5" customHeight="1" x14ac:dyDescent="0.3"/>
    <row r="800" ht="13.5" customHeight="1" x14ac:dyDescent="0.3"/>
    <row r="801" ht="13.5" customHeight="1" x14ac:dyDescent="0.3"/>
    <row r="802" ht="13.5" customHeight="1" x14ac:dyDescent="0.3"/>
    <row r="803" ht="13.5" customHeight="1" x14ac:dyDescent="0.3"/>
    <row r="804" ht="13.5" customHeight="1" x14ac:dyDescent="0.3"/>
    <row r="805" ht="13.5" customHeight="1" x14ac:dyDescent="0.3"/>
    <row r="806" ht="13.5" customHeight="1" x14ac:dyDescent="0.3"/>
    <row r="807" ht="13.5" customHeight="1" x14ac:dyDescent="0.3"/>
    <row r="808" ht="13.5" customHeight="1" x14ac:dyDescent="0.3"/>
    <row r="809" ht="13.5" customHeight="1" x14ac:dyDescent="0.3"/>
    <row r="810" ht="13.5" customHeight="1" x14ac:dyDescent="0.3"/>
    <row r="811" ht="13.5" customHeight="1" x14ac:dyDescent="0.3"/>
    <row r="812" ht="13.5" customHeight="1" x14ac:dyDescent="0.3"/>
    <row r="813" ht="13.5" customHeight="1" x14ac:dyDescent="0.3"/>
    <row r="814" ht="13.5" customHeight="1" x14ac:dyDescent="0.3"/>
    <row r="815" ht="13.5" customHeight="1" x14ac:dyDescent="0.3"/>
    <row r="816" ht="13.5" customHeight="1" x14ac:dyDescent="0.3"/>
    <row r="817" ht="13.5" customHeight="1" x14ac:dyDescent="0.3"/>
    <row r="818" ht="13.5" customHeight="1" x14ac:dyDescent="0.3"/>
    <row r="819" ht="13.5" customHeight="1" x14ac:dyDescent="0.3"/>
    <row r="820" ht="13.5" customHeight="1" x14ac:dyDescent="0.3"/>
    <row r="821" ht="13.5" customHeight="1" x14ac:dyDescent="0.3"/>
    <row r="822" ht="13.5" customHeight="1" x14ac:dyDescent="0.3"/>
    <row r="823" ht="13.5" customHeight="1" x14ac:dyDescent="0.3"/>
    <row r="824" ht="13.5" customHeight="1" x14ac:dyDescent="0.3"/>
    <row r="825" ht="13.5" customHeight="1" x14ac:dyDescent="0.3"/>
    <row r="826" ht="13.5" customHeight="1" x14ac:dyDescent="0.3"/>
    <row r="827" ht="13.5" customHeight="1" x14ac:dyDescent="0.3"/>
    <row r="828" ht="13.5" customHeight="1" x14ac:dyDescent="0.3"/>
    <row r="829" ht="13.5" customHeight="1" x14ac:dyDescent="0.3"/>
    <row r="830" ht="13.5" customHeight="1" x14ac:dyDescent="0.3"/>
    <row r="831" ht="13.5" customHeight="1" x14ac:dyDescent="0.3"/>
    <row r="832" ht="13.5" customHeight="1" x14ac:dyDescent="0.3"/>
    <row r="833" ht="13.5" customHeight="1" x14ac:dyDescent="0.3"/>
    <row r="834" ht="13.5" customHeight="1" x14ac:dyDescent="0.3"/>
    <row r="835" ht="13.5" customHeight="1" x14ac:dyDescent="0.3"/>
    <row r="836" ht="13.5" customHeight="1" x14ac:dyDescent="0.3"/>
    <row r="837" ht="13.5" customHeight="1" x14ac:dyDescent="0.3"/>
    <row r="838" ht="13.5" customHeight="1" x14ac:dyDescent="0.3"/>
    <row r="839" ht="13.5" customHeight="1" x14ac:dyDescent="0.3"/>
    <row r="840" ht="13.5" customHeight="1" x14ac:dyDescent="0.3"/>
    <row r="841" ht="13.5" customHeight="1" x14ac:dyDescent="0.3"/>
    <row r="842" ht="13.5" customHeight="1" x14ac:dyDescent="0.3"/>
    <row r="843" ht="13.5" customHeight="1" x14ac:dyDescent="0.3"/>
    <row r="844" ht="13.5" customHeight="1" x14ac:dyDescent="0.3"/>
    <row r="845" ht="13.5" customHeight="1" x14ac:dyDescent="0.3"/>
    <row r="846" ht="13.5" customHeight="1" x14ac:dyDescent="0.3"/>
    <row r="847" ht="13.5" customHeight="1" x14ac:dyDescent="0.3"/>
    <row r="848" ht="13.5" customHeight="1" x14ac:dyDescent="0.3"/>
    <row r="849" ht="13.5" customHeight="1" x14ac:dyDescent="0.3"/>
    <row r="850" ht="13.5" customHeight="1" x14ac:dyDescent="0.3"/>
    <row r="851" ht="13.5" customHeight="1" x14ac:dyDescent="0.3"/>
    <row r="852" ht="13.5" customHeight="1" x14ac:dyDescent="0.3"/>
    <row r="853" ht="13.5" customHeight="1" x14ac:dyDescent="0.3"/>
    <row r="854" ht="13.5" customHeight="1" x14ac:dyDescent="0.3"/>
    <row r="855" ht="13.5" customHeight="1" x14ac:dyDescent="0.3"/>
    <row r="856" ht="13.5" customHeight="1" x14ac:dyDescent="0.3"/>
    <row r="857" ht="13.5" customHeight="1" x14ac:dyDescent="0.3"/>
    <row r="858" ht="13.5" customHeight="1" x14ac:dyDescent="0.3"/>
    <row r="859" ht="13.5" customHeight="1" x14ac:dyDescent="0.3"/>
    <row r="860" ht="13.5" customHeight="1" x14ac:dyDescent="0.3"/>
    <row r="861" ht="13.5" customHeight="1" x14ac:dyDescent="0.3"/>
    <row r="862" ht="13.5" customHeight="1" x14ac:dyDescent="0.3"/>
    <row r="863" ht="13.5" customHeight="1" x14ac:dyDescent="0.3"/>
    <row r="864" ht="13.5" customHeight="1" x14ac:dyDescent="0.3"/>
    <row r="865" ht="13.5" customHeight="1" x14ac:dyDescent="0.3"/>
    <row r="866" ht="13.5" customHeight="1" x14ac:dyDescent="0.3"/>
    <row r="867" ht="13.5" customHeight="1" x14ac:dyDescent="0.3"/>
    <row r="868" ht="13.5" customHeight="1" x14ac:dyDescent="0.3"/>
    <row r="869" ht="13.5" customHeight="1" x14ac:dyDescent="0.3"/>
    <row r="870" ht="13.5" customHeight="1" x14ac:dyDescent="0.3"/>
    <row r="871" ht="13.5" customHeight="1" x14ac:dyDescent="0.3"/>
    <row r="872" ht="13.5" customHeight="1" x14ac:dyDescent="0.3"/>
    <row r="873" ht="13.5" customHeight="1" x14ac:dyDescent="0.3"/>
    <row r="874" ht="13.5" customHeight="1" x14ac:dyDescent="0.3"/>
    <row r="875" ht="13.5" customHeight="1" x14ac:dyDescent="0.3"/>
    <row r="876" ht="13.5" customHeight="1" x14ac:dyDescent="0.3"/>
    <row r="877" ht="13.5" customHeight="1" x14ac:dyDescent="0.3"/>
    <row r="878" ht="13.5" customHeight="1" x14ac:dyDescent="0.3"/>
    <row r="879" ht="13.5" customHeight="1" x14ac:dyDescent="0.3"/>
    <row r="880" ht="13.5" customHeight="1" x14ac:dyDescent="0.3"/>
    <row r="881" ht="13.5" customHeight="1" x14ac:dyDescent="0.3"/>
    <row r="882" ht="13.5" customHeight="1" x14ac:dyDescent="0.3"/>
    <row r="883" ht="13.5" customHeight="1" x14ac:dyDescent="0.3"/>
    <row r="884" ht="13.5" customHeight="1" x14ac:dyDescent="0.3"/>
    <row r="885" ht="13.5" customHeight="1" x14ac:dyDescent="0.3"/>
    <row r="886" ht="13.5" customHeight="1" x14ac:dyDescent="0.3"/>
    <row r="887" ht="13.5" customHeight="1" x14ac:dyDescent="0.3"/>
    <row r="888" ht="13.5" customHeight="1" x14ac:dyDescent="0.3"/>
    <row r="889" ht="13.5" customHeight="1" x14ac:dyDescent="0.3"/>
    <row r="890" ht="13.5" customHeight="1" x14ac:dyDescent="0.3"/>
    <row r="891" ht="13.5" customHeight="1" x14ac:dyDescent="0.3"/>
    <row r="892" ht="13.5" customHeight="1" x14ac:dyDescent="0.3"/>
    <row r="893" ht="13.5" customHeight="1" x14ac:dyDescent="0.3"/>
    <row r="894" ht="13.5" customHeight="1" x14ac:dyDescent="0.3"/>
    <row r="895" ht="13.5" customHeight="1" x14ac:dyDescent="0.3"/>
    <row r="896" ht="13.5" customHeight="1" x14ac:dyDescent="0.3"/>
    <row r="897" ht="13.5" customHeight="1" x14ac:dyDescent="0.3"/>
    <row r="898" ht="13.5" customHeight="1" x14ac:dyDescent="0.3"/>
    <row r="899" ht="13.5" customHeight="1" x14ac:dyDescent="0.3"/>
    <row r="900" ht="13.5" customHeight="1" x14ac:dyDescent="0.3"/>
    <row r="901" ht="13.5" customHeight="1" x14ac:dyDescent="0.3"/>
    <row r="902" ht="13.5" customHeight="1" x14ac:dyDescent="0.3"/>
    <row r="903" ht="13.5" customHeight="1" x14ac:dyDescent="0.3"/>
    <row r="904" ht="13.5" customHeight="1" x14ac:dyDescent="0.3"/>
    <row r="905" ht="13.5" customHeight="1" x14ac:dyDescent="0.3"/>
    <row r="906" ht="13.5" customHeight="1" x14ac:dyDescent="0.3"/>
    <row r="907" ht="13.5" customHeight="1" x14ac:dyDescent="0.3"/>
    <row r="908" ht="13.5" customHeight="1" x14ac:dyDescent="0.3"/>
    <row r="909" ht="13.5" customHeight="1" x14ac:dyDescent="0.3"/>
    <row r="910" ht="13.5" customHeight="1" x14ac:dyDescent="0.3"/>
    <row r="911" ht="13.5" customHeight="1" x14ac:dyDescent="0.3"/>
    <row r="912" ht="13.5" customHeight="1" x14ac:dyDescent="0.3"/>
    <row r="913" ht="13.5" customHeight="1" x14ac:dyDescent="0.3"/>
    <row r="914" ht="13.5" customHeight="1" x14ac:dyDescent="0.3"/>
    <row r="915" ht="13.5" customHeight="1" x14ac:dyDescent="0.3"/>
    <row r="916" ht="13.5" customHeight="1" x14ac:dyDescent="0.3"/>
    <row r="917" ht="13.5" customHeight="1" x14ac:dyDescent="0.3"/>
    <row r="918" ht="13.5" customHeight="1" x14ac:dyDescent="0.3"/>
    <row r="919" ht="13.5" customHeight="1" x14ac:dyDescent="0.3"/>
    <row r="920" ht="13.5" customHeight="1" x14ac:dyDescent="0.3"/>
    <row r="921" ht="13.5" customHeight="1" x14ac:dyDescent="0.3"/>
    <row r="922" ht="13.5" customHeight="1" x14ac:dyDescent="0.3"/>
    <row r="923" ht="13.5" customHeight="1" x14ac:dyDescent="0.3"/>
    <row r="924" ht="13.5" customHeight="1" x14ac:dyDescent="0.3"/>
    <row r="925" ht="13.5" customHeight="1" x14ac:dyDescent="0.3"/>
    <row r="926" ht="13.5" customHeight="1" x14ac:dyDescent="0.3"/>
    <row r="927" ht="13.5" customHeight="1" x14ac:dyDescent="0.3"/>
    <row r="928" ht="13.5" customHeight="1" x14ac:dyDescent="0.3"/>
    <row r="929" ht="13.5" customHeight="1" x14ac:dyDescent="0.3"/>
    <row r="930" ht="13.5" customHeight="1" x14ac:dyDescent="0.3"/>
    <row r="931" ht="13.5" customHeight="1" x14ac:dyDescent="0.3"/>
    <row r="932" ht="13.5" customHeight="1" x14ac:dyDescent="0.3"/>
    <row r="933" ht="13.5" customHeight="1" x14ac:dyDescent="0.3"/>
    <row r="934" ht="13.5" customHeight="1" x14ac:dyDescent="0.3"/>
    <row r="935" ht="13.5" customHeight="1" x14ac:dyDescent="0.3"/>
    <row r="936" ht="13.5" customHeight="1" x14ac:dyDescent="0.3"/>
    <row r="937" ht="13.5" customHeight="1" x14ac:dyDescent="0.3"/>
    <row r="938" ht="13.5" customHeight="1" x14ac:dyDescent="0.3"/>
    <row r="939" ht="13.5" customHeight="1" x14ac:dyDescent="0.3"/>
    <row r="940" ht="13.5" customHeight="1" x14ac:dyDescent="0.3"/>
    <row r="941" ht="13.5" customHeight="1" x14ac:dyDescent="0.3"/>
    <row r="942" ht="13.5" customHeight="1" x14ac:dyDescent="0.3"/>
    <row r="943" ht="13.5" customHeight="1" x14ac:dyDescent="0.3"/>
    <row r="944" ht="13.5" customHeight="1" x14ac:dyDescent="0.3"/>
    <row r="945" ht="13.5" customHeight="1" x14ac:dyDescent="0.3"/>
    <row r="946" ht="13.5" customHeight="1" x14ac:dyDescent="0.3"/>
    <row r="947" ht="13.5" customHeight="1" x14ac:dyDescent="0.3"/>
    <row r="948" ht="13.5" customHeight="1" x14ac:dyDescent="0.3"/>
    <row r="949" ht="13.5" customHeight="1" x14ac:dyDescent="0.3"/>
    <row r="950" ht="13.5" customHeight="1" x14ac:dyDescent="0.3"/>
    <row r="951" ht="13.5" customHeight="1" x14ac:dyDescent="0.3"/>
    <row r="952" ht="13.5" customHeight="1" x14ac:dyDescent="0.3"/>
    <row r="953" ht="13.5" customHeight="1" x14ac:dyDescent="0.3"/>
    <row r="954" ht="13.5" customHeight="1" x14ac:dyDescent="0.3"/>
    <row r="955" ht="13.5" customHeight="1" x14ac:dyDescent="0.3"/>
    <row r="956" ht="13.5" customHeight="1" x14ac:dyDescent="0.3"/>
    <row r="957" ht="13.5" customHeight="1" x14ac:dyDescent="0.3"/>
    <row r="958" ht="13.5" customHeight="1" x14ac:dyDescent="0.3"/>
    <row r="959" ht="13.5" customHeight="1" x14ac:dyDescent="0.3"/>
    <row r="960" ht="13.5" customHeight="1" x14ac:dyDescent="0.3"/>
    <row r="961" ht="13.5" customHeight="1" x14ac:dyDescent="0.3"/>
    <row r="962" ht="13.5" customHeight="1" x14ac:dyDescent="0.3"/>
    <row r="963" ht="13.5" customHeight="1" x14ac:dyDescent="0.3"/>
    <row r="964" ht="13.5" customHeight="1" x14ac:dyDescent="0.3"/>
    <row r="965" ht="13.5" customHeight="1" x14ac:dyDescent="0.3"/>
    <row r="966" ht="13.5" customHeight="1" x14ac:dyDescent="0.3"/>
    <row r="967" ht="13.5" customHeight="1" x14ac:dyDescent="0.3"/>
    <row r="968" ht="13.5" customHeight="1" x14ac:dyDescent="0.3"/>
    <row r="969" ht="13.5" customHeight="1" x14ac:dyDescent="0.3"/>
    <row r="970" ht="13.5" customHeight="1" x14ac:dyDescent="0.3"/>
    <row r="971" ht="13.5" customHeight="1" x14ac:dyDescent="0.3"/>
    <row r="972" ht="13.5" customHeight="1" x14ac:dyDescent="0.3"/>
    <row r="973" ht="13.5" customHeight="1" x14ac:dyDescent="0.3"/>
    <row r="974" ht="13.5" customHeight="1" x14ac:dyDescent="0.3"/>
    <row r="975" ht="13.5" customHeight="1" x14ac:dyDescent="0.3"/>
    <row r="976" ht="13.5" customHeight="1" x14ac:dyDescent="0.3"/>
    <row r="977" ht="13.5" customHeight="1" x14ac:dyDescent="0.3"/>
    <row r="978" ht="13.5" customHeight="1" x14ac:dyDescent="0.3"/>
    <row r="979" ht="13.5" customHeight="1" x14ac:dyDescent="0.3"/>
    <row r="980" ht="13.5" customHeight="1" x14ac:dyDescent="0.3"/>
    <row r="981" ht="13.5" customHeight="1" x14ac:dyDescent="0.3"/>
    <row r="982" ht="13.5" customHeight="1" x14ac:dyDescent="0.3"/>
    <row r="983" ht="13.5" customHeight="1" x14ac:dyDescent="0.3"/>
    <row r="984" ht="13.5" customHeight="1" x14ac:dyDescent="0.3"/>
    <row r="985" ht="13.5" customHeight="1" x14ac:dyDescent="0.3"/>
    <row r="986" ht="13.5" customHeight="1" x14ac:dyDescent="0.3"/>
    <row r="987" ht="13.5" customHeight="1" x14ac:dyDescent="0.3"/>
    <row r="988" ht="13.5" customHeight="1" x14ac:dyDescent="0.3"/>
    <row r="989" ht="13.5" customHeight="1" x14ac:dyDescent="0.3"/>
    <row r="990" ht="13.5" customHeight="1" x14ac:dyDescent="0.3"/>
    <row r="991" ht="13.5" customHeight="1" x14ac:dyDescent="0.3"/>
    <row r="992" ht="13.5" customHeight="1" x14ac:dyDescent="0.3"/>
    <row r="993" ht="13.5" customHeight="1" x14ac:dyDescent="0.3"/>
    <row r="994" ht="13.5" customHeight="1" x14ac:dyDescent="0.3"/>
    <row r="995" ht="13.5" customHeight="1" x14ac:dyDescent="0.3"/>
    <row r="996" ht="13.5" customHeight="1" x14ac:dyDescent="0.3"/>
    <row r="997" ht="13.5" customHeight="1" x14ac:dyDescent="0.3"/>
    <row r="998" ht="13.5" customHeight="1" x14ac:dyDescent="0.3"/>
    <row r="999" ht="13.5" customHeight="1" x14ac:dyDescent="0.3"/>
    <row r="1000" ht="13.5" customHeight="1" x14ac:dyDescent="0.3"/>
  </sheetData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D999"/>
  <sheetViews>
    <sheetView tabSelected="1" topLeftCell="A10" zoomScale="115" zoomScaleNormal="115" workbookViewId="0">
      <selection activeCell="G22" sqref="G22"/>
    </sheetView>
  </sheetViews>
  <sheetFormatPr defaultColWidth="14.44140625" defaultRowHeight="15" customHeight="1" x14ac:dyDescent="0.3"/>
  <cols>
    <col min="1" max="1" width="32.33203125" customWidth="1"/>
    <col min="2" max="2" width="19.44140625" customWidth="1"/>
    <col min="3" max="3" width="17.5546875" customWidth="1"/>
    <col min="4" max="4" width="17.33203125" customWidth="1"/>
    <col min="5" max="5" width="16.33203125" customWidth="1"/>
    <col min="6" max="8" width="16.6640625" customWidth="1"/>
    <col min="9" max="9" width="18.88671875" customWidth="1"/>
    <col min="10" max="31" width="16.6640625" customWidth="1"/>
    <col min="32" max="32" width="19.6640625" customWidth="1"/>
    <col min="33" max="34" width="15.5546875" customWidth="1"/>
    <col min="35" max="36" width="16" customWidth="1"/>
    <col min="37" max="56" width="15.5546875" customWidth="1"/>
  </cols>
  <sheetData>
    <row r="1" spans="1:56" ht="13.5" customHeight="1" x14ac:dyDescent="0.3">
      <c r="A1" s="36" t="s">
        <v>39</v>
      </c>
      <c r="N1" s="37"/>
      <c r="O1" s="37"/>
      <c r="P1" s="37"/>
    </row>
    <row r="2" spans="1:56" ht="13.5" customHeight="1" x14ac:dyDescent="0.3">
      <c r="A2" s="38" t="s">
        <v>40</v>
      </c>
      <c r="B2" s="39">
        <v>3159721.59</v>
      </c>
      <c r="C2" s="38" t="s">
        <v>41</v>
      </c>
      <c r="D2" s="40"/>
      <c r="E2" s="40"/>
      <c r="N2" s="37"/>
      <c r="O2" s="37"/>
      <c r="P2" s="37"/>
    </row>
    <row r="3" spans="1:56" ht="13.5" customHeight="1" x14ac:dyDescent="0.3">
      <c r="A3" s="38" t="s">
        <v>42</v>
      </c>
      <c r="B3" s="39">
        <v>696176.14</v>
      </c>
      <c r="C3" s="37">
        <f t="shared" ref="C3:C6" si="0">B3/$B$2</f>
        <v>0.22032831696415381</v>
      </c>
      <c r="D3" s="41"/>
      <c r="E3" s="42"/>
      <c r="N3" s="37"/>
      <c r="O3" s="37"/>
      <c r="P3" s="37"/>
    </row>
    <row r="4" spans="1:56" ht="13.5" customHeight="1" x14ac:dyDescent="0.3">
      <c r="A4" s="38" t="s">
        <v>43</v>
      </c>
      <c r="B4" s="39">
        <v>0</v>
      </c>
      <c r="C4" s="37">
        <f t="shared" si="0"/>
        <v>0</v>
      </c>
      <c r="D4" s="41"/>
      <c r="E4" s="42"/>
      <c r="N4" s="37"/>
      <c r="O4" s="37"/>
      <c r="P4" s="37"/>
    </row>
    <row r="5" spans="1:56" ht="13.5" customHeight="1" x14ac:dyDescent="0.3">
      <c r="A5" s="38" t="s">
        <v>44</v>
      </c>
      <c r="B5" s="39">
        <v>2130000</v>
      </c>
      <c r="C5" s="37">
        <f t="shared" si="0"/>
        <v>0.67411002499115757</v>
      </c>
      <c r="D5" s="41"/>
      <c r="E5" s="42"/>
      <c r="N5" s="37"/>
      <c r="O5" s="37"/>
      <c r="P5" s="37"/>
    </row>
    <row r="6" spans="1:56" ht="13.5" customHeight="1" x14ac:dyDescent="0.3">
      <c r="A6" s="38" t="s">
        <v>45</v>
      </c>
      <c r="B6" s="39">
        <f>B2-B3-B4-B5</f>
        <v>333545.44999999972</v>
      </c>
      <c r="C6" s="37">
        <f t="shared" si="0"/>
        <v>0.10556165804468859</v>
      </c>
      <c r="D6" s="41"/>
      <c r="E6" s="42"/>
      <c r="N6" s="37"/>
      <c r="O6" s="37"/>
      <c r="P6" s="37"/>
    </row>
    <row r="7" spans="1:56" ht="13.5" customHeight="1" x14ac:dyDescent="0.3">
      <c r="D7" s="41"/>
      <c r="E7" s="42"/>
      <c r="N7" s="37"/>
      <c r="O7" s="37"/>
      <c r="P7" s="37"/>
    </row>
    <row r="8" spans="1:56" ht="13.5" customHeight="1" x14ac:dyDescent="0.3">
      <c r="A8" s="38" t="s">
        <v>46</v>
      </c>
      <c r="B8" s="140">
        <v>15000</v>
      </c>
      <c r="C8" s="38" t="s">
        <v>41</v>
      </c>
      <c r="D8" s="34">
        <f>B8/10000</f>
        <v>1.5</v>
      </c>
      <c r="E8" t="s">
        <v>129</v>
      </c>
      <c r="N8" s="37"/>
      <c r="O8" s="37"/>
      <c r="P8" s="37"/>
    </row>
    <row r="9" spans="1:56" ht="13.5" customHeight="1" x14ac:dyDescent="0.3">
      <c r="A9" s="38" t="s">
        <v>47</v>
      </c>
      <c r="B9" s="39">
        <f>ROUNDDOWN(B5/B8,0)</f>
        <v>142</v>
      </c>
      <c r="C9" s="43"/>
      <c r="D9" s="44"/>
      <c r="N9" s="37"/>
      <c r="O9" s="37"/>
      <c r="P9" s="37"/>
    </row>
    <row r="10" spans="1:56" ht="13.5" customHeight="1" x14ac:dyDescent="0.3">
      <c r="A10" s="34" t="s">
        <v>49</v>
      </c>
      <c r="B10" s="140">
        <v>250</v>
      </c>
      <c r="C10" s="43" t="s">
        <v>130</v>
      </c>
      <c r="D10" s="141">
        <f>B11/D8</f>
        <v>2500000</v>
      </c>
      <c r="E10" t="s">
        <v>131</v>
      </c>
      <c r="N10" s="37"/>
      <c r="O10" s="37"/>
      <c r="P10" s="37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</row>
    <row r="11" spans="1:56" ht="13.5" customHeight="1" x14ac:dyDescent="0.3">
      <c r="A11" s="38" t="s">
        <v>48</v>
      </c>
      <c r="B11" s="144">
        <f>B10*B8</f>
        <v>3750000</v>
      </c>
      <c r="C11" s="43"/>
      <c r="N11" s="37"/>
      <c r="O11" s="37"/>
      <c r="P11" s="37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</row>
    <row r="13" spans="1:56" ht="13.5" customHeight="1" x14ac:dyDescent="0.3">
      <c r="B13" s="45"/>
      <c r="D13" s="46"/>
      <c r="E13" s="47"/>
      <c r="F13" s="153">
        <v>1</v>
      </c>
      <c r="N13" s="37"/>
      <c r="O13" s="37"/>
      <c r="P13" s="37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</row>
    <row r="14" spans="1:56" ht="13.5" customHeight="1" x14ac:dyDescent="0.3">
      <c r="B14" s="36" t="s">
        <v>50</v>
      </c>
      <c r="C14" s="36" t="s">
        <v>51</v>
      </c>
      <c r="D14" s="36" t="s">
        <v>52</v>
      </c>
      <c r="E14" s="36" t="s">
        <v>53</v>
      </c>
      <c r="F14" s="36" t="s">
        <v>54</v>
      </c>
      <c r="G14" s="36" t="s">
        <v>55</v>
      </c>
      <c r="H14" s="36" t="s">
        <v>56</v>
      </c>
      <c r="I14" s="36" t="s">
        <v>57</v>
      </c>
      <c r="N14" s="37"/>
      <c r="O14" s="37"/>
      <c r="P14" s="37"/>
    </row>
    <row r="15" spans="1:56" ht="13.5" customHeight="1" x14ac:dyDescent="0.3">
      <c r="B15" s="34" t="s">
        <v>58</v>
      </c>
      <c r="C15" s="38" t="s">
        <v>59</v>
      </c>
      <c r="D15" s="38" t="s">
        <v>60</v>
      </c>
      <c r="E15" s="38" t="s">
        <v>41</v>
      </c>
      <c r="F15" s="38" t="s">
        <v>61</v>
      </c>
      <c r="G15" s="34" t="s">
        <v>7</v>
      </c>
      <c r="H15" s="34" t="s">
        <v>7</v>
      </c>
      <c r="I15" s="34" t="s">
        <v>7</v>
      </c>
      <c r="N15" s="37"/>
      <c r="O15" s="37"/>
      <c r="P15" s="37"/>
    </row>
    <row r="16" spans="1:56" ht="13.5" customHeight="1" x14ac:dyDescent="0.3">
      <c r="A16" s="38" t="s">
        <v>62</v>
      </c>
      <c r="B16" s="39">
        <v>50</v>
      </c>
      <c r="C16" s="48">
        <v>16</v>
      </c>
      <c r="D16" s="49">
        <f>ROUNDDOWN(B16/C16,2)</f>
        <v>3.12</v>
      </c>
      <c r="E16" s="45">
        <f t="shared" ref="E16:E18" si="1">$B$8*B16</f>
        <v>750000</v>
      </c>
      <c r="F16" s="45">
        <f>$F$13*PINI!D14</f>
        <v>112526.22999999998</v>
      </c>
      <c r="G16" s="45">
        <f>K16*F16/1000</f>
        <v>50636803.499999993</v>
      </c>
      <c r="H16" s="45">
        <f>B16*$B$11</f>
        <v>187500000</v>
      </c>
      <c r="I16" s="45">
        <f>H16-G16</f>
        <v>136863196.5</v>
      </c>
      <c r="K16" s="45">
        <f>L16*$B$8</f>
        <v>450000</v>
      </c>
      <c r="L16">
        <v>30</v>
      </c>
      <c r="M16" s="182">
        <f>B16-L16</f>
        <v>20</v>
      </c>
      <c r="O16" s="37"/>
      <c r="P16" s="37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</row>
    <row r="17" spans="1:56" ht="13.5" customHeight="1" x14ac:dyDescent="0.3">
      <c r="A17" s="38" t="s">
        <v>63</v>
      </c>
      <c r="B17" s="39">
        <v>50</v>
      </c>
      <c r="C17" s="48">
        <v>16</v>
      </c>
      <c r="D17" s="49">
        <f t="shared" ref="D17:D18" si="2">ROUNDDOWN(B17/C17,2)</f>
        <v>3.12</v>
      </c>
      <c r="E17" s="45">
        <f t="shared" si="1"/>
        <v>750000</v>
      </c>
      <c r="F17" s="45">
        <f>F13*PINI!F14</f>
        <v>112526.22999999998</v>
      </c>
      <c r="G17" s="45">
        <f t="shared" ref="G17:G18" si="3">K17*F17/1000</f>
        <v>62452057.649999991</v>
      </c>
      <c r="H17" s="45">
        <f>B17*$B$11</f>
        <v>187500000</v>
      </c>
      <c r="I17" s="45">
        <f t="shared" ref="I17" si="4">H17-G17</f>
        <v>125047942.35000001</v>
      </c>
      <c r="K17" s="45">
        <f>L17*$B$8</f>
        <v>555000</v>
      </c>
      <c r="L17">
        <v>37</v>
      </c>
      <c r="M17" s="182">
        <f>B17-L17</f>
        <v>13</v>
      </c>
      <c r="O17" s="37"/>
      <c r="P17" s="37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</row>
    <row r="18" spans="1:56" ht="13.5" customHeight="1" x14ac:dyDescent="0.3">
      <c r="A18" s="38" t="s">
        <v>64</v>
      </c>
      <c r="B18" s="39">
        <v>42</v>
      </c>
      <c r="C18" s="48">
        <v>14</v>
      </c>
      <c r="D18" s="49">
        <f t="shared" si="2"/>
        <v>3</v>
      </c>
      <c r="E18" s="45">
        <f t="shared" si="1"/>
        <v>630000</v>
      </c>
      <c r="F18" s="45">
        <f>F13*PINI!H14</f>
        <v>112526.22999999998</v>
      </c>
      <c r="G18" s="45">
        <f t="shared" si="3"/>
        <v>28694188.649999995</v>
      </c>
      <c r="H18" s="45">
        <f t="shared" ref="H18" si="5">B18*$B$11</f>
        <v>157500000</v>
      </c>
      <c r="I18" s="45">
        <f>H18-G18</f>
        <v>128805811.35000001</v>
      </c>
      <c r="K18" s="45">
        <f>L18*$B$8</f>
        <v>255000</v>
      </c>
      <c r="L18">
        <v>17</v>
      </c>
      <c r="M18" s="182">
        <f>B18-L18</f>
        <v>25</v>
      </c>
      <c r="O18" s="37"/>
      <c r="P18" s="37"/>
    </row>
    <row r="19" spans="1:56" ht="13.5" customHeight="1" x14ac:dyDescent="0.3">
      <c r="A19" s="36" t="s">
        <v>65</v>
      </c>
      <c r="B19" s="43">
        <f t="shared" ref="B19:C19" si="6">SUM(B16:B18)</f>
        <v>142</v>
      </c>
      <c r="C19" s="50">
        <f t="shared" si="6"/>
        <v>46</v>
      </c>
      <c r="D19" s="38" t="s">
        <v>66</v>
      </c>
      <c r="E19" s="51">
        <f>SUM(E16:E18)</f>
        <v>2130000</v>
      </c>
      <c r="G19" s="51">
        <f t="shared" ref="G19:I19" si="7">SUM(G16:G18)</f>
        <v>141783049.79999998</v>
      </c>
      <c r="H19" s="51">
        <f t="shared" si="7"/>
        <v>532500000</v>
      </c>
      <c r="I19" s="51">
        <f t="shared" si="7"/>
        <v>390716950.20000005</v>
      </c>
      <c r="K19" s="183">
        <f>SUM(K16:K18)</f>
        <v>1260000</v>
      </c>
      <c r="L19">
        <f>SUM(L16:L18)</f>
        <v>84</v>
      </c>
      <c r="M19" s="37"/>
      <c r="O19" s="37"/>
      <c r="P19" s="37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</row>
    <row r="20" spans="1:56" ht="13.5" customHeight="1" x14ac:dyDescent="0.3">
      <c r="N20" s="37"/>
      <c r="O20" s="37"/>
      <c r="P20" s="37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</row>
    <row r="21" spans="1:56" ht="13.5" customHeight="1" x14ac:dyDescent="0.3">
      <c r="A21" s="34"/>
      <c r="K21">
        <f>K19/E19</f>
        <v>0.59154929577464788</v>
      </c>
      <c r="N21" s="37"/>
      <c r="O21" s="37"/>
      <c r="P21" s="37"/>
    </row>
    <row r="22" spans="1:56" ht="13.5" customHeight="1" x14ac:dyDescent="0.3">
      <c r="A22" s="52" t="s">
        <v>67</v>
      </c>
      <c r="G22">
        <v>141783049.79999998</v>
      </c>
      <c r="N22" s="37"/>
      <c r="O22" s="37"/>
      <c r="P22" s="37"/>
    </row>
    <row r="23" spans="1:56" ht="13.5" customHeight="1" x14ac:dyDescent="0.3">
      <c r="A23" s="53" t="s">
        <v>68</v>
      </c>
      <c r="B23" s="54">
        <v>0</v>
      </c>
      <c r="C23" s="41">
        <f>B23*ANÁLISES!F13</f>
        <v>0</v>
      </c>
      <c r="D23" s="34" t="s">
        <v>69</v>
      </c>
      <c r="N23" s="37"/>
      <c r="O23" s="37"/>
      <c r="P23" s="37"/>
    </row>
    <row r="24" spans="1:56" ht="13.2" customHeight="1" x14ac:dyDescent="0.3">
      <c r="A24" s="53" t="s">
        <v>70</v>
      </c>
      <c r="B24" s="54">
        <v>0.01</v>
      </c>
      <c r="C24" s="41">
        <v>1650000</v>
      </c>
      <c r="D24" s="34" t="s">
        <v>69</v>
      </c>
      <c r="E24" s="41">
        <f>C23+C24</f>
        <v>1650000</v>
      </c>
      <c r="N24" s="37"/>
      <c r="O24" s="37"/>
      <c r="P24" s="37"/>
    </row>
    <row r="25" spans="1:56" ht="13.5" customHeight="1" x14ac:dyDescent="0.3">
      <c r="A25" s="53" t="s">
        <v>71</v>
      </c>
      <c r="B25" s="54">
        <v>0.02</v>
      </c>
      <c r="C25" s="41">
        <f>B25*G19</f>
        <v>2835660.9959999998</v>
      </c>
      <c r="D25" s="34" t="s">
        <v>72</v>
      </c>
      <c r="N25" s="37"/>
      <c r="O25" s="37"/>
      <c r="P25" s="37"/>
    </row>
    <row r="26" spans="1:56" ht="13.5" customHeight="1" x14ac:dyDescent="0.3">
      <c r="A26" s="174" t="s">
        <v>149</v>
      </c>
      <c r="B26" s="175" t="s">
        <v>66</v>
      </c>
      <c r="C26" s="41">
        <v>100000</v>
      </c>
      <c r="D26" s="34"/>
      <c r="N26" s="37"/>
      <c r="O26" s="37"/>
      <c r="P26" s="37"/>
    </row>
    <row r="27" spans="1:56" ht="13.5" customHeight="1" x14ac:dyDescent="0.3">
      <c r="A27" s="31" t="s">
        <v>73</v>
      </c>
      <c r="C27" s="55">
        <f>SUM(C23:C26)</f>
        <v>4585660.9959999993</v>
      </c>
      <c r="N27" s="37"/>
      <c r="O27" s="37"/>
      <c r="P27" s="37"/>
    </row>
    <row r="28" spans="1:56" ht="13.5" customHeight="1" x14ac:dyDescent="0.3">
      <c r="N28" s="37"/>
      <c r="O28" s="37"/>
      <c r="P28" s="37"/>
    </row>
    <row r="29" spans="1:56" ht="13.5" customHeight="1" x14ac:dyDescent="0.3">
      <c r="A29" s="56" t="s">
        <v>74</v>
      </c>
      <c r="B29" s="57"/>
      <c r="C29" s="57"/>
      <c r="D29" s="57"/>
      <c r="E29" s="57"/>
      <c r="N29" s="37"/>
      <c r="O29" s="37"/>
      <c r="P29" s="37"/>
    </row>
    <row r="30" spans="1:56" ht="13.5" customHeight="1" x14ac:dyDescent="0.3">
      <c r="N30" s="37"/>
      <c r="O30" s="37"/>
      <c r="P30" s="37"/>
    </row>
    <row r="31" spans="1:56" ht="13.5" customHeight="1" x14ac:dyDescent="0.3">
      <c r="G31" s="58"/>
      <c r="H31" s="58"/>
      <c r="I31" s="58"/>
      <c r="J31" s="41"/>
      <c r="K31" s="41"/>
      <c r="L31" s="41"/>
      <c r="M31" s="59"/>
      <c r="N31" s="37"/>
      <c r="O31" s="37"/>
      <c r="P31" s="37"/>
      <c r="Q31" s="59"/>
      <c r="R31" s="59"/>
      <c r="S31" s="59"/>
      <c r="T31" s="59"/>
      <c r="U31" s="45"/>
      <c r="V31" s="45"/>
      <c r="X31" s="59"/>
      <c r="Y31" s="45"/>
      <c r="Z31" s="45"/>
      <c r="AA31" s="45"/>
      <c r="AB31" s="45"/>
      <c r="AC31" s="45"/>
      <c r="AE31" s="59"/>
      <c r="AF31" s="59"/>
      <c r="AG31" s="59"/>
      <c r="AI31" s="45"/>
      <c r="AJ31" s="45"/>
    </row>
    <row r="32" spans="1:56" ht="13.5" customHeight="1" x14ac:dyDescent="0.3">
      <c r="G32" s="58"/>
      <c r="H32" s="58"/>
      <c r="I32" s="58"/>
      <c r="J32" s="41"/>
      <c r="K32" s="41"/>
      <c r="L32" s="41"/>
      <c r="M32" s="59"/>
      <c r="N32" s="37"/>
      <c r="O32" s="37"/>
      <c r="P32" s="37"/>
      <c r="Q32" s="59"/>
      <c r="R32" s="59"/>
      <c r="S32" s="59"/>
      <c r="T32" s="59"/>
      <c r="U32" s="45"/>
      <c r="V32" s="45"/>
      <c r="X32" s="59"/>
      <c r="Y32" s="45"/>
      <c r="Z32" s="45"/>
      <c r="AA32" s="45"/>
      <c r="AB32" s="45"/>
      <c r="AC32" s="45"/>
      <c r="AE32" s="59"/>
      <c r="AF32" s="59"/>
      <c r="AG32" s="59"/>
      <c r="AI32" s="45"/>
      <c r="AJ32" s="45"/>
    </row>
    <row r="33" spans="7:36" ht="13.5" customHeight="1" x14ac:dyDescent="0.3">
      <c r="G33" s="58"/>
      <c r="H33" s="58"/>
      <c r="I33" s="58"/>
      <c r="J33" s="41"/>
      <c r="K33" s="41"/>
      <c r="L33" s="41"/>
      <c r="M33" s="59"/>
      <c r="N33" s="37"/>
      <c r="O33" s="37"/>
      <c r="P33" s="37"/>
      <c r="Q33" s="59"/>
      <c r="R33" s="59"/>
      <c r="S33" s="59"/>
      <c r="T33" s="59"/>
      <c r="U33" s="45"/>
      <c r="V33" s="45"/>
      <c r="X33" s="59"/>
      <c r="Y33" s="45"/>
      <c r="Z33" s="45"/>
      <c r="AA33" s="45"/>
      <c r="AB33" s="45"/>
      <c r="AC33" s="45"/>
      <c r="AE33" s="59"/>
      <c r="AF33" s="59"/>
      <c r="AG33" s="59"/>
      <c r="AI33" s="45"/>
      <c r="AJ33" s="45"/>
    </row>
    <row r="34" spans="7:36" ht="13.5" customHeight="1" x14ac:dyDescent="0.3">
      <c r="G34" s="58"/>
      <c r="H34" s="58"/>
      <c r="I34" s="58"/>
      <c r="J34" s="41"/>
      <c r="K34" s="41"/>
      <c r="L34" s="41"/>
      <c r="M34" s="59"/>
      <c r="N34" s="37"/>
      <c r="O34" s="37"/>
      <c r="P34" s="37"/>
      <c r="Q34" s="59"/>
      <c r="R34" s="59"/>
      <c r="S34" s="59"/>
      <c r="T34" s="59"/>
      <c r="U34" s="45"/>
      <c r="V34" s="45"/>
      <c r="X34" s="59"/>
      <c r="Y34" s="45"/>
      <c r="Z34" s="45"/>
      <c r="AA34" s="45"/>
      <c r="AB34" s="45"/>
      <c r="AC34" s="45"/>
      <c r="AE34" s="59"/>
      <c r="AF34" s="59"/>
      <c r="AG34" s="59"/>
      <c r="AI34" s="45"/>
      <c r="AJ34" s="45"/>
    </row>
    <row r="35" spans="7:36" ht="13.5" customHeight="1" x14ac:dyDescent="0.3">
      <c r="G35" s="58"/>
      <c r="H35" s="58"/>
      <c r="I35" s="58"/>
      <c r="J35" s="41"/>
      <c r="K35" s="41"/>
      <c r="L35" s="41"/>
      <c r="M35" s="59"/>
      <c r="N35" s="37"/>
      <c r="O35" s="37"/>
      <c r="P35" s="37"/>
      <c r="Q35" s="59"/>
      <c r="R35" s="59"/>
      <c r="S35" s="59"/>
      <c r="T35" s="59"/>
      <c r="U35" s="45"/>
      <c r="V35" s="45"/>
      <c r="X35" s="59"/>
      <c r="Y35" s="45"/>
      <c r="Z35" s="45"/>
      <c r="AA35" s="45"/>
      <c r="AB35" s="45"/>
      <c r="AC35" s="45"/>
      <c r="AE35" s="59"/>
      <c r="AF35" s="59"/>
      <c r="AG35" s="59"/>
      <c r="AI35" s="45"/>
      <c r="AJ35" s="45"/>
    </row>
    <row r="36" spans="7:36" ht="13.5" customHeight="1" x14ac:dyDescent="0.3">
      <c r="G36" s="58"/>
      <c r="H36" s="58"/>
      <c r="I36" s="58"/>
      <c r="J36" s="41"/>
      <c r="K36" s="41"/>
      <c r="L36" s="41"/>
      <c r="M36" s="59"/>
      <c r="N36" s="37"/>
      <c r="O36" s="37"/>
      <c r="P36" s="37"/>
      <c r="Q36" s="59"/>
      <c r="R36" s="59"/>
      <c r="S36" s="59"/>
      <c r="T36" s="59"/>
      <c r="U36" s="45"/>
      <c r="V36" s="45"/>
      <c r="X36" s="59"/>
      <c r="Y36" s="45"/>
      <c r="Z36" s="45"/>
      <c r="AA36" s="45"/>
      <c r="AB36" s="45"/>
      <c r="AC36" s="45"/>
      <c r="AE36" s="59"/>
      <c r="AF36" s="59"/>
      <c r="AG36" s="59"/>
      <c r="AI36" s="45"/>
      <c r="AJ36" s="45"/>
    </row>
    <row r="37" spans="7:36" ht="13.5" customHeight="1" x14ac:dyDescent="0.3">
      <c r="G37" s="58"/>
      <c r="H37" s="58"/>
      <c r="I37" s="58"/>
      <c r="J37" s="41"/>
      <c r="K37" s="41"/>
      <c r="L37" s="41"/>
      <c r="M37" s="59"/>
      <c r="N37" s="37"/>
      <c r="O37" s="37"/>
      <c r="P37" s="37"/>
      <c r="Q37" s="59"/>
      <c r="R37" s="59"/>
      <c r="S37" s="59"/>
      <c r="T37" s="59"/>
      <c r="U37" s="45"/>
      <c r="V37" s="45"/>
      <c r="X37" s="59"/>
      <c r="Y37" s="45"/>
      <c r="Z37" s="45"/>
      <c r="AA37" s="45"/>
      <c r="AB37" s="45"/>
      <c r="AC37" s="45"/>
      <c r="AE37" s="59"/>
      <c r="AF37" s="59"/>
      <c r="AG37" s="59"/>
      <c r="AI37" s="45"/>
      <c r="AJ37" s="45"/>
    </row>
    <row r="38" spans="7:36" ht="13.5" customHeight="1" x14ac:dyDescent="0.3">
      <c r="G38" s="58"/>
      <c r="H38" s="58"/>
      <c r="I38" s="58"/>
      <c r="J38" s="41"/>
      <c r="K38" s="41"/>
      <c r="L38" s="41"/>
      <c r="M38" s="59"/>
      <c r="N38" s="37"/>
      <c r="O38" s="37"/>
      <c r="P38" s="37"/>
      <c r="Q38" s="59"/>
      <c r="R38" s="59"/>
      <c r="S38" s="59"/>
      <c r="T38" s="59"/>
      <c r="U38" s="45"/>
      <c r="V38" s="45"/>
      <c r="X38" s="59"/>
      <c r="Y38" s="45"/>
      <c r="Z38" s="45"/>
      <c r="AA38" s="45"/>
      <c r="AB38" s="45"/>
      <c r="AC38" s="45"/>
      <c r="AE38" s="59"/>
      <c r="AF38" s="59"/>
      <c r="AG38" s="59"/>
      <c r="AI38" s="45"/>
      <c r="AJ38" s="45"/>
    </row>
    <row r="39" spans="7:36" ht="13.5" customHeight="1" x14ac:dyDescent="0.3">
      <c r="G39" s="58"/>
      <c r="H39" s="58"/>
      <c r="I39" s="58"/>
      <c r="J39" s="41"/>
      <c r="K39" s="41"/>
      <c r="L39" s="41"/>
      <c r="M39" s="59"/>
      <c r="N39" s="37"/>
      <c r="O39" s="37"/>
      <c r="P39" s="37"/>
      <c r="Q39" s="59"/>
      <c r="R39" s="59"/>
      <c r="S39" s="59"/>
      <c r="T39" s="59"/>
      <c r="U39" s="45"/>
      <c r="V39" s="45"/>
      <c r="X39" s="59"/>
      <c r="Y39" s="45"/>
      <c r="Z39" s="45"/>
      <c r="AA39" s="45"/>
      <c r="AB39" s="45"/>
      <c r="AC39" s="45"/>
      <c r="AE39" s="59"/>
      <c r="AF39" s="59"/>
      <c r="AG39" s="59"/>
      <c r="AI39" s="45"/>
      <c r="AJ39" s="45"/>
    </row>
    <row r="40" spans="7:36" ht="13.5" customHeight="1" x14ac:dyDescent="0.3">
      <c r="G40" s="58"/>
      <c r="H40" s="58"/>
      <c r="I40" s="58"/>
      <c r="J40" s="41"/>
      <c r="K40" s="41"/>
      <c r="L40" s="41"/>
      <c r="M40" s="59"/>
      <c r="N40" s="37"/>
      <c r="O40" s="37"/>
      <c r="P40" s="37"/>
      <c r="Q40" s="59"/>
      <c r="R40" s="59"/>
      <c r="S40" s="59"/>
      <c r="T40" s="59"/>
      <c r="U40" s="45"/>
      <c r="V40" s="45"/>
      <c r="X40" s="59"/>
      <c r="Y40" s="45"/>
      <c r="Z40" s="45"/>
      <c r="AA40" s="45"/>
      <c r="AB40" s="45"/>
      <c r="AC40" s="45"/>
      <c r="AE40" s="59"/>
      <c r="AF40" s="59"/>
      <c r="AG40" s="59"/>
      <c r="AI40" s="45"/>
      <c r="AJ40" s="45"/>
    </row>
    <row r="41" spans="7:36" ht="13.5" customHeight="1" x14ac:dyDescent="0.3">
      <c r="G41" s="58"/>
      <c r="H41" s="58"/>
      <c r="I41" s="58"/>
      <c r="J41" s="41"/>
      <c r="K41" s="41"/>
      <c r="L41" s="41"/>
      <c r="M41" s="59"/>
      <c r="N41" s="37"/>
      <c r="O41" s="37"/>
      <c r="P41" s="37"/>
      <c r="Q41" s="59"/>
      <c r="R41" s="59"/>
      <c r="S41" s="59"/>
      <c r="T41" s="59"/>
      <c r="U41" s="45"/>
      <c r="V41" s="45"/>
      <c r="X41" s="59"/>
      <c r="Y41" s="45"/>
      <c r="Z41" s="45"/>
      <c r="AA41" s="45"/>
      <c r="AB41" s="45"/>
      <c r="AC41" s="45"/>
      <c r="AE41" s="59"/>
      <c r="AF41" s="59"/>
      <c r="AG41" s="59"/>
      <c r="AI41" s="45"/>
      <c r="AJ41" s="45"/>
    </row>
    <row r="42" spans="7:36" ht="13.5" customHeight="1" x14ac:dyDescent="0.3">
      <c r="G42" s="58"/>
      <c r="H42" s="58"/>
      <c r="I42" s="58"/>
      <c r="J42" s="41"/>
      <c r="K42" s="41"/>
      <c r="L42" s="41"/>
      <c r="M42" s="59"/>
      <c r="N42" s="37"/>
      <c r="O42" s="37"/>
      <c r="P42" s="37"/>
      <c r="Q42" s="59"/>
      <c r="R42" s="59"/>
      <c r="S42" s="59"/>
      <c r="T42" s="59"/>
      <c r="U42" s="45"/>
      <c r="V42" s="45"/>
      <c r="X42" s="59"/>
      <c r="Y42" s="45"/>
      <c r="Z42" s="45"/>
      <c r="AA42" s="45"/>
      <c r="AB42" s="45"/>
      <c r="AC42" s="45"/>
      <c r="AE42" s="59"/>
      <c r="AF42" s="59"/>
      <c r="AG42" s="59"/>
      <c r="AI42" s="45">
        <f>AG42-AH42</f>
        <v>0</v>
      </c>
      <c r="AJ42" s="45">
        <f>AJ41+AI42</f>
        <v>0</v>
      </c>
    </row>
    <row r="43" spans="7:36" ht="13.5" customHeight="1" x14ac:dyDescent="0.3">
      <c r="N43" s="37"/>
      <c r="O43" s="37"/>
      <c r="P43" s="37"/>
    </row>
    <row r="44" spans="7:36" ht="13.5" customHeight="1" x14ac:dyDescent="0.3">
      <c r="N44" s="37"/>
      <c r="O44" s="37"/>
      <c r="P44" s="37"/>
    </row>
    <row r="45" spans="7:36" ht="13.5" customHeight="1" x14ac:dyDescent="0.3">
      <c r="N45" s="37"/>
      <c r="O45" s="37"/>
      <c r="P45" s="37"/>
    </row>
    <row r="46" spans="7:36" ht="13.5" customHeight="1" x14ac:dyDescent="0.3">
      <c r="N46" s="37"/>
      <c r="O46" s="37"/>
      <c r="P46" s="37"/>
      <c r="AF46" s="40"/>
      <c r="AG46" s="37"/>
    </row>
    <row r="47" spans="7:36" ht="13.5" customHeight="1" x14ac:dyDescent="0.3">
      <c r="N47" s="37"/>
      <c r="O47" s="37"/>
      <c r="P47" s="37"/>
    </row>
    <row r="48" spans="7:36" ht="13.5" customHeight="1" x14ac:dyDescent="0.3">
      <c r="N48" s="37"/>
      <c r="O48" s="37"/>
      <c r="P48" s="37"/>
    </row>
    <row r="49" spans="14:16" ht="13.5" customHeight="1" x14ac:dyDescent="0.3">
      <c r="N49" s="37"/>
      <c r="O49" s="37"/>
      <c r="P49" s="37"/>
    </row>
    <row r="50" spans="14:16" ht="13.5" customHeight="1" x14ac:dyDescent="0.3">
      <c r="N50" s="37"/>
      <c r="O50" s="37"/>
      <c r="P50" s="37"/>
    </row>
    <row r="51" spans="14:16" ht="13.5" customHeight="1" x14ac:dyDescent="0.3">
      <c r="N51" s="37"/>
      <c r="O51" s="37"/>
      <c r="P51" s="37"/>
    </row>
    <row r="52" spans="14:16" ht="13.5" customHeight="1" x14ac:dyDescent="0.3">
      <c r="N52" s="37"/>
      <c r="O52" s="37"/>
      <c r="P52" s="37"/>
    </row>
    <row r="53" spans="14:16" ht="13.5" customHeight="1" x14ac:dyDescent="0.3">
      <c r="N53" s="37"/>
      <c r="O53" s="37"/>
      <c r="P53" s="37"/>
    </row>
    <row r="54" spans="14:16" ht="13.5" customHeight="1" x14ac:dyDescent="0.3">
      <c r="N54" s="37"/>
      <c r="O54" s="37"/>
      <c r="P54" s="37"/>
    </row>
    <row r="55" spans="14:16" ht="13.5" customHeight="1" x14ac:dyDescent="0.3">
      <c r="N55" s="37"/>
      <c r="O55" s="37"/>
      <c r="P55" s="37"/>
    </row>
    <row r="56" spans="14:16" ht="13.5" customHeight="1" x14ac:dyDescent="0.3">
      <c r="N56" s="37"/>
      <c r="O56" s="37"/>
      <c r="P56" s="37"/>
    </row>
    <row r="57" spans="14:16" ht="13.5" customHeight="1" x14ac:dyDescent="0.3">
      <c r="N57" s="37"/>
      <c r="O57" s="37"/>
      <c r="P57" s="37"/>
    </row>
    <row r="58" spans="14:16" ht="13.5" customHeight="1" x14ac:dyDescent="0.3">
      <c r="N58" s="37"/>
      <c r="O58" s="37"/>
      <c r="P58" s="37"/>
    </row>
    <row r="59" spans="14:16" ht="13.5" customHeight="1" x14ac:dyDescent="0.3">
      <c r="N59" s="37"/>
      <c r="O59" s="37"/>
      <c r="P59" s="37"/>
    </row>
    <row r="60" spans="14:16" ht="13.5" customHeight="1" x14ac:dyDescent="0.3">
      <c r="N60" s="37"/>
      <c r="O60" s="37"/>
      <c r="P60" s="37"/>
    </row>
    <row r="61" spans="14:16" ht="13.5" customHeight="1" x14ac:dyDescent="0.3">
      <c r="N61" s="37"/>
      <c r="O61" s="37"/>
      <c r="P61" s="37"/>
    </row>
    <row r="62" spans="14:16" ht="13.5" customHeight="1" x14ac:dyDescent="0.3">
      <c r="N62" s="37"/>
      <c r="O62" s="37"/>
      <c r="P62" s="37"/>
    </row>
    <row r="63" spans="14:16" ht="13.5" customHeight="1" x14ac:dyDescent="0.3">
      <c r="N63" s="37"/>
      <c r="O63" s="37"/>
      <c r="P63" s="37"/>
    </row>
    <row r="64" spans="14:16" ht="13.5" customHeight="1" x14ac:dyDescent="0.3">
      <c r="N64" s="37"/>
      <c r="O64" s="37"/>
      <c r="P64" s="37"/>
    </row>
    <row r="65" spans="14:16" ht="13.5" customHeight="1" x14ac:dyDescent="0.3">
      <c r="N65" s="37"/>
      <c r="O65" s="37"/>
      <c r="P65" s="37"/>
    </row>
    <row r="66" spans="14:16" ht="13.5" customHeight="1" x14ac:dyDescent="0.3">
      <c r="N66" s="37"/>
      <c r="O66" s="37"/>
      <c r="P66" s="37"/>
    </row>
    <row r="67" spans="14:16" ht="13.5" customHeight="1" x14ac:dyDescent="0.3">
      <c r="N67" s="37"/>
      <c r="O67" s="37"/>
      <c r="P67" s="37"/>
    </row>
    <row r="68" spans="14:16" ht="13.5" customHeight="1" x14ac:dyDescent="0.3">
      <c r="N68" s="37"/>
      <c r="O68" s="37"/>
      <c r="P68" s="37"/>
    </row>
    <row r="69" spans="14:16" ht="13.5" customHeight="1" x14ac:dyDescent="0.3">
      <c r="N69" s="37"/>
      <c r="O69" s="37"/>
      <c r="P69" s="37"/>
    </row>
    <row r="70" spans="14:16" ht="13.5" customHeight="1" x14ac:dyDescent="0.3">
      <c r="N70" s="37"/>
      <c r="O70" s="37"/>
      <c r="P70" s="37"/>
    </row>
    <row r="71" spans="14:16" ht="13.5" customHeight="1" x14ac:dyDescent="0.3">
      <c r="N71" s="37"/>
      <c r="O71" s="37"/>
      <c r="P71" s="37"/>
    </row>
    <row r="72" spans="14:16" ht="13.5" customHeight="1" x14ac:dyDescent="0.3">
      <c r="N72" s="37"/>
      <c r="O72" s="37"/>
      <c r="P72" s="37"/>
    </row>
    <row r="73" spans="14:16" ht="13.5" customHeight="1" x14ac:dyDescent="0.3">
      <c r="N73" s="37"/>
      <c r="O73" s="37"/>
      <c r="P73" s="37"/>
    </row>
    <row r="74" spans="14:16" ht="13.5" customHeight="1" x14ac:dyDescent="0.3">
      <c r="N74" s="37"/>
      <c r="O74" s="37"/>
      <c r="P74" s="37"/>
    </row>
    <row r="75" spans="14:16" ht="13.5" customHeight="1" x14ac:dyDescent="0.3">
      <c r="N75" s="37"/>
      <c r="O75" s="37"/>
      <c r="P75" s="37"/>
    </row>
    <row r="76" spans="14:16" ht="13.5" customHeight="1" x14ac:dyDescent="0.3">
      <c r="N76" s="37"/>
      <c r="O76" s="37"/>
      <c r="P76" s="37"/>
    </row>
    <row r="77" spans="14:16" ht="13.5" customHeight="1" x14ac:dyDescent="0.3">
      <c r="N77" s="37"/>
      <c r="O77" s="37"/>
      <c r="P77" s="37"/>
    </row>
    <row r="78" spans="14:16" ht="13.5" customHeight="1" x14ac:dyDescent="0.3">
      <c r="N78" s="37"/>
      <c r="O78" s="37"/>
      <c r="P78" s="37"/>
    </row>
    <row r="79" spans="14:16" ht="13.5" customHeight="1" x14ac:dyDescent="0.3">
      <c r="N79" s="37"/>
      <c r="O79" s="37"/>
      <c r="P79" s="37"/>
    </row>
    <row r="80" spans="14:16" ht="13.5" customHeight="1" x14ac:dyDescent="0.3">
      <c r="N80" s="37"/>
      <c r="O80" s="37"/>
      <c r="P80" s="37"/>
    </row>
    <row r="81" spans="14:16" ht="13.5" customHeight="1" x14ac:dyDescent="0.3">
      <c r="N81" s="37"/>
      <c r="O81" s="37"/>
      <c r="P81" s="37"/>
    </row>
    <row r="82" spans="14:16" ht="13.5" customHeight="1" x14ac:dyDescent="0.3">
      <c r="N82" s="37"/>
      <c r="O82" s="37"/>
      <c r="P82" s="37"/>
    </row>
    <row r="83" spans="14:16" ht="13.5" customHeight="1" x14ac:dyDescent="0.3">
      <c r="N83" s="37"/>
      <c r="O83" s="37"/>
      <c r="P83" s="37"/>
    </row>
    <row r="84" spans="14:16" ht="13.5" customHeight="1" x14ac:dyDescent="0.3">
      <c r="N84" s="37"/>
      <c r="O84" s="37"/>
      <c r="P84" s="37"/>
    </row>
    <row r="85" spans="14:16" ht="13.5" customHeight="1" x14ac:dyDescent="0.3">
      <c r="N85" s="37"/>
      <c r="O85" s="37"/>
      <c r="P85" s="37"/>
    </row>
    <row r="86" spans="14:16" ht="13.5" customHeight="1" x14ac:dyDescent="0.3">
      <c r="N86" s="37"/>
      <c r="O86" s="37"/>
      <c r="P86" s="37"/>
    </row>
    <row r="87" spans="14:16" ht="13.5" customHeight="1" x14ac:dyDescent="0.3">
      <c r="N87" s="37"/>
      <c r="O87" s="37"/>
      <c r="P87" s="37"/>
    </row>
    <row r="88" spans="14:16" ht="13.5" customHeight="1" x14ac:dyDescent="0.3">
      <c r="N88" s="37"/>
      <c r="O88" s="37"/>
      <c r="P88" s="37"/>
    </row>
    <row r="89" spans="14:16" ht="13.5" customHeight="1" x14ac:dyDescent="0.3">
      <c r="N89" s="37"/>
      <c r="O89" s="37"/>
      <c r="P89" s="37"/>
    </row>
    <row r="90" spans="14:16" ht="13.5" customHeight="1" x14ac:dyDescent="0.3">
      <c r="N90" s="37"/>
      <c r="O90" s="37"/>
      <c r="P90" s="37"/>
    </row>
    <row r="91" spans="14:16" ht="13.5" customHeight="1" x14ac:dyDescent="0.3">
      <c r="N91" s="37"/>
      <c r="O91" s="37"/>
      <c r="P91" s="37"/>
    </row>
    <row r="92" spans="14:16" ht="13.5" customHeight="1" x14ac:dyDescent="0.3">
      <c r="N92" s="37"/>
      <c r="O92" s="37"/>
      <c r="P92" s="37"/>
    </row>
    <row r="93" spans="14:16" ht="13.5" customHeight="1" x14ac:dyDescent="0.3">
      <c r="N93" s="37"/>
      <c r="O93" s="37"/>
      <c r="P93" s="37"/>
    </row>
    <row r="94" spans="14:16" ht="13.5" customHeight="1" x14ac:dyDescent="0.3">
      <c r="N94" s="37"/>
      <c r="O94" s="37"/>
      <c r="P94" s="37"/>
    </row>
    <row r="95" spans="14:16" ht="13.5" customHeight="1" x14ac:dyDescent="0.3">
      <c r="N95" s="37"/>
      <c r="O95" s="37"/>
      <c r="P95" s="37"/>
    </row>
    <row r="96" spans="14:16" ht="13.5" customHeight="1" x14ac:dyDescent="0.3">
      <c r="N96" s="37"/>
      <c r="O96" s="37"/>
      <c r="P96" s="37"/>
    </row>
    <row r="97" spans="14:16" ht="13.5" customHeight="1" x14ac:dyDescent="0.3">
      <c r="N97" s="37"/>
      <c r="O97" s="37"/>
      <c r="P97" s="37"/>
    </row>
    <row r="98" spans="14:16" ht="13.5" customHeight="1" x14ac:dyDescent="0.3">
      <c r="N98" s="37"/>
      <c r="O98" s="37"/>
      <c r="P98" s="37"/>
    </row>
    <row r="99" spans="14:16" ht="13.5" customHeight="1" x14ac:dyDescent="0.3">
      <c r="N99" s="37"/>
      <c r="O99" s="37"/>
      <c r="P99" s="37"/>
    </row>
    <row r="100" spans="14:16" ht="13.5" customHeight="1" x14ac:dyDescent="0.3">
      <c r="N100" s="37"/>
      <c r="O100" s="37"/>
      <c r="P100" s="37"/>
    </row>
    <row r="101" spans="14:16" ht="13.5" customHeight="1" x14ac:dyDescent="0.3">
      <c r="N101" s="37"/>
      <c r="O101" s="37"/>
      <c r="P101" s="37"/>
    </row>
    <row r="102" spans="14:16" ht="13.5" customHeight="1" x14ac:dyDescent="0.3">
      <c r="N102" s="37"/>
      <c r="O102" s="37"/>
      <c r="P102" s="37"/>
    </row>
    <row r="103" spans="14:16" ht="13.5" customHeight="1" x14ac:dyDescent="0.3">
      <c r="N103" s="37"/>
      <c r="O103" s="37"/>
      <c r="P103" s="37"/>
    </row>
    <row r="104" spans="14:16" ht="13.5" customHeight="1" x14ac:dyDescent="0.3">
      <c r="N104" s="37"/>
      <c r="O104" s="37"/>
      <c r="P104" s="37"/>
    </row>
    <row r="105" spans="14:16" ht="13.5" customHeight="1" x14ac:dyDescent="0.3">
      <c r="N105" s="37"/>
      <c r="O105" s="37"/>
      <c r="P105" s="37"/>
    </row>
    <row r="106" spans="14:16" ht="13.5" customHeight="1" x14ac:dyDescent="0.3">
      <c r="N106" s="37"/>
      <c r="O106" s="37"/>
      <c r="P106" s="37"/>
    </row>
    <row r="107" spans="14:16" ht="13.5" customHeight="1" x14ac:dyDescent="0.3">
      <c r="N107" s="37"/>
      <c r="O107" s="37"/>
      <c r="P107" s="37"/>
    </row>
    <row r="108" spans="14:16" ht="13.5" customHeight="1" x14ac:dyDescent="0.3">
      <c r="N108" s="37"/>
      <c r="O108" s="37"/>
      <c r="P108" s="37"/>
    </row>
    <row r="109" spans="14:16" ht="13.5" customHeight="1" x14ac:dyDescent="0.3">
      <c r="N109" s="37"/>
      <c r="O109" s="37"/>
      <c r="P109" s="37"/>
    </row>
    <row r="110" spans="14:16" ht="13.5" customHeight="1" x14ac:dyDescent="0.3">
      <c r="N110" s="37"/>
      <c r="O110" s="37"/>
      <c r="P110" s="37"/>
    </row>
    <row r="111" spans="14:16" ht="13.5" customHeight="1" x14ac:dyDescent="0.3">
      <c r="N111" s="37"/>
      <c r="O111" s="37"/>
      <c r="P111" s="37"/>
    </row>
    <row r="112" spans="14:16" ht="13.5" customHeight="1" x14ac:dyDescent="0.3">
      <c r="N112" s="37"/>
      <c r="O112" s="37"/>
      <c r="P112" s="37"/>
    </row>
    <row r="113" spans="14:16" ht="13.5" customHeight="1" x14ac:dyDescent="0.3">
      <c r="N113" s="37"/>
      <c r="O113" s="37"/>
      <c r="P113" s="37"/>
    </row>
    <row r="114" spans="14:16" ht="13.5" customHeight="1" x14ac:dyDescent="0.3">
      <c r="N114" s="37"/>
      <c r="O114" s="37"/>
      <c r="P114" s="37"/>
    </row>
    <row r="115" spans="14:16" ht="13.5" customHeight="1" x14ac:dyDescent="0.3">
      <c r="N115" s="37"/>
      <c r="O115" s="37"/>
      <c r="P115" s="37"/>
    </row>
    <row r="116" spans="14:16" ht="13.5" customHeight="1" x14ac:dyDescent="0.3">
      <c r="N116" s="37"/>
      <c r="O116" s="37"/>
      <c r="P116" s="37"/>
    </row>
    <row r="117" spans="14:16" ht="13.5" customHeight="1" x14ac:dyDescent="0.3">
      <c r="N117" s="37"/>
      <c r="O117" s="37"/>
      <c r="P117" s="37"/>
    </row>
    <row r="118" spans="14:16" ht="13.5" customHeight="1" x14ac:dyDescent="0.3">
      <c r="N118" s="37"/>
      <c r="O118" s="37"/>
      <c r="P118" s="37"/>
    </row>
    <row r="119" spans="14:16" ht="13.5" customHeight="1" x14ac:dyDescent="0.3">
      <c r="N119" s="37"/>
      <c r="O119" s="37"/>
      <c r="P119" s="37"/>
    </row>
    <row r="120" spans="14:16" ht="13.5" customHeight="1" x14ac:dyDescent="0.3">
      <c r="N120" s="37"/>
      <c r="O120" s="37"/>
      <c r="P120" s="37"/>
    </row>
    <row r="121" spans="14:16" ht="13.5" customHeight="1" x14ac:dyDescent="0.3">
      <c r="N121" s="37"/>
      <c r="O121" s="37"/>
      <c r="P121" s="37"/>
    </row>
    <row r="122" spans="14:16" ht="13.5" customHeight="1" x14ac:dyDescent="0.3">
      <c r="N122" s="37"/>
      <c r="O122" s="37"/>
      <c r="P122" s="37"/>
    </row>
    <row r="123" spans="14:16" ht="13.5" customHeight="1" x14ac:dyDescent="0.3">
      <c r="N123" s="37"/>
      <c r="O123" s="37"/>
      <c r="P123" s="37"/>
    </row>
    <row r="124" spans="14:16" ht="13.5" customHeight="1" x14ac:dyDescent="0.3">
      <c r="N124" s="37"/>
      <c r="O124" s="37"/>
      <c r="P124" s="37"/>
    </row>
    <row r="125" spans="14:16" ht="13.5" customHeight="1" x14ac:dyDescent="0.3">
      <c r="N125" s="37"/>
      <c r="O125" s="37"/>
      <c r="P125" s="37"/>
    </row>
    <row r="126" spans="14:16" ht="13.5" customHeight="1" x14ac:dyDescent="0.3">
      <c r="N126" s="37"/>
      <c r="O126" s="37"/>
      <c r="P126" s="37"/>
    </row>
    <row r="127" spans="14:16" ht="13.5" customHeight="1" x14ac:dyDescent="0.3">
      <c r="N127" s="37"/>
      <c r="O127" s="37"/>
      <c r="P127" s="37"/>
    </row>
    <row r="128" spans="14:16" ht="13.5" customHeight="1" x14ac:dyDescent="0.3">
      <c r="N128" s="37"/>
      <c r="O128" s="37"/>
      <c r="P128" s="37"/>
    </row>
    <row r="129" spans="14:16" ht="13.5" customHeight="1" x14ac:dyDescent="0.3">
      <c r="N129" s="37"/>
      <c r="O129" s="37"/>
      <c r="P129" s="37"/>
    </row>
    <row r="130" spans="14:16" ht="13.5" customHeight="1" x14ac:dyDescent="0.3">
      <c r="N130" s="37"/>
      <c r="O130" s="37"/>
      <c r="P130" s="37"/>
    </row>
    <row r="131" spans="14:16" ht="13.5" customHeight="1" x14ac:dyDescent="0.3">
      <c r="N131" s="37"/>
      <c r="O131" s="37"/>
      <c r="P131" s="37"/>
    </row>
    <row r="132" spans="14:16" ht="13.5" customHeight="1" x14ac:dyDescent="0.3">
      <c r="N132" s="37"/>
      <c r="O132" s="37"/>
      <c r="P132" s="37"/>
    </row>
    <row r="133" spans="14:16" ht="13.5" customHeight="1" x14ac:dyDescent="0.3">
      <c r="N133" s="37"/>
      <c r="O133" s="37"/>
      <c r="P133" s="37"/>
    </row>
    <row r="134" spans="14:16" ht="13.5" customHeight="1" x14ac:dyDescent="0.3">
      <c r="N134" s="37"/>
      <c r="O134" s="37"/>
      <c r="P134" s="37"/>
    </row>
    <row r="135" spans="14:16" ht="13.5" customHeight="1" x14ac:dyDescent="0.3">
      <c r="N135" s="37"/>
      <c r="O135" s="37"/>
      <c r="P135" s="37"/>
    </row>
    <row r="136" spans="14:16" ht="13.5" customHeight="1" x14ac:dyDescent="0.3">
      <c r="N136" s="37"/>
      <c r="O136" s="37"/>
      <c r="P136" s="37"/>
    </row>
    <row r="137" spans="14:16" ht="13.5" customHeight="1" x14ac:dyDescent="0.3">
      <c r="N137" s="37"/>
      <c r="O137" s="37"/>
      <c r="P137" s="37"/>
    </row>
    <row r="138" spans="14:16" ht="13.5" customHeight="1" x14ac:dyDescent="0.3">
      <c r="N138" s="37"/>
      <c r="O138" s="37"/>
      <c r="P138" s="37"/>
    </row>
    <row r="139" spans="14:16" ht="13.5" customHeight="1" x14ac:dyDescent="0.3">
      <c r="N139" s="37"/>
      <c r="O139" s="37"/>
      <c r="P139" s="37"/>
    </row>
    <row r="140" spans="14:16" ht="13.5" customHeight="1" x14ac:dyDescent="0.3">
      <c r="N140" s="37"/>
      <c r="O140" s="37"/>
      <c r="P140" s="37"/>
    </row>
    <row r="141" spans="14:16" ht="13.5" customHeight="1" x14ac:dyDescent="0.3">
      <c r="N141" s="37"/>
      <c r="O141" s="37"/>
      <c r="P141" s="37"/>
    </row>
    <row r="142" spans="14:16" ht="13.5" customHeight="1" x14ac:dyDescent="0.3">
      <c r="N142" s="37"/>
      <c r="O142" s="37"/>
      <c r="P142" s="37"/>
    </row>
    <row r="143" spans="14:16" ht="13.5" customHeight="1" x14ac:dyDescent="0.3">
      <c r="N143" s="37"/>
      <c r="O143" s="37"/>
      <c r="P143" s="37"/>
    </row>
    <row r="144" spans="14:16" ht="13.5" customHeight="1" x14ac:dyDescent="0.3">
      <c r="N144" s="37"/>
      <c r="O144" s="37"/>
      <c r="P144" s="37"/>
    </row>
    <row r="145" spans="14:16" ht="13.5" customHeight="1" x14ac:dyDescent="0.3">
      <c r="N145" s="37"/>
      <c r="O145" s="37"/>
      <c r="P145" s="37"/>
    </row>
    <row r="146" spans="14:16" ht="13.5" customHeight="1" x14ac:dyDescent="0.3">
      <c r="N146" s="37"/>
      <c r="O146" s="37"/>
      <c r="P146" s="37"/>
    </row>
    <row r="147" spans="14:16" ht="13.5" customHeight="1" x14ac:dyDescent="0.3">
      <c r="N147" s="37"/>
      <c r="O147" s="37"/>
      <c r="P147" s="37"/>
    </row>
    <row r="148" spans="14:16" ht="13.5" customHeight="1" x14ac:dyDescent="0.3">
      <c r="N148" s="37"/>
      <c r="O148" s="37"/>
      <c r="P148" s="37"/>
    </row>
    <row r="149" spans="14:16" ht="13.5" customHeight="1" x14ac:dyDescent="0.3">
      <c r="N149" s="37"/>
      <c r="O149" s="37"/>
      <c r="P149" s="37"/>
    </row>
    <row r="150" spans="14:16" ht="13.5" customHeight="1" x14ac:dyDescent="0.3">
      <c r="N150" s="37"/>
      <c r="O150" s="37"/>
      <c r="P150" s="37"/>
    </row>
    <row r="151" spans="14:16" ht="13.5" customHeight="1" x14ac:dyDescent="0.3">
      <c r="N151" s="37"/>
      <c r="O151" s="37"/>
      <c r="P151" s="37"/>
    </row>
    <row r="152" spans="14:16" ht="13.5" customHeight="1" x14ac:dyDescent="0.3">
      <c r="N152" s="37"/>
      <c r="O152" s="37"/>
      <c r="P152" s="37"/>
    </row>
    <row r="153" spans="14:16" ht="13.5" customHeight="1" x14ac:dyDescent="0.3">
      <c r="N153" s="37"/>
      <c r="O153" s="37"/>
      <c r="P153" s="37"/>
    </row>
    <row r="154" spans="14:16" ht="13.5" customHeight="1" x14ac:dyDescent="0.3">
      <c r="N154" s="37"/>
      <c r="O154" s="37"/>
      <c r="P154" s="37"/>
    </row>
    <row r="155" spans="14:16" ht="13.5" customHeight="1" x14ac:dyDescent="0.3">
      <c r="N155" s="37"/>
      <c r="O155" s="37"/>
      <c r="P155" s="37"/>
    </row>
    <row r="156" spans="14:16" ht="13.5" customHeight="1" x14ac:dyDescent="0.3">
      <c r="N156" s="37"/>
      <c r="O156" s="37"/>
      <c r="P156" s="37"/>
    </row>
    <row r="157" spans="14:16" ht="13.5" customHeight="1" x14ac:dyDescent="0.3">
      <c r="N157" s="37"/>
      <c r="O157" s="37"/>
      <c r="P157" s="37"/>
    </row>
    <row r="158" spans="14:16" ht="13.5" customHeight="1" x14ac:dyDescent="0.3">
      <c r="N158" s="37"/>
      <c r="O158" s="37"/>
      <c r="P158" s="37"/>
    </row>
    <row r="159" spans="14:16" ht="13.5" customHeight="1" x14ac:dyDescent="0.3">
      <c r="N159" s="37"/>
      <c r="O159" s="37"/>
      <c r="P159" s="37"/>
    </row>
    <row r="160" spans="14:16" ht="13.5" customHeight="1" x14ac:dyDescent="0.3">
      <c r="N160" s="37"/>
      <c r="O160" s="37"/>
      <c r="P160" s="37"/>
    </row>
    <row r="161" spans="14:16" ht="13.5" customHeight="1" x14ac:dyDescent="0.3">
      <c r="N161" s="37"/>
      <c r="O161" s="37"/>
      <c r="P161" s="37"/>
    </row>
    <row r="162" spans="14:16" ht="13.5" customHeight="1" x14ac:dyDescent="0.3">
      <c r="N162" s="37"/>
      <c r="O162" s="37"/>
      <c r="P162" s="37"/>
    </row>
    <row r="163" spans="14:16" ht="13.5" customHeight="1" x14ac:dyDescent="0.3">
      <c r="N163" s="37"/>
      <c r="O163" s="37"/>
      <c r="P163" s="37"/>
    </row>
    <row r="164" spans="14:16" ht="13.5" customHeight="1" x14ac:dyDescent="0.3">
      <c r="N164" s="37"/>
      <c r="O164" s="37"/>
      <c r="P164" s="37"/>
    </row>
    <row r="165" spans="14:16" ht="13.5" customHeight="1" x14ac:dyDescent="0.3">
      <c r="N165" s="37"/>
      <c r="O165" s="37"/>
      <c r="P165" s="37"/>
    </row>
    <row r="166" spans="14:16" ht="13.5" customHeight="1" x14ac:dyDescent="0.3">
      <c r="N166" s="37"/>
      <c r="O166" s="37"/>
      <c r="P166" s="37"/>
    </row>
    <row r="167" spans="14:16" ht="13.5" customHeight="1" x14ac:dyDescent="0.3">
      <c r="N167" s="37"/>
      <c r="O167" s="37"/>
      <c r="P167" s="37"/>
    </row>
    <row r="168" spans="14:16" ht="13.5" customHeight="1" x14ac:dyDescent="0.3">
      <c r="N168" s="37"/>
      <c r="O168" s="37"/>
      <c r="P168" s="37"/>
    </row>
    <row r="169" spans="14:16" ht="13.5" customHeight="1" x14ac:dyDescent="0.3">
      <c r="N169" s="37"/>
      <c r="O169" s="37"/>
      <c r="P169" s="37"/>
    </row>
    <row r="170" spans="14:16" ht="13.5" customHeight="1" x14ac:dyDescent="0.3">
      <c r="N170" s="37"/>
      <c r="O170" s="37"/>
      <c r="P170" s="37"/>
    </row>
    <row r="171" spans="14:16" ht="13.5" customHeight="1" x14ac:dyDescent="0.3">
      <c r="N171" s="37"/>
      <c r="O171" s="37"/>
      <c r="P171" s="37"/>
    </row>
    <row r="172" spans="14:16" ht="13.5" customHeight="1" x14ac:dyDescent="0.3">
      <c r="N172" s="37"/>
      <c r="O172" s="37"/>
      <c r="P172" s="37"/>
    </row>
    <row r="173" spans="14:16" ht="13.5" customHeight="1" x14ac:dyDescent="0.3">
      <c r="N173" s="37"/>
      <c r="O173" s="37"/>
      <c r="P173" s="37"/>
    </row>
    <row r="174" spans="14:16" ht="13.5" customHeight="1" x14ac:dyDescent="0.3">
      <c r="N174" s="37"/>
      <c r="O174" s="37"/>
      <c r="P174" s="37"/>
    </row>
    <row r="175" spans="14:16" ht="13.5" customHeight="1" x14ac:dyDescent="0.3">
      <c r="N175" s="37"/>
      <c r="O175" s="37"/>
      <c r="P175" s="37"/>
    </row>
    <row r="176" spans="14:16" ht="13.5" customHeight="1" x14ac:dyDescent="0.3">
      <c r="N176" s="37"/>
      <c r="O176" s="37"/>
      <c r="P176" s="37"/>
    </row>
    <row r="177" spans="14:16" ht="13.5" customHeight="1" x14ac:dyDescent="0.3">
      <c r="N177" s="37"/>
      <c r="O177" s="37"/>
      <c r="P177" s="37"/>
    </row>
    <row r="178" spans="14:16" ht="13.5" customHeight="1" x14ac:dyDescent="0.3">
      <c r="N178" s="37"/>
      <c r="O178" s="37"/>
      <c r="P178" s="37"/>
    </row>
    <row r="179" spans="14:16" ht="13.5" customHeight="1" x14ac:dyDescent="0.3">
      <c r="N179" s="37"/>
      <c r="O179" s="37"/>
      <c r="P179" s="37"/>
    </row>
    <row r="180" spans="14:16" ht="13.5" customHeight="1" x14ac:dyDescent="0.3">
      <c r="N180" s="37"/>
      <c r="O180" s="37"/>
      <c r="P180" s="37"/>
    </row>
    <row r="181" spans="14:16" ht="13.5" customHeight="1" x14ac:dyDescent="0.3">
      <c r="N181" s="37"/>
      <c r="O181" s="37"/>
      <c r="P181" s="37"/>
    </row>
    <row r="182" spans="14:16" ht="13.5" customHeight="1" x14ac:dyDescent="0.3">
      <c r="N182" s="37"/>
      <c r="O182" s="37"/>
      <c r="P182" s="37"/>
    </row>
    <row r="183" spans="14:16" ht="13.5" customHeight="1" x14ac:dyDescent="0.3">
      <c r="N183" s="37"/>
      <c r="O183" s="37"/>
      <c r="P183" s="37"/>
    </row>
    <row r="184" spans="14:16" ht="13.5" customHeight="1" x14ac:dyDescent="0.3">
      <c r="N184" s="37"/>
      <c r="O184" s="37"/>
      <c r="P184" s="37"/>
    </row>
    <row r="185" spans="14:16" ht="13.5" customHeight="1" x14ac:dyDescent="0.3">
      <c r="N185" s="37"/>
      <c r="O185" s="37"/>
      <c r="P185" s="37"/>
    </row>
    <row r="186" spans="14:16" ht="13.5" customHeight="1" x14ac:dyDescent="0.3">
      <c r="N186" s="37"/>
      <c r="O186" s="37"/>
      <c r="P186" s="37"/>
    </row>
    <row r="187" spans="14:16" ht="13.5" customHeight="1" x14ac:dyDescent="0.3">
      <c r="N187" s="37"/>
      <c r="O187" s="37"/>
      <c r="P187" s="37"/>
    </row>
    <row r="188" spans="14:16" ht="13.5" customHeight="1" x14ac:dyDescent="0.3">
      <c r="N188" s="37"/>
      <c r="O188" s="37"/>
      <c r="P188" s="37"/>
    </row>
    <row r="189" spans="14:16" ht="13.5" customHeight="1" x14ac:dyDescent="0.3">
      <c r="N189" s="37"/>
      <c r="O189" s="37"/>
      <c r="P189" s="37"/>
    </row>
    <row r="190" spans="14:16" ht="13.5" customHeight="1" x14ac:dyDescent="0.3">
      <c r="N190" s="37"/>
      <c r="O190" s="37"/>
      <c r="P190" s="37"/>
    </row>
    <row r="191" spans="14:16" ht="13.5" customHeight="1" x14ac:dyDescent="0.3">
      <c r="N191" s="37"/>
      <c r="O191" s="37"/>
      <c r="P191" s="37"/>
    </row>
    <row r="192" spans="14:16" ht="13.5" customHeight="1" x14ac:dyDescent="0.3">
      <c r="N192" s="37"/>
      <c r="O192" s="37"/>
      <c r="P192" s="37"/>
    </row>
    <row r="193" spans="14:16" ht="13.5" customHeight="1" x14ac:dyDescent="0.3">
      <c r="N193" s="37"/>
      <c r="O193" s="37"/>
      <c r="P193" s="37"/>
    </row>
    <row r="194" spans="14:16" ht="13.5" customHeight="1" x14ac:dyDescent="0.3">
      <c r="N194" s="37"/>
      <c r="O194" s="37"/>
      <c r="P194" s="37"/>
    </row>
    <row r="195" spans="14:16" ht="13.5" customHeight="1" x14ac:dyDescent="0.3">
      <c r="N195" s="37"/>
      <c r="O195" s="37"/>
      <c r="P195" s="37"/>
    </row>
    <row r="196" spans="14:16" ht="13.5" customHeight="1" x14ac:dyDescent="0.3">
      <c r="N196" s="37"/>
      <c r="O196" s="37"/>
      <c r="P196" s="37"/>
    </row>
    <row r="197" spans="14:16" ht="13.5" customHeight="1" x14ac:dyDescent="0.3">
      <c r="N197" s="37"/>
      <c r="O197" s="37"/>
      <c r="P197" s="37"/>
    </row>
    <row r="198" spans="14:16" ht="13.5" customHeight="1" x14ac:dyDescent="0.3">
      <c r="N198" s="37"/>
      <c r="O198" s="37"/>
      <c r="P198" s="37"/>
    </row>
    <row r="199" spans="14:16" ht="13.5" customHeight="1" x14ac:dyDescent="0.3">
      <c r="N199" s="37"/>
      <c r="O199" s="37"/>
      <c r="P199" s="37"/>
    </row>
    <row r="200" spans="14:16" ht="13.5" customHeight="1" x14ac:dyDescent="0.3">
      <c r="N200" s="37"/>
      <c r="O200" s="37"/>
      <c r="P200" s="37"/>
    </row>
    <row r="201" spans="14:16" ht="13.5" customHeight="1" x14ac:dyDescent="0.3">
      <c r="N201" s="37"/>
      <c r="O201" s="37"/>
      <c r="P201" s="37"/>
    </row>
    <row r="202" spans="14:16" ht="13.5" customHeight="1" x14ac:dyDescent="0.3">
      <c r="N202" s="37"/>
      <c r="O202" s="37"/>
      <c r="P202" s="37"/>
    </row>
    <row r="203" spans="14:16" ht="13.5" customHeight="1" x14ac:dyDescent="0.3">
      <c r="N203" s="37"/>
      <c r="O203" s="37"/>
      <c r="P203" s="37"/>
    </row>
    <row r="204" spans="14:16" ht="13.5" customHeight="1" x14ac:dyDescent="0.3">
      <c r="N204" s="37"/>
      <c r="O204" s="37"/>
      <c r="P204" s="37"/>
    </row>
    <row r="205" spans="14:16" ht="13.5" customHeight="1" x14ac:dyDescent="0.3">
      <c r="N205" s="37"/>
      <c r="O205" s="37"/>
      <c r="P205" s="37"/>
    </row>
    <row r="206" spans="14:16" ht="13.5" customHeight="1" x14ac:dyDescent="0.3">
      <c r="N206" s="37"/>
      <c r="O206" s="37"/>
      <c r="P206" s="37"/>
    </row>
    <row r="207" spans="14:16" ht="13.5" customHeight="1" x14ac:dyDescent="0.3">
      <c r="N207" s="37"/>
      <c r="O207" s="37"/>
      <c r="P207" s="37"/>
    </row>
    <row r="208" spans="14:16" ht="13.5" customHeight="1" x14ac:dyDescent="0.3">
      <c r="N208" s="37"/>
      <c r="O208" s="37"/>
      <c r="P208" s="37"/>
    </row>
    <row r="209" spans="14:16" ht="13.5" customHeight="1" x14ac:dyDescent="0.3">
      <c r="N209" s="37"/>
      <c r="O209" s="37"/>
      <c r="P209" s="37"/>
    </row>
    <row r="210" spans="14:16" ht="13.5" customHeight="1" x14ac:dyDescent="0.3">
      <c r="N210" s="37"/>
      <c r="O210" s="37"/>
      <c r="P210" s="37"/>
    </row>
    <row r="211" spans="14:16" ht="13.5" customHeight="1" x14ac:dyDescent="0.3">
      <c r="N211" s="37"/>
      <c r="O211" s="37"/>
      <c r="P211" s="37"/>
    </row>
    <row r="212" spans="14:16" ht="13.5" customHeight="1" x14ac:dyDescent="0.3">
      <c r="N212" s="37"/>
      <c r="O212" s="37"/>
      <c r="P212" s="37"/>
    </row>
    <row r="213" spans="14:16" ht="13.5" customHeight="1" x14ac:dyDescent="0.3">
      <c r="N213" s="37"/>
      <c r="O213" s="37"/>
      <c r="P213" s="37"/>
    </row>
    <row r="214" spans="14:16" ht="13.5" customHeight="1" x14ac:dyDescent="0.3">
      <c r="N214" s="37"/>
      <c r="O214" s="37"/>
      <c r="P214" s="37"/>
    </row>
    <row r="215" spans="14:16" ht="13.5" customHeight="1" x14ac:dyDescent="0.3">
      <c r="N215" s="37"/>
      <c r="O215" s="37"/>
      <c r="P215" s="37"/>
    </row>
    <row r="216" spans="14:16" ht="13.5" customHeight="1" x14ac:dyDescent="0.3">
      <c r="N216" s="37"/>
      <c r="O216" s="37"/>
      <c r="P216" s="37"/>
    </row>
    <row r="217" spans="14:16" ht="13.5" customHeight="1" x14ac:dyDescent="0.3">
      <c r="N217" s="37"/>
      <c r="O217" s="37"/>
      <c r="P217" s="37"/>
    </row>
    <row r="218" spans="14:16" ht="13.5" customHeight="1" x14ac:dyDescent="0.3">
      <c r="N218" s="37"/>
      <c r="O218" s="37"/>
      <c r="P218" s="37"/>
    </row>
    <row r="219" spans="14:16" ht="13.5" customHeight="1" x14ac:dyDescent="0.3">
      <c r="N219" s="37"/>
      <c r="O219" s="37"/>
      <c r="P219" s="37"/>
    </row>
    <row r="220" spans="14:16" ht="13.5" customHeight="1" x14ac:dyDescent="0.3">
      <c r="N220" s="37"/>
      <c r="O220" s="37"/>
      <c r="P220" s="37"/>
    </row>
    <row r="221" spans="14:16" ht="13.5" customHeight="1" x14ac:dyDescent="0.3">
      <c r="N221" s="37"/>
      <c r="O221" s="37"/>
      <c r="P221" s="37"/>
    </row>
    <row r="222" spans="14:16" ht="13.5" customHeight="1" x14ac:dyDescent="0.3">
      <c r="N222" s="37"/>
      <c r="O222" s="37"/>
      <c r="P222" s="37"/>
    </row>
    <row r="223" spans="14:16" ht="13.5" customHeight="1" x14ac:dyDescent="0.3">
      <c r="N223" s="37"/>
      <c r="O223" s="37"/>
      <c r="P223" s="37"/>
    </row>
    <row r="224" spans="14:16" ht="13.5" customHeight="1" x14ac:dyDescent="0.3">
      <c r="N224" s="37"/>
      <c r="O224" s="37"/>
      <c r="P224" s="37"/>
    </row>
    <row r="225" spans="14:16" ht="13.5" customHeight="1" x14ac:dyDescent="0.3">
      <c r="N225" s="37"/>
      <c r="O225" s="37"/>
      <c r="P225" s="37"/>
    </row>
    <row r="226" spans="14:16" ht="13.5" customHeight="1" x14ac:dyDescent="0.3">
      <c r="N226" s="37"/>
      <c r="O226" s="37"/>
      <c r="P226" s="37"/>
    </row>
    <row r="227" spans="14:16" ht="13.5" customHeight="1" x14ac:dyDescent="0.3">
      <c r="N227" s="37"/>
      <c r="O227" s="37"/>
      <c r="P227" s="37"/>
    </row>
    <row r="228" spans="14:16" ht="13.5" customHeight="1" x14ac:dyDescent="0.3">
      <c r="N228" s="37"/>
      <c r="O228" s="37"/>
      <c r="P228" s="37"/>
    </row>
    <row r="229" spans="14:16" ht="13.5" customHeight="1" x14ac:dyDescent="0.3">
      <c r="N229" s="37"/>
      <c r="O229" s="37"/>
      <c r="P229" s="37"/>
    </row>
    <row r="230" spans="14:16" ht="13.5" customHeight="1" x14ac:dyDescent="0.3">
      <c r="N230" s="37"/>
      <c r="O230" s="37"/>
      <c r="P230" s="37"/>
    </row>
    <row r="231" spans="14:16" ht="13.5" customHeight="1" x14ac:dyDescent="0.3">
      <c r="N231" s="37"/>
      <c r="O231" s="37"/>
      <c r="P231" s="37"/>
    </row>
    <row r="232" spans="14:16" ht="13.5" customHeight="1" x14ac:dyDescent="0.3">
      <c r="N232" s="37"/>
      <c r="O232" s="37"/>
      <c r="P232" s="37"/>
    </row>
    <row r="233" spans="14:16" ht="13.5" customHeight="1" x14ac:dyDescent="0.3">
      <c r="N233" s="37"/>
      <c r="O233" s="37"/>
      <c r="P233" s="37"/>
    </row>
    <row r="234" spans="14:16" ht="13.5" customHeight="1" x14ac:dyDescent="0.3">
      <c r="N234" s="37"/>
      <c r="O234" s="37"/>
      <c r="P234" s="37"/>
    </row>
    <row r="235" spans="14:16" ht="13.5" customHeight="1" x14ac:dyDescent="0.3">
      <c r="N235" s="37"/>
      <c r="O235" s="37"/>
      <c r="P235" s="37"/>
    </row>
    <row r="236" spans="14:16" ht="13.5" customHeight="1" x14ac:dyDescent="0.3">
      <c r="N236" s="37"/>
      <c r="O236" s="37"/>
      <c r="P236" s="37"/>
    </row>
    <row r="237" spans="14:16" ht="13.5" customHeight="1" x14ac:dyDescent="0.3">
      <c r="N237" s="37"/>
      <c r="O237" s="37"/>
      <c r="P237" s="37"/>
    </row>
    <row r="238" spans="14:16" ht="13.5" customHeight="1" x14ac:dyDescent="0.3">
      <c r="N238" s="37"/>
      <c r="O238" s="37"/>
      <c r="P238" s="37"/>
    </row>
    <row r="239" spans="14:16" ht="13.5" customHeight="1" x14ac:dyDescent="0.3">
      <c r="N239" s="37"/>
      <c r="O239" s="37"/>
      <c r="P239" s="37"/>
    </row>
    <row r="240" spans="14:16" ht="13.5" customHeight="1" x14ac:dyDescent="0.3">
      <c r="N240" s="37"/>
      <c r="O240" s="37"/>
      <c r="P240" s="37"/>
    </row>
    <row r="241" spans="14:16" ht="13.5" customHeight="1" x14ac:dyDescent="0.3">
      <c r="N241" s="37"/>
      <c r="O241" s="37"/>
      <c r="P241" s="37"/>
    </row>
    <row r="242" spans="14:16" ht="13.5" customHeight="1" x14ac:dyDescent="0.3">
      <c r="N242" s="37"/>
      <c r="O242" s="37"/>
      <c r="P242" s="37"/>
    </row>
    <row r="243" spans="14:16" ht="13.5" customHeight="1" x14ac:dyDescent="0.3">
      <c r="N243" s="37"/>
      <c r="O243" s="37"/>
      <c r="P243" s="37"/>
    </row>
    <row r="244" spans="14:16" ht="13.5" customHeight="1" x14ac:dyDescent="0.3">
      <c r="N244" s="37"/>
      <c r="O244" s="37"/>
      <c r="P244" s="37"/>
    </row>
    <row r="245" spans="14:16" ht="13.5" customHeight="1" x14ac:dyDescent="0.3">
      <c r="N245" s="37"/>
      <c r="O245" s="37"/>
      <c r="P245" s="37"/>
    </row>
    <row r="246" spans="14:16" ht="13.5" customHeight="1" x14ac:dyDescent="0.3">
      <c r="N246" s="37"/>
      <c r="O246" s="37"/>
      <c r="P246" s="37"/>
    </row>
    <row r="247" spans="14:16" ht="13.5" customHeight="1" x14ac:dyDescent="0.3">
      <c r="N247" s="37"/>
      <c r="O247" s="37"/>
      <c r="P247" s="37"/>
    </row>
    <row r="248" spans="14:16" ht="13.5" customHeight="1" x14ac:dyDescent="0.3">
      <c r="N248" s="37"/>
      <c r="O248" s="37"/>
      <c r="P248" s="37"/>
    </row>
    <row r="249" spans="14:16" ht="13.5" customHeight="1" x14ac:dyDescent="0.3">
      <c r="N249" s="37"/>
      <c r="O249" s="37"/>
      <c r="P249" s="37"/>
    </row>
    <row r="250" spans="14:16" ht="13.5" customHeight="1" x14ac:dyDescent="0.3">
      <c r="N250" s="37"/>
      <c r="O250" s="37"/>
      <c r="P250" s="37"/>
    </row>
    <row r="251" spans="14:16" ht="13.5" customHeight="1" x14ac:dyDescent="0.3">
      <c r="N251" s="37"/>
      <c r="O251" s="37"/>
      <c r="P251" s="37"/>
    </row>
    <row r="252" spans="14:16" ht="13.5" customHeight="1" x14ac:dyDescent="0.3">
      <c r="N252" s="37"/>
      <c r="O252" s="37"/>
      <c r="P252" s="37"/>
    </row>
    <row r="253" spans="14:16" ht="13.5" customHeight="1" x14ac:dyDescent="0.3">
      <c r="N253" s="37"/>
      <c r="O253" s="37"/>
      <c r="P253" s="37"/>
    </row>
    <row r="254" spans="14:16" ht="13.5" customHeight="1" x14ac:dyDescent="0.3">
      <c r="N254" s="37"/>
      <c r="O254" s="37"/>
      <c r="P254" s="37"/>
    </row>
    <row r="255" spans="14:16" ht="13.5" customHeight="1" x14ac:dyDescent="0.3">
      <c r="N255" s="37"/>
      <c r="O255" s="37"/>
      <c r="P255" s="37"/>
    </row>
    <row r="256" spans="14:16" ht="13.5" customHeight="1" x14ac:dyDescent="0.3">
      <c r="N256" s="37"/>
      <c r="O256" s="37"/>
      <c r="P256" s="37"/>
    </row>
    <row r="257" spans="14:16" ht="13.5" customHeight="1" x14ac:dyDescent="0.3">
      <c r="N257" s="37"/>
      <c r="O257" s="37"/>
      <c r="P257" s="37"/>
    </row>
    <row r="258" spans="14:16" ht="13.5" customHeight="1" x14ac:dyDescent="0.3">
      <c r="N258" s="37"/>
      <c r="O258" s="37"/>
      <c r="P258" s="37"/>
    </row>
    <row r="259" spans="14:16" ht="13.5" customHeight="1" x14ac:dyDescent="0.3">
      <c r="N259" s="37"/>
      <c r="O259" s="37"/>
      <c r="P259" s="37"/>
    </row>
    <row r="260" spans="14:16" ht="13.5" customHeight="1" x14ac:dyDescent="0.3">
      <c r="N260" s="37"/>
      <c r="O260" s="37"/>
      <c r="P260" s="37"/>
    </row>
    <row r="261" spans="14:16" ht="13.5" customHeight="1" x14ac:dyDescent="0.3">
      <c r="N261" s="37"/>
      <c r="O261" s="37"/>
      <c r="P261" s="37"/>
    </row>
    <row r="262" spans="14:16" ht="13.5" customHeight="1" x14ac:dyDescent="0.3">
      <c r="N262" s="37"/>
      <c r="O262" s="37"/>
      <c r="P262" s="37"/>
    </row>
    <row r="263" spans="14:16" ht="13.5" customHeight="1" x14ac:dyDescent="0.3">
      <c r="N263" s="37"/>
      <c r="O263" s="37"/>
      <c r="P263" s="37"/>
    </row>
    <row r="264" spans="14:16" ht="13.5" customHeight="1" x14ac:dyDescent="0.3">
      <c r="N264" s="37"/>
      <c r="O264" s="37"/>
      <c r="P264" s="37"/>
    </row>
    <row r="265" spans="14:16" ht="13.5" customHeight="1" x14ac:dyDescent="0.3">
      <c r="N265" s="37"/>
      <c r="O265" s="37"/>
      <c r="P265" s="37"/>
    </row>
    <row r="266" spans="14:16" ht="13.5" customHeight="1" x14ac:dyDescent="0.3">
      <c r="N266" s="37"/>
      <c r="O266" s="37"/>
      <c r="P266" s="37"/>
    </row>
    <row r="267" spans="14:16" ht="13.5" customHeight="1" x14ac:dyDescent="0.3">
      <c r="N267" s="37"/>
      <c r="O267" s="37"/>
      <c r="P267" s="37"/>
    </row>
    <row r="268" spans="14:16" ht="13.5" customHeight="1" x14ac:dyDescent="0.3">
      <c r="N268" s="37"/>
      <c r="O268" s="37"/>
      <c r="P268" s="37"/>
    </row>
    <row r="269" spans="14:16" ht="13.5" customHeight="1" x14ac:dyDescent="0.3">
      <c r="N269" s="37"/>
      <c r="O269" s="37"/>
      <c r="P269" s="37"/>
    </row>
    <row r="270" spans="14:16" ht="13.5" customHeight="1" x14ac:dyDescent="0.3">
      <c r="N270" s="37"/>
      <c r="O270" s="37"/>
      <c r="P270" s="37"/>
    </row>
    <row r="271" spans="14:16" ht="13.5" customHeight="1" x14ac:dyDescent="0.3">
      <c r="N271" s="37"/>
      <c r="O271" s="37"/>
      <c r="P271" s="37"/>
    </row>
    <row r="272" spans="14:16" ht="13.5" customHeight="1" x14ac:dyDescent="0.3">
      <c r="N272" s="37"/>
      <c r="O272" s="37"/>
      <c r="P272" s="37"/>
    </row>
    <row r="273" spans="14:16" ht="13.5" customHeight="1" x14ac:dyDescent="0.3">
      <c r="N273" s="37"/>
      <c r="O273" s="37"/>
      <c r="P273" s="37"/>
    </row>
    <row r="274" spans="14:16" ht="13.5" customHeight="1" x14ac:dyDescent="0.3">
      <c r="N274" s="37"/>
      <c r="O274" s="37"/>
      <c r="P274" s="37"/>
    </row>
    <row r="275" spans="14:16" ht="13.5" customHeight="1" x14ac:dyDescent="0.3">
      <c r="N275" s="37"/>
      <c r="O275" s="37"/>
      <c r="P275" s="37"/>
    </row>
    <row r="276" spans="14:16" ht="13.5" customHeight="1" x14ac:dyDescent="0.3">
      <c r="N276" s="37"/>
      <c r="O276" s="37"/>
      <c r="P276" s="37"/>
    </row>
    <row r="277" spans="14:16" ht="13.5" customHeight="1" x14ac:dyDescent="0.3">
      <c r="N277" s="37"/>
      <c r="O277" s="37"/>
      <c r="P277" s="37"/>
    </row>
    <row r="278" spans="14:16" ht="13.5" customHeight="1" x14ac:dyDescent="0.3">
      <c r="N278" s="37"/>
      <c r="O278" s="37"/>
      <c r="P278" s="37"/>
    </row>
    <row r="279" spans="14:16" ht="13.5" customHeight="1" x14ac:dyDescent="0.3">
      <c r="N279" s="37"/>
      <c r="O279" s="37"/>
      <c r="P279" s="37"/>
    </row>
    <row r="280" spans="14:16" ht="13.5" customHeight="1" x14ac:dyDescent="0.3">
      <c r="N280" s="37"/>
      <c r="O280" s="37"/>
      <c r="P280" s="37"/>
    </row>
    <row r="281" spans="14:16" ht="13.5" customHeight="1" x14ac:dyDescent="0.3">
      <c r="N281" s="37"/>
      <c r="O281" s="37"/>
      <c r="P281" s="37"/>
    </row>
    <row r="282" spans="14:16" ht="13.5" customHeight="1" x14ac:dyDescent="0.3">
      <c r="N282" s="37"/>
      <c r="O282" s="37"/>
      <c r="P282" s="37"/>
    </row>
    <row r="283" spans="14:16" ht="13.5" customHeight="1" x14ac:dyDescent="0.3">
      <c r="N283" s="37"/>
      <c r="O283" s="37"/>
      <c r="P283" s="37"/>
    </row>
    <row r="284" spans="14:16" ht="13.5" customHeight="1" x14ac:dyDescent="0.3">
      <c r="N284" s="37"/>
      <c r="O284" s="37"/>
      <c r="P284" s="37"/>
    </row>
    <row r="285" spans="14:16" ht="13.5" customHeight="1" x14ac:dyDescent="0.3">
      <c r="N285" s="37"/>
      <c r="O285" s="37"/>
      <c r="P285" s="37"/>
    </row>
    <row r="286" spans="14:16" ht="13.5" customHeight="1" x14ac:dyDescent="0.3">
      <c r="N286" s="37"/>
      <c r="O286" s="37"/>
      <c r="P286" s="37"/>
    </row>
    <row r="287" spans="14:16" ht="13.5" customHeight="1" x14ac:dyDescent="0.3">
      <c r="N287" s="37"/>
      <c r="O287" s="37"/>
      <c r="P287" s="37"/>
    </row>
    <row r="288" spans="14:16" ht="13.5" customHeight="1" x14ac:dyDescent="0.3">
      <c r="N288" s="37"/>
      <c r="O288" s="37"/>
      <c r="P288" s="37"/>
    </row>
    <row r="289" spans="14:16" ht="13.5" customHeight="1" x14ac:dyDescent="0.3">
      <c r="N289" s="37"/>
      <c r="O289" s="37"/>
      <c r="P289" s="37"/>
    </row>
    <row r="290" spans="14:16" ht="13.5" customHeight="1" x14ac:dyDescent="0.3">
      <c r="N290" s="37"/>
      <c r="O290" s="37"/>
      <c r="P290" s="37"/>
    </row>
    <row r="291" spans="14:16" ht="13.5" customHeight="1" x14ac:dyDescent="0.3">
      <c r="N291" s="37"/>
      <c r="O291" s="37"/>
      <c r="P291" s="37"/>
    </row>
    <row r="292" spans="14:16" ht="13.5" customHeight="1" x14ac:dyDescent="0.3">
      <c r="N292" s="37"/>
      <c r="O292" s="37"/>
      <c r="P292" s="37"/>
    </row>
    <row r="293" spans="14:16" ht="13.5" customHeight="1" x14ac:dyDescent="0.3">
      <c r="N293" s="37"/>
      <c r="O293" s="37"/>
      <c r="P293" s="37"/>
    </row>
    <row r="294" spans="14:16" ht="13.5" customHeight="1" x14ac:dyDescent="0.3">
      <c r="N294" s="37"/>
      <c r="O294" s="37"/>
      <c r="P294" s="37"/>
    </row>
    <row r="295" spans="14:16" ht="13.5" customHeight="1" x14ac:dyDescent="0.3">
      <c r="N295" s="37"/>
      <c r="O295" s="37"/>
      <c r="P295" s="37"/>
    </row>
    <row r="296" spans="14:16" ht="13.5" customHeight="1" x14ac:dyDescent="0.3">
      <c r="N296" s="37"/>
      <c r="O296" s="37"/>
      <c r="P296" s="37"/>
    </row>
    <row r="297" spans="14:16" ht="13.5" customHeight="1" x14ac:dyDescent="0.3">
      <c r="N297" s="37"/>
      <c r="O297" s="37"/>
      <c r="P297" s="37"/>
    </row>
    <row r="298" spans="14:16" ht="13.5" customHeight="1" x14ac:dyDescent="0.3">
      <c r="N298" s="37"/>
      <c r="O298" s="37"/>
      <c r="P298" s="37"/>
    </row>
    <row r="299" spans="14:16" ht="13.5" customHeight="1" x14ac:dyDescent="0.3">
      <c r="N299" s="37"/>
      <c r="O299" s="37"/>
      <c r="P299" s="37"/>
    </row>
    <row r="300" spans="14:16" ht="13.5" customHeight="1" x14ac:dyDescent="0.3">
      <c r="N300" s="37"/>
      <c r="O300" s="37"/>
      <c r="P300" s="37"/>
    </row>
    <row r="301" spans="14:16" ht="13.5" customHeight="1" x14ac:dyDescent="0.3">
      <c r="N301" s="37"/>
      <c r="O301" s="37"/>
      <c r="P301" s="37"/>
    </row>
    <row r="302" spans="14:16" ht="13.5" customHeight="1" x14ac:dyDescent="0.3">
      <c r="N302" s="37"/>
      <c r="O302" s="37"/>
      <c r="P302" s="37"/>
    </row>
    <row r="303" spans="14:16" ht="13.5" customHeight="1" x14ac:dyDescent="0.3">
      <c r="N303" s="37"/>
      <c r="O303" s="37"/>
      <c r="P303" s="37"/>
    </row>
    <row r="304" spans="14:16" ht="13.5" customHeight="1" x14ac:dyDescent="0.3">
      <c r="N304" s="37"/>
      <c r="O304" s="37"/>
      <c r="P304" s="37"/>
    </row>
    <row r="305" spans="14:16" ht="13.5" customHeight="1" x14ac:dyDescent="0.3">
      <c r="N305" s="37"/>
      <c r="O305" s="37"/>
      <c r="P305" s="37"/>
    </row>
    <row r="306" spans="14:16" ht="13.5" customHeight="1" x14ac:dyDescent="0.3">
      <c r="N306" s="37"/>
      <c r="O306" s="37"/>
      <c r="P306" s="37"/>
    </row>
    <row r="307" spans="14:16" ht="13.5" customHeight="1" x14ac:dyDescent="0.3">
      <c r="N307" s="37"/>
      <c r="O307" s="37"/>
      <c r="P307" s="37"/>
    </row>
    <row r="308" spans="14:16" ht="13.5" customHeight="1" x14ac:dyDescent="0.3">
      <c r="N308" s="37"/>
      <c r="O308" s="37"/>
      <c r="P308" s="37"/>
    </row>
    <row r="309" spans="14:16" ht="13.5" customHeight="1" x14ac:dyDescent="0.3">
      <c r="N309" s="37"/>
      <c r="O309" s="37"/>
      <c r="P309" s="37"/>
    </row>
    <row r="310" spans="14:16" ht="13.5" customHeight="1" x14ac:dyDescent="0.3">
      <c r="N310" s="37"/>
      <c r="O310" s="37"/>
      <c r="P310" s="37"/>
    </row>
    <row r="311" spans="14:16" ht="13.5" customHeight="1" x14ac:dyDescent="0.3">
      <c r="N311" s="37"/>
      <c r="O311" s="37"/>
      <c r="P311" s="37"/>
    </row>
    <row r="312" spans="14:16" ht="13.5" customHeight="1" x14ac:dyDescent="0.3">
      <c r="N312" s="37"/>
      <c r="O312" s="37"/>
      <c r="P312" s="37"/>
    </row>
    <row r="313" spans="14:16" ht="13.5" customHeight="1" x14ac:dyDescent="0.3">
      <c r="N313" s="37"/>
      <c r="O313" s="37"/>
      <c r="P313" s="37"/>
    </row>
    <row r="314" spans="14:16" ht="13.5" customHeight="1" x14ac:dyDescent="0.3">
      <c r="N314" s="37"/>
      <c r="O314" s="37"/>
      <c r="P314" s="37"/>
    </row>
    <row r="315" spans="14:16" ht="13.5" customHeight="1" x14ac:dyDescent="0.3">
      <c r="N315" s="37"/>
      <c r="O315" s="37"/>
      <c r="P315" s="37"/>
    </row>
    <row r="316" spans="14:16" ht="13.5" customHeight="1" x14ac:dyDescent="0.3">
      <c r="N316" s="37"/>
      <c r="O316" s="37"/>
      <c r="P316" s="37"/>
    </row>
    <row r="317" spans="14:16" ht="13.5" customHeight="1" x14ac:dyDescent="0.3">
      <c r="N317" s="37"/>
      <c r="O317" s="37"/>
      <c r="P317" s="37"/>
    </row>
    <row r="318" spans="14:16" ht="13.5" customHeight="1" x14ac:dyDescent="0.3">
      <c r="N318" s="37"/>
      <c r="O318" s="37"/>
      <c r="P318" s="37"/>
    </row>
    <row r="319" spans="14:16" ht="13.5" customHeight="1" x14ac:dyDescent="0.3">
      <c r="N319" s="37"/>
      <c r="O319" s="37"/>
      <c r="P319" s="37"/>
    </row>
    <row r="320" spans="14:16" ht="13.5" customHeight="1" x14ac:dyDescent="0.3">
      <c r="N320" s="37"/>
      <c r="O320" s="37"/>
      <c r="P320" s="37"/>
    </row>
    <row r="321" spans="14:16" ht="13.5" customHeight="1" x14ac:dyDescent="0.3">
      <c r="N321" s="37"/>
      <c r="O321" s="37"/>
      <c r="P321" s="37"/>
    </row>
    <row r="322" spans="14:16" ht="13.5" customHeight="1" x14ac:dyDescent="0.3">
      <c r="N322" s="37"/>
      <c r="O322" s="37"/>
      <c r="P322" s="37"/>
    </row>
    <row r="323" spans="14:16" ht="13.5" customHeight="1" x14ac:dyDescent="0.3">
      <c r="N323" s="37"/>
      <c r="O323" s="37"/>
      <c r="P323" s="37"/>
    </row>
    <row r="324" spans="14:16" ht="13.5" customHeight="1" x14ac:dyDescent="0.3">
      <c r="N324" s="37"/>
      <c r="O324" s="37"/>
      <c r="P324" s="37"/>
    </row>
    <row r="325" spans="14:16" ht="13.5" customHeight="1" x14ac:dyDescent="0.3">
      <c r="N325" s="37"/>
      <c r="O325" s="37"/>
      <c r="P325" s="37"/>
    </row>
    <row r="326" spans="14:16" ht="13.5" customHeight="1" x14ac:dyDescent="0.3">
      <c r="N326" s="37"/>
      <c r="O326" s="37"/>
      <c r="P326" s="37"/>
    </row>
    <row r="327" spans="14:16" ht="13.5" customHeight="1" x14ac:dyDescent="0.3">
      <c r="N327" s="37"/>
      <c r="O327" s="37"/>
      <c r="P327" s="37"/>
    </row>
    <row r="328" spans="14:16" ht="13.5" customHeight="1" x14ac:dyDescent="0.3">
      <c r="N328" s="37"/>
      <c r="O328" s="37"/>
      <c r="P328" s="37"/>
    </row>
    <row r="329" spans="14:16" ht="13.5" customHeight="1" x14ac:dyDescent="0.3">
      <c r="N329" s="37"/>
      <c r="O329" s="37"/>
      <c r="P329" s="37"/>
    </row>
    <row r="330" spans="14:16" ht="13.5" customHeight="1" x14ac:dyDescent="0.3">
      <c r="N330" s="37"/>
      <c r="O330" s="37"/>
      <c r="P330" s="37"/>
    </row>
    <row r="331" spans="14:16" ht="13.5" customHeight="1" x14ac:dyDescent="0.3">
      <c r="N331" s="37"/>
      <c r="O331" s="37"/>
      <c r="P331" s="37"/>
    </row>
    <row r="332" spans="14:16" ht="13.5" customHeight="1" x14ac:dyDescent="0.3">
      <c r="N332" s="37"/>
      <c r="O332" s="37"/>
      <c r="P332" s="37"/>
    </row>
    <row r="333" spans="14:16" ht="13.5" customHeight="1" x14ac:dyDescent="0.3">
      <c r="N333" s="37"/>
      <c r="O333" s="37"/>
      <c r="P333" s="37"/>
    </row>
    <row r="334" spans="14:16" ht="13.5" customHeight="1" x14ac:dyDescent="0.3">
      <c r="N334" s="37"/>
      <c r="O334" s="37"/>
      <c r="P334" s="37"/>
    </row>
    <row r="335" spans="14:16" ht="13.5" customHeight="1" x14ac:dyDescent="0.3">
      <c r="N335" s="37"/>
      <c r="O335" s="37"/>
      <c r="P335" s="37"/>
    </row>
    <row r="336" spans="14:16" ht="13.5" customHeight="1" x14ac:dyDescent="0.3">
      <c r="N336" s="37"/>
      <c r="O336" s="37"/>
      <c r="P336" s="37"/>
    </row>
    <row r="337" spans="14:16" ht="13.5" customHeight="1" x14ac:dyDescent="0.3">
      <c r="N337" s="37"/>
      <c r="O337" s="37"/>
      <c r="P337" s="37"/>
    </row>
    <row r="338" spans="14:16" ht="13.5" customHeight="1" x14ac:dyDescent="0.3">
      <c r="N338" s="37"/>
      <c r="O338" s="37"/>
      <c r="P338" s="37"/>
    </row>
    <row r="339" spans="14:16" ht="13.5" customHeight="1" x14ac:dyDescent="0.3">
      <c r="N339" s="37"/>
      <c r="O339" s="37"/>
      <c r="P339" s="37"/>
    </row>
    <row r="340" spans="14:16" ht="13.5" customHeight="1" x14ac:dyDescent="0.3">
      <c r="N340" s="37"/>
      <c r="O340" s="37"/>
      <c r="P340" s="37"/>
    </row>
    <row r="341" spans="14:16" ht="13.5" customHeight="1" x14ac:dyDescent="0.3">
      <c r="N341" s="37"/>
      <c r="O341" s="37"/>
      <c r="P341" s="37"/>
    </row>
    <row r="342" spans="14:16" ht="13.5" customHeight="1" x14ac:dyDescent="0.3">
      <c r="N342" s="37"/>
      <c r="O342" s="37"/>
      <c r="P342" s="37"/>
    </row>
    <row r="343" spans="14:16" ht="13.5" customHeight="1" x14ac:dyDescent="0.3">
      <c r="N343" s="37"/>
      <c r="O343" s="37"/>
      <c r="P343" s="37"/>
    </row>
    <row r="344" spans="14:16" ht="13.5" customHeight="1" x14ac:dyDescent="0.3">
      <c r="N344" s="37"/>
      <c r="O344" s="37"/>
      <c r="P344" s="37"/>
    </row>
    <row r="345" spans="14:16" ht="13.5" customHeight="1" x14ac:dyDescent="0.3">
      <c r="N345" s="37"/>
      <c r="O345" s="37"/>
      <c r="P345" s="37"/>
    </row>
    <row r="346" spans="14:16" ht="13.5" customHeight="1" x14ac:dyDescent="0.3">
      <c r="N346" s="37"/>
      <c r="O346" s="37"/>
      <c r="P346" s="37"/>
    </row>
    <row r="347" spans="14:16" ht="13.5" customHeight="1" x14ac:dyDescent="0.3">
      <c r="N347" s="37"/>
      <c r="O347" s="37"/>
      <c r="P347" s="37"/>
    </row>
    <row r="348" spans="14:16" ht="13.5" customHeight="1" x14ac:dyDescent="0.3">
      <c r="N348" s="37"/>
      <c r="O348" s="37"/>
      <c r="P348" s="37"/>
    </row>
    <row r="349" spans="14:16" ht="13.5" customHeight="1" x14ac:dyDescent="0.3">
      <c r="N349" s="37"/>
      <c r="O349" s="37"/>
      <c r="P349" s="37"/>
    </row>
    <row r="350" spans="14:16" ht="13.5" customHeight="1" x14ac:dyDescent="0.3">
      <c r="N350" s="37"/>
      <c r="O350" s="37"/>
      <c r="P350" s="37"/>
    </row>
    <row r="351" spans="14:16" ht="13.5" customHeight="1" x14ac:dyDescent="0.3">
      <c r="N351" s="37"/>
      <c r="O351" s="37"/>
      <c r="P351" s="37"/>
    </row>
    <row r="352" spans="14:16" ht="13.5" customHeight="1" x14ac:dyDescent="0.3">
      <c r="N352" s="37"/>
      <c r="O352" s="37"/>
      <c r="P352" s="37"/>
    </row>
    <row r="353" spans="14:16" ht="13.5" customHeight="1" x14ac:dyDescent="0.3">
      <c r="N353" s="37"/>
      <c r="O353" s="37"/>
      <c r="P353" s="37"/>
    </row>
    <row r="354" spans="14:16" ht="13.5" customHeight="1" x14ac:dyDescent="0.3">
      <c r="N354" s="37"/>
      <c r="O354" s="37"/>
      <c r="P354" s="37"/>
    </row>
    <row r="355" spans="14:16" ht="13.5" customHeight="1" x14ac:dyDescent="0.3">
      <c r="N355" s="37"/>
      <c r="O355" s="37"/>
      <c r="P355" s="37"/>
    </row>
    <row r="356" spans="14:16" ht="13.5" customHeight="1" x14ac:dyDescent="0.3">
      <c r="N356" s="37"/>
      <c r="O356" s="37"/>
      <c r="P356" s="37"/>
    </row>
    <row r="357" spans="14:16" ht="13.5" customHeight="1" x14ac:dyDescent="0.3">
      <c r="N357" s="37"/>
      <c r="O357" s="37"/>
      <c r="P357" s="37"/>
    </row>
    <row r="358" spans="14:16" ht="13.5" customHeight="1" x14ac:dyDescent="0.3">
      <c r="N358" s="37"/>
      <c r="O358" s="37"/>
      <c r="P358" s="37"/>
    </row>
    <row r="359" spans="14:16" ht="13.5" customHeight="1" x14ac:dyDescent="0.3">
      <c r="N359" s="37"/>
      <c r="O359" s="37"/>
      <c r="P359" s="37"/>
    </row>
    <row r="360" spans="14:16" ht="13.5" customHeight="1" x14ac:dyDescent="0.3">
      <c r="N360" s="37"/>
      <c r="O360" s="37"/>
      <c r="P360" s="37"/>
    </row>
    <row r="361" spans="14:16" ht="13.5" customHeight="1" x14ac:dyDescent="0.3">
      <c r="N361" s="37"/>
      <c r="O361" s="37"/>
      <c r="P361" s="37"/>
    </row>
    <row r="362" spans="14:16" ht="13.5" customHeight="1" x14ac:dyDescent="0.3">
      <c r="N362" s="37"/>
      <c r="O362" s="37"/>
      <c r="P362" s="37"/>
    </row>
    <row r="363" spans="14:16" ht="13.5" customHeight="1" x14ac:dyDescent="0.3">
      <c r="N363" s="37"/>
      <c r="O363" s="37"/>
      <c r="P363" s="37"/>
    </row>
    <row r="364" spans="14:16" ht="13.5" customHeight="1" x14ac:dyDescent="0.3">
      <c r="N364" s="37"/>
      <c r="O364" s="37"/>
      <c r="P364" s="37"/>
    </row>
    <row r="365" spans="14:16" ht="13.5" customHeight="1" x14ac:dyDescent="0.3">
      <c r="N365" s="37"/>
      <c r="O365" s="37"/>
      <c r="P365" s="37"/>
    </row>
    <row r="366" spans="14:16" ht="13.5" customHeight="1" x14ac:dyDescent="0.3">
      <c r="N366" s="37"/>
      <c r="O366" s="37"/>
      <c r="P366" s="37"/>
    </row>
    <row r="367" spans="14:16" ht="13.5" customHeight="1" x14ac:dyDescent="0.3">
      <c r="N367" s="37"/>
      <c r="O367" s="37"/>
      <c r="P367" s="37"/>
    </row>
    <row r="368" spans="14:16" ht="13.5" customHeight="1" x14ac:dyDescent="0.3">
      <c r="N368" s="37"/>
      <c r="O368" s="37"/>
      <c r="P368" s="37"/>
    </row>
    <row r="369" spans="14:16" ht="13.5" customHeight="1" x14ac:dyDescent="0.3">
      <c r="N369" s="37"/>
      <c r="O369" s="37"/>
      <c r="P369" s="37"/>
    </row>
    <row r="370" spans="14:16" ht="13.5" customHeight="1" x14ac:dyDescent="0.3">
      <c r="N370" s="37"/>
      <c r="O370" s="37"/>
      <c r="P370" s="37"/>
    </row>
    <row r="371" spans="14:16" ht="13.5" customHeight="1" x14ac:dyDescent="0.3">
      <c r="N371" s="37"/>
      <c r="O371" s="37"/>
      <c r="P371" s="37"/>
    </row>
    <row r="372" spans="14:16" ht="13.5" customHeight="1" x14ac:dyDescent="0.3">
      <c r="N372" s="37"/>
      <c r="O372" s="37"/>
      <c r="P372" s="37"/>
    </row>
    <row r="373" spans="14:16" ht="13.5" customHeight="1" x14ac:dyDescent="0.3">
      <c r="N373" s="37"/>
      <c r="O373" s="37"/>
      <c r="P373" s="37"/>
    </row>
    <row r="374" spans="14:16" ht="13.5" customHeight="1" x14ac:dyDescent="0.3">
      <c r="N374" s="37"/>
      <c r="O374" s="37"/>
      <c r="P374" s="37"/>
    </row>
    <row r="375" spans="14:16" ht="13.5" customHeight="1" x14ac:dyDescent="0.3">
      <c r="N375" s="37"/>
      <c r="O375" s="37"/>
      <c r="P375" s="37"/>
    </row>
    <row r="376" spans="14:16" ht="13.5" customHeight="1" x14ac:dyDescent="0.3">
      <c r="N376" s="37"/>
      <c r="O376" s="37"/>
      <c r="P376" s="37"/>
    </row>
    <row r="377" spans="14:16" ht="13.5" customHeight="1" x14ac:dyDescent="0.3">
      <c r="N377" s="37"/>
      <c r="O377" s="37"/>
      <c r="P377" s="37"/>
    </row>
    <row r="378" spans="14:16" ht="13.5" customHeight="1" x14ac:dyDescent="0.3">
      <c r="N378" s="37"/>
      <c r="O378" s="37"/>
      <c r="P378" s="37"/>
    </row>
    <row r="379" spans="14:16" ht="13.5" customHeight="1" x14ac:dyDescent="0.3">
      <c r="N379" s="37"/>
      <c r="O379" s="37"/>
      <c r="P379" s="37"/>
    </row>
    <row r="380" spans="14:16" ht="13.5" customHeight="1" x14ac:dyDescent="0.3">
      <c r="N380" s="37"/>
      <c r="O380" s="37"/>
      <c r="P380" s="37"/>
    </row>
    <row r="381" spans="14:16" ht="13.5" customHeight="1" x14ac:dyDescent="0.3">
      <c r="N381" s="37"/>
      <c r="O381" s="37"/>
      <c r="P381" s="37"/>
    </row>
    <row r="382" spans="14:16" ht="13.5" customHeight="1" x14ac:dyDescent="0.3">
      <c r="N382" s="37"/>
      <c r="O382" s="37"/>
      <c r="P382" s="37"/>
    </row>
    <row r="383" spans="14:16" ht="13.5" customHeight="1" x14ac:dyDescent="0.3">
      <c r="N383" s="37"/>
      <c r="O383" s="37"/>
      <c r="P383" s="37"/>
    </row>
    <row r="384" spans="14:16" ht="13.5" customHeight="1" x14ac:dyDescent="0.3">
      <c r="N384" s="37"/>
      <c r="O384" s="37"/>
      <c r="P384" s="37"/>
    </row>
    <row r="385" spans="14:16" ht="13.5" customHeight="1" x14ac:dyDescent="0.3">
      <c r="N385" s="37"/>
      <c r="O385" s="37"/>
      <c r="P385" s="37"/>
    </row>
    <row r="386" spans="14:16" ht="13.5" customHeight="1" x14ac:dyDescent="0.3">
      <c r="N386" s="37"/>
      <c r="O386" s="37"/>
      <c r="P386" s="37"/>
    </row>
    <row r="387" spans="14:16" ht="13.5" customHeight="1" x14ac:dyDescent="0.3">
      <c r="N387" s="37"/>
      <c r="O387" s="37"/>
      <c r="P387" s="37"/>
    </row>
    <row r="388" spans="14:16" ht="13.5" customHeight="1" x14ac:dyDescent="0.3">
      <c r="N388" s="37"/>
      <c r="O388" s="37"/>
      <c r="P388" s="37"/>
    </row>
    <row r="389" spans="14:16" ht="13.5" customHeight="1" x14ac:dyDescent="0.3">
      <c r="N389" s="37"/>
      <c r="O389" s="37"/>
      <c r="P389" s="37"/>
    </row>
    <row r="390" spans="14:16" ht="13.5" customHeight="1" x14ac:dyDescent="0.3">
      <c r="N390" s="37"/>
      <c r="O390" s="37"/>
      <c r="P390" s="37"/>
    </row>
    <row r="391" spans="14:16" ht="13.5" customHeight="1" x14ac:dyDescent="0.3">
      <c r="N391" s="37"/>
      <c r="O391" s="37"/>
      <c r="P391" s="37"/>
    </row>
    <row r="392" spans="14:16" ht="13.5" customHeight="1" x14ac:dyDescent="0.3">
      <c r="N392" s="37"/>
      <c r="O392" s="37"/>
      <c r="P392" s="37"/>
    </row>
    <row r="393" spans="14:16" ht="13.5" customHeight="1" x14ac:dyDescent="0.3">
      <c r="N393" s="37"/>
      <c r="O393" s="37"/>
      <c r="P393" s="37"/>
    </row>
    <row r="394" spans="14:16" ht="13.5" customHeight="1" x14ac:dyDescent="0.3">
      <c r="N394" s="37"/>
      <c r="O394" s="37"/>
      <c r="P394" s="37"/>
    </row>
    <row r="395" spans="14:16" ht="13.5" customHeight="1" x14ac:dyDescent="0.3">
      <c r="N395" s="37"/>
      <c r="O395" s="37"/>
      <c r="P395" s="37"/>
    </row>
    <row r="396" spans="14:16" ht="13.5" customHeight="1" x14ac:dyDescent="0.3">
      <c r="N396" s="37"/>
      <c r="O396" s="37"/>
      <c r="P396" s="37"/>
    </row>
    <row r="397" spans="14:16" ht="13.5" customHeight="1" x14ac:dyDescent="0.3">
      <c r="N397" s="37"/>
      <c r="O397" s="37"/>
      <c r="P397" s="37"/>
    </row>
    <row r="398" spans="14:16" ht="13.5" customHeight="1" x14ac:dyDescent="0.3">
      <c r="N398" s="37"/>
      <c r="O398" s="37"/>
      <c r="P398" s="37"/>
    </row>
    <row r="399" spans="14:16" ht="13.5" customHeight="1" x14ac:dyDescent="0.3">
      <c r="N399" s="37"/>
      <c r="O399" s="37"/>
      <c r="P399" s="37"/>
    </row>
    <row r="400" spans="14:16" ht="13.5" customHeight="1" x14ac:dyDescent="0.3">
      <c r="N400" s="37"/>
      <c r="O400" s="37"/>
      <c r="P400" s="37"/>
    </row>
    <row r="401" spans="14:16" ht="13.5" customHeight="1" x14ac:dyDescent="0.3">
      <c r="N401" s="37"/>
      <c r="O401" s="37"/>
      <c r="P401" s="37"/>
    </row>
    <row r="402" spans="14:16" ht="13.5" customHeight="1" x14ac:dyDescent="0.3">
      <c r="N402" s="37"/>
      <c r="O402" s="37"/>
      <c r="P402" s="37"/>
    </row>
    <row r="403" spans="14:16" ht="13.5" customHeight="1" x14ac:dyDescent="0.3">
      <c r="N403" s="37"/>
      <c r="O403" s="37"/>
      <c r="P403" s="37"/>
    </row>
    <row r="404" spans="14:16" ht="13.5" customHeight="1" x14ac:dyDescent="0.3">
      <c r="N404" s="37"/>
      <c r="O404" s="37"/>
      <c r="P404" s="37"/>
    </row>
    <row r="405" spans="14:16" ht="13.5" customHeight="1" x14ac:dyDescent="0.3">
      <c r="N405" s="37"/>
      <c r="O405" s="37"/>
      <c r="P405" s="37"/>
    </row>
    <row r="406" spans="14:16" ht="13.5" customHeight="1" x14ac:dyDescent="0.3">
      <c r="N406" s="37"/>
      <c r="O406" s="37"/>
      <c r="P406" s="37"/>
    </row>
    <row r="407" spans="14:16" ht="13.5" customHeight="1" x14ac:dyDescent="0.3">
      <c r="N407" s="37"/>
      <c r="O407" s="37"/>
      <c r="P407" s="37"/>
    </row>
    <row r="408" spans="14:16" ht="13.5" customHeight="1" x14ac:dyDescent="0.3">
      <c r="N408" s="37"/>
      <c r="O408" s="37"/>
      <c r="P408" s="37"/>
    </row>
    <row r="409" spans="14:16" ht="13.5" customHeight="1" x14ac:dyDescent="0.3">
      <c r="N409" s="37"/>
      <c r="O409" s="37"/>
      <c r="P409" s="37"/>
    </row>
    <row r="410" spans="14:16" ht="13.5" customHeight="1" x14ac:dyDescent="0.3">
      <c r="N410" s="37"/>
      <c r="O410" s="37"/>
      <c r="P410" s="37"/>
    </row>
    <row r="411" spans="14:16" ht="13.5" customHeight="1" x14ac:dyDescent="0.3">
      <c r="N411" s="37"/>
      <c r="O411" s="37"/>
      <c r="P411" s="37"/>
    </row>
    <row r="412" spans="14:16" ht="13.5" customHeight="1" x14ac:dyDescent="0.3">
      <c r="N412" s="37"/>
      <c r="O412" s="37"/>
      <c r="P412" s="37"/>
    </row>
    <row r="413" spans="14:16" ht="13.5" customHeight="1" x14ac:dyDescent="0.3">
      <c r="N413" s="37"/>
      <c r="O413" s="37"/>
      <c r="P413" s="37"/>
    </row>
    <row r="414" spans="14:16" ht="13.5" customHeight="1" x14ac:dyDescent="0.3">
      <c r="N414" s="37"/>
      <c r="O414" s="37"/>
      <c r="P414" s="37"/>
    </row>
    <row r="415" spans="14:16" ht="13.5" customHeight="1" x14ac:dyDescent="0.3">
      <c r="N415" s="37"/>
      <c r="O415" s="37"/>
      <c r="P415" s="37"/>
    </row>
    <row r="416" spans="14:16" ht="13.5" customHeight="1" x14ac:dyDescent="0.3">
      <c r="N416" s="37"/>
      <c r="O416" s="37"/>
      <c r="P416" s="37"/>
    </row>
    <row r="417" spans="14:16" ht="13.5" customHeight="1" x14ac:dyDescent="0.3">
      <c r="N417" s="37"/>
      <c r="O417" s="37"/>
      <c r="P417" s="37"/>
    </row>
    <row r="418" spans="14:16" ht="13.5" customHeight="1" x14ac:dyDescent="0.3">
      <c r="N418" s="37"/>
      <c r="O418" s="37"/>
      <c r="P418" s="37"/>
    </row>
    <row r="419" spans="14:16" ht="13.5" customHeight="1" x14ac:dyDescent="0.3">
      <c r="N419" s="37"/>
      <c r="O419" s="37"/>
      <c r="P419" s="37"/>
    </row>
    <row r="420" spans="14:16" ht="13.5" customHeight="1" x14ac:dyDescent="0.3">
      <c r="N420" s="37"/>
      <c r="O420" s="37"/>
      <c r="P420" s="37"/>
    </row>
    <row r="421" spans="14:16" ht="13.5" customHeight="1" x14ac:dyDescent="0.3">
      <c r="N421" s="37"/>
      <c r="O421" s="37"/>
      <c r="P421" s="37"/>
    </row>
    <row r="422" spans="14:16" ht="13.5" customHeight="1" x14ac:dyDescent="0.3">
      <c r="N422" s="37"/>
      <c r="O422" s="37"/>
      <c r="P422" s="37"/>
    </row>
    <row r="423" spans="14:16" ht="13.5" customHeight="1" x14ac:dyDescent="0.3">
      <c r="N423" s="37"/>
      <c r="O423" s="37"/>
      <c r="P423" s="37"/>
    </row>
    <row r="424" spans="14:16" ht="13.5" customHeight="1" x14ac:dyDescent="0.3">
      <c r="N424" s="37"/>
      <c r="O424" s="37"/>
      <c r="P424" s="37"/>
    </row>
    <row r="425" spans="14:16" ht="13.5" customHeight="1" x14ac:dyDescent="0.3">
      <c r="N425" s="37"/>
      <c r="O425" s="37"/>
      <c r="P425" s="37"/>
    </row>
    <row r="426" spans="14:16" ht="13.5" customHeight="1" x14ac:dyDescent="0.3">
      <c r="N426" s="37"/>
      <c r="O426" s="37"/>
      <c r="P426" s="37"/>
    </row>
    <row r="427" spans="14:16" ht="13.5" customHeight="1" x14ac:dyDescent="0.3">
      <c r="N427" s="37"/>
      <c r="O427" s="37"/>
      <c r="P427" s="37"/>
    </row>
    <row r="428" spans="14:16" ht="13.5" customHeight="1" x14ac:dyDescent="0.3">
      <c r="N428" s="37"/>
      <c r="O428" s="37"/>
      <c r="P428" s="37"/>
    </row>
    <row r="429" spans="14:16" ht="13.5" customHeight="1" x14ac:dyDescent="0.3">
      <c r="N429" s="37"/>
      <c r="O429" s="37"/>
      <c r="P429" s="37"/>
    </row>
    <row r="430" spans="14:16" ht="13.5" customHeight="1" x14ac:dyDescent="0.3">
      <c r="N430" s="37"/>
      <c r="O430" s="37"/>
      <c r="P430" s="37"/>
    </row>
    <row r="431" spans="14:16" ht="13.5" customHeight="1" x14ac:dyDescent="0.3">
      <c r="N431" s="37"/>
      <c r="O431" s="37"/>
      <c r="P431" s="37"/>
    </row>
    <row r="432" spans="14:16" ht="13.5" customHeight="1" x14ac:dyDescent="0.3">
      <c r="N432" s="37"/>
      <c r="O432" s="37"/>
      <c r="P432" s="37"/>
    </row>
    <row r="433" spans="14:16" ht="13.5" customHeight="1" x14ac:dyDescent="0.3">
      <c r="N433" s="37"/>
      <c r="O433" s="37"/>
      <c r="P433" s="37"/>
    </row>
    <row r="434" spans="14:16" ht="13.5" customHeight="1" x14ac:dyDescent="0.3">
      <c r="N434" s="37"/>
      <c r="O434" s="37"/>
      <c r="P434" s="37"/>
    </row>
    <row r="435" spans="14:16" ht="13.5" customHeight="1" x14ac:dyDescent="0.3">
      <c r="N435" s="37"/>
      <c r="O435" s="37"/>
      <c r="P435" s="37"/>
    </row>
    <row r="436" spans="14:16" ht="13.5" customHeight="1" x14ac:dyDescent="0.3">
      <c r="N436" s="37"/>
      <c r="O436" s="37"/>
      <c r="P436" s="37"/>
    </row>
    <row r="437" spans="14:16" ht="13.5" customHeight="1" x14ac:dyDescent="0.3">
      <c r="N437" s="37"/>
      <c r="O437" s="37"/>
      <c r="P437" s="37"/>
    </row>
    <row r="438" spans="14:16" ht="13.5" customHeight="1" x14ac:dyDescent="0.3">
      <c r="N438" s="37"/>
      <c r="O438" s="37"/>
      <c r="P438" s="37"/>
    </row>
    <row r="439" spans="14:16" ht="13.5" customHeight="1" x14ac:dyDescent="0.3">
      <c r="N439" s="37"/>
      <c r="O439" s="37"/>
      <c r="P439" s="37"/>
    </row>
    <row r="440" spans="14:16" ht="13.5" customHeight="1" x14ac:dyDescent="0.3">
      <c r="N440" s="37"/>
      <c r="O440" s="37"/>
      <c r="P440" s="37"/>
    </row>
    <row r="441" spans="14:16" ht="13.5" customHeight="1" x14ac:dyDescent="0.3">
      <c r="N441" s="37"/>
      <c r="O441" s="37"/>
      <c r="P441" s="37"/>
    </row>
    <row r="442" spans="14:16" ht="13.5" customHeight="1" x14ac:dyDescent="0.3">
      <c r="N442" s="37"/>
      <c r="O442" s="37"/>
      <c r="P442" s="37"/>
    </row>
    <row r="443" spans="14:16" ht="13.5" customHeight="1" x14ac:dyDescent="0.3">
      <c r="N443" s="37"/>
      <c r="O443" s="37"/>
      <c r="P443" s="37"/>
    </row>
    <row r="444" spans="14:16" ht="13.5" customHeight="1" x14ac:dyDescent="0.3">
      <c r="N444" s="37"/>
      <c r="O444" s="37"/>
      <c r="P444" s="37"/>
    </row>
    <row r="445" spans="14:16" ht="13.5" customHeight="1" x14ac:dyDescent="0.3">
      <c r="N445" s="37"/>
      <c r="O445" s="37"/>
      <c r="P445" s="37"/>
    </row>
    <row r="446" spans="14:16" ht="13.5" customHeight="1" x14ac:dyDescent="0.3">
      <c r="N446" s="37"/>
      <c r="O446" s="37"/>
      <c r="P446" s="37"/>
    </row>
    <row r="447" spans="14:16" ht="13.5" customHeight="1" x14ac:dyDescent="0.3">
      <c r="N447" s="37"/>
      <c r="O447" s="37"/>
      <c r="P447" s="37"/>
    </row>
    <row r="448" spans="14:16" ht="13.5" customHeight="1" x14ac:dyDescent="0.3">
      <c r="N448" s="37"/>
      <c r="O448" s="37"/>
      <c r="P448" s="37"/>
    </row>
    <row r="449" spans="14:16" ht="13.5" customHeight="1" x14ac:dyDescent="0.3">
      <c r="N449" s="37"/>
      <c r="O449" s="37"/>
      <c r="P449" s="37"/>
    </row>
    <row r="450" spans="14:16" ht="13.5" customHeight="1" x14ac:dyDescent="0.3">
      <c r="N450" s="37"/>
      <c r="O450" s="37"/>
      <c r="P450" s="37"/>
    </row>
    <row r="451" spans="14:16" ht="13.5" customHeight="1" x14ac:dyDescent="0.3">
      <c r="N451" s="37"/>
      <c r="O451" s="37"/>
      <c r="P451" s="37"/>
    </row>
    <row r="452" spans="14:16" ht="13.5" customHeight="1" x14ac:dyDescent="0.3">
      <c r="N452" s="37"/>
      <c r="O452" s="37"/>
      <c r="P452" s="37"/>
    </row>
    <row r="453" spans="14:16" ht="13.5" customHeight="1" x14ac:dyDescent="0.3">
      <c r="N453" s="37"/>
      <c r="O453" s="37"/>
      <c r="P453" s="37"/>
    </row>
    <row r="454" spans="14:16" ht="13.5" customHeight="1" x14ac:dyDescent="0.3">
      <c r="N454" s="37"/>
      <c r="O454" s="37"/>
      <c r="P454" s="37"/>
    </row>
    <row r="455" spans="14:16" ht="13.5" customHeight="1" x14ac:dyDescent="0.3">
      <c r="N455" s="37"/>
      <c r="O455" s="37"/>
      <c r="P455" s="37"/>
    </row>
    <row r="456" spans="14:16" ht="13.5" customHeight="1" x14ac:dyDescent="0.3">
      <c r="N456" s="37"/>
      <c r="O456" s="37"/>
      <c r="P456" s="37"/>
    </row>
    <row r="457" spans="14:16" ht="13.5" customHeight="1" x14ac:dyDescent="0.3">
      <c r="N457" s="37"/>
      <c r="O457" s="37"/>
      <c r="P457" s="37"/>
    </row>
    <row r="458" spans="14:16" ht="13.5" customHeight="1" x14ac:dyDescent="0.3">
      <c r="N458" s="37"/>
      <c r="O458" s="37"/>
      <c r="P458" s="37"/>
    </row>
    <row r="459" spans="14:16" ht="13.5" customHeight="1" x14ac:dyDescent="0.3">
      <c r="N459" s="37"/>
      <c r="O459" s="37"/>
      <c r="P459" s="37"/>
    </row>
    <row r="460" spans="14:16" ht="13.5" customHeight="1" x14ac:dyDescent="0.3">
      <c r="N460" s="37"/>
      <c r="O460" s="37"/>
      <c r="P460" s="37"/>
    </row>
    <row r="461" spans="14:16" ht="13.5" customHeight="1" x14ac:dyDescent="0.3">
      <c r="N461" s="37"/>
      <c r="O461" s="37"/>
      <c r="P461" s="37"/>
    </row>
    <row r="462" spans="14:16" ht="13.5" customHeight="1" x14ac:dyDescent="0.3">
      <c r="N462" s="37"/>
      <c r="O462" s="37"/>
      <c r="P462" s="37"/>
    </row>
    <row r="463" spans="14:16" ht="13.5" customHeight="1" x14ac:dyDescent="0.3">
      <c r="N463" s="37"/>
      <c r="O463" s="37"/>
      <c r="P463" s="37"/>
    </row>
    <row r="464" spans="14:16" ht="13.5" customHeight="1" x14ac:dyDescent="0.3">
      <c r="N464" s="37"/>
      <c r="O464" s="37"/>
      <c r="P464" s="37"/>
    </row>
    <row r="465" spans="14:16" ht="13.5" customHeight="1" x14ac:dyDescent="0.3">
      <c r="N465" s="37"/>
      <c r="O465" s="37"/>
      <c r="P465" s="37"/>
    </row>
    <row r="466" spans="14:16" ht="13.5" customHeight="1" x14ac:dyDescent="0.3">
      <c r="N466" s="37"/>
      <c r="O466" s="37"/>
      <c r="P466" s="37"/>
    </row>
    <row r="467" spans="14:16" ht="13.5" customHeight="1" x14ac:dyDescent="0.3">
      <c r="N467" s="37"/>
      <c r="O467" s="37"/>
      <c r="P467" s="37"/>
    </row>
    <row r="468" spans="14:16" ht="13.5" customHeight="1" x14ac:dyDescent="0.3">
      <c r="N468" s="37"/>
      <c r="O468" s="37"/>
      <c r="P468" s="37"/>
    </row>
    <row r="469" spans="14:16" ht="13.5" customHeight="1" x14ac:dyDescent="0.3">
      <c r="N469" s="37"/>
      <c r="O469" s="37"/>
      <c r="P469" s="37"/>
    </row>
    <row r="470" spans="14:16" ht="13.5" customHeight="1" x14ac:dyDescent="0.3">
      <c r="N470" s="37"/>
      <c r="O470" s="37"/>
      <c r="P470" s="37"/>
    </row>
    <row r="471" spans="14:16" ht="13.5" customHeight="1" x14ac:dyDescent="0.3">
      <c r="N471" s="37"/>
      <c r="O471" s="37"/>
      <c r="P471" s="37"/>
    </row>
    <row r="472" spans="14:16" ht="13.5" customHeight="1" x14ac:dyDescent="0.3">
      <c r="N472" s="37"/>
      <c r="O472" s="37"/>
      <c r="P472" s="37"/>
    </row>
    <row r="473" spans="14:16" ht="13.5" customHeight="1" x14ac:dyDescent="0.3">
      <c r="N473" s="37"/>
      <c r="O473" s="37"/>
      <c r="P473" s="37"/>
    </row>
    <row r="474" spans="14:16" ht="13.5" customHeight="1" x14ac:dyDescent="0.3">
      <c r="N474" s="37"/>
      <c r="O474" s="37"/>
      <c r="P474" s="37"/>
    </row>
    <row r="475" spans="14:16" ht="13.5" customHeight="1" x14ac:dyDescent="0.3">
      <c r="N475" s="37"/>
      <c r="O475" s="37"/>
      <c r="P475" s="37"/>
    </row>
    <row r="476" spans="14:16" ht="13.5" customHeight="1" x14ac:dyDescent="0.3">
      <c r="N476" s="37"/>
      <c r="O476" s="37"/>
      <c r="P476" s="37"/>
    </row>
    <row r="477" spans="14:16" ht="13.5" customHeight="1" x14ac:dyDescent="0.3">
      <c r="N477" s="37"/>
      <c r="O477" s="37"/>
      <c r="P477" s="37"/>
    </row>
    <row r="478" spans="14:16" ht="13.5" customHeight="1" x14ac:dyDescent="0.3">
      <c r="N478" s="37"/>
      <c r="O478" s="37"/>
      <c r="P478" s="37"/>
    </row>
    <row r="479" spans="14:16" ht="13.5" customHeight="1" x14ac:dyDescent="0.3">
      <c r="N479" s="37"/>
      <c r="O479" s="37"/>
      <c r="P479" s="37"/>
    </row>
    <row r="480" spans="14:16" ht="13.5" customHeight="1" x14ac:dyDescent="0.3">
      <c r="N480" s="37"/>
      <c r="O480" s="37"/>
      <c r="P480" s="37"/>
    </row>
    <row r="481" spans="14:16" ht="13.5" customHeight="1" x14ac:dyDescent="0.3">
      <c r="N481" s="37"/>
      <c r="O481" s="37"/>
      <c r="P481" s="37"/>
    </row>
    <row r="482" spans="14:16" ht="13.5" customHeight="1" x14ac:dyDescent="0.3">
      <c r="N482" s="37"/>
      <c r="O482" s="37"/>
      <c r="P482" s="37"/>
    </row>
    <row r="483" spans="14:16" ht="13.5" customHeight="1" x14ac:dyDescent="0.3">
      <c r="N483" s="37"/>
      <c r="O483" s="37"/>
      <c r="P483" s="37"/>
    </row>
    <row r="484" spans="14:16" ht="13.5" customHeight="1" x14ac:dyDescent="0.3">
      <c r="N484" s="37"/>
      <c r="O484" s="37"/>
      <c r="P484" s="37"/>
    </row>
    <row r="485" spans="14:16" ht="13.5" customHeight="1" x14ac:dyDescent="0.3">
      <c r="N485" s="37"/>
      <c r="O485" s="37"/>
      <c r="P485" s="37"/>
    </row>
    <row r="486" spans="14:16" ht="13.5" customHeight="1" x14ac:dyDescent="0.3">
      <c r="N486" s="37"/>
      <c r="O486" s="37"/>
      <c r="P486" s="37"/>
    </row>
    <row r="487" spans="14:16" ht="13.5" customHeight="1" x14ac:dyDescent="0.3">
      <c r="N487" s="37"/>
      <c r="O487" s="37"/>
      <c r="P487" s="37"/>
    </row>
    <row r="488" spans="14:16" ht="13.5" customHeight="1" x14ac:dyDescent="0.3">
      <c r="N488" s="37"/>
      <c r="O488" s="37"/>
      <c r="P488" s="37"/>
    </row>
    <row r="489" spans="14:16" ht="13.5" customHeight="1" x14ac:dyDescent="0.3">
      <c r="N489" s="37"/>
      <c r="O489" s="37"/>
      <c r="P489" s="37"/>
    </row>
    <row r="490" spans="14:16" ht="13.5" customHeight="1" x14ac:dyDescent="0.3">
      <c r="N490" s="37"/>
      <c r="O490" s="37"/>
      <c r="P490" s="37"/>
    </row>
    <row r="491" spans="14:16" ht="13.5" customHeight="1" x14ac:dyDescent="0.3">
      <c r="N491" s="37"/>
      <c r="O491" s="37"/>
      <c r="P491" s="37"/>
    </row>
    <row r="492" spans="14:16" ht="13.5" customHeight="1" x14ac:dyDescent="0.3">
      <c r="N492" s="37"/>
      <c r="O492" s="37"/>
      <c r="P492" s="37"/>
    </row>
    <row r="493" spans="14:16" ht="13.5" customHeight="1" x14ac:dyDescent="0.3">
      <c r="N493" s="37"/>
      <c r="O493" s="37"/>
      <c r="P493" s="37"/>
    </row>
    <row r="494" spans="14:16" ht="13.5" customHeight="1" x14ac:dyDescent="0.3">
      <c r="N494" s="37"/>
      <c r="O494" s="37"/>
      <c r="P494" s="37"/>
    </row>
    <row r="495" spans="14:16" ht="13.5" customHeight="1" x14ac:dyDescent="0.3">
      <c r="N495" s="37"/>
      <c r="O495" s="37"/>
      <c r="P495" s="37"/>
    </row>
    <row r="496" spans="14:16" ht="13.5" customHeight="1" x14ac:dyDescent="0.3">
      <c r="N496" s="37"/>
      <c r="O496" s="37"/>
      <c r="P496" s="37"/>
    </row>
    <row r="497" spans="14:16" ht="13.5" customHeight="1" x14ac:dyDescent="0.3">
      <c r="N497" s="37"/>
      <c r="O497" s="37"/>
      <c r="P497" s="37"/>
    </row>
    <row r="498" spans="14:16" ht="13.5" customHeight="1" x14ac:dyDescent="0.3">
      <c r="N498" s="37"/>
      <c r="O498" s="37"/>
      <c r="P498" s="37"/>
    </row>
    <row r="499" spans="14:16" ht="13.5" customHeight="1" x14ac:dyDescent="0.3">
      <c r="N499" s="37"/>
      <c r="O499" s="37"/>
      <c r="P499" s="37"/>
    </row>
    <row r="500" spans="14:16" ht="13.5" customHeight="1" x14ac:dyDescent="0.3">
      <c r="N500" s="37"/>
      <c r="O500" s="37"/>
      <c r="P500" s="37"/>
    </row>
    <row r="501" spans="14:16" ht="13.5" customHeight="1" x14ac:dyDescent="0.3">
      <c r="N501" s="37"/>
      <c r="O501" s="37"/>
      <c r="P501" s="37"/>
    </row>
    <row r="502" spans="14:16" ht="13.5" customHeight="1" x14ac:dyDescent="0.3">
      <c r="N502" s="37"/>
      <c r="O502" s="37"/>
      <c r="P502" s="37"/>
    </row>
    <row r="503" spans="14:16" ht="13.5" customHeight="1" x14ac:dyDescent="0.3">
      <c r="N503" s="37"/>
      <c r="O503" s="37"/>
      <c r="P503" s="37"/>
    </row>
    <row r="504" spans="14:16" ht="13.5" customHeight="1" x14ac:dyDescent="0.3">
      <c r="N504" s="37"/>
      <c r="O504" s="37"/>
      <c r="P504" s="37"/>
    </row>
    <row r="505" spans="14:16" ht="13.5" customHeight="1" x14ac:dyDescent="0.3">
      <c r="N505" s="37"/>
      <c r="O505" s="37"/>
      <c r="P505" s="37"/>
    </row>
    <row r="506" spans="14:16" ht="13.5" customHeight="1" x14ac:dyDescent="0.3">
      <c r="N506" s="37"/>
      <c r="O506" s="37"/>
      <c r="P506" s="37"/>
    </row>
    <row r="507" spans="14:16" ht="13.5" customHeight="1" x14ac:dyDescent="0.3">
      <c r="N507" s="37"/>
      <c r="O507" s="37"/>
      <c r="P507" s="37"/>
    </row>
    <row r="508" spans="14:16" ht="13.5" customHeight="1" x14ac:dyDescent="0.3">
      <c r="N508" s="37"/>
      <c r="O508" s="37"/>
      <c r="P508" s="37"/>
    </row>
    <row r="509" spans="14:16" ht="13.5" customHeight="1" x14ac:dyDescent="0.3">
      <c r="N509" s="37"/>
      <c r="O509" s="37"/>
      <c r="P509" s="37"/>
    </row>
    <row r="510" spans="14:16" ht="13.5" customHeight="1" x14ac:dyDescent="0.3">
      <c r="N510" s="37"/>
      <c r="O510" s="37"/>
      <c r="P510" s="37"/>
    </row>
    <row r="511" spans="14:16" ht="13.5" customHeight="1" x14ac:dyDescent="0.3">
      <c r="N511" s="37"/>
      <c r="O511" s="37"/>
      <c r="P511" s="37"/>
    </row>
    <row r="512" spans="14:16" ht="13.5" customHeight="1" x14ac:dyDescent="0.3">
      <c r="N512" s="37"/>
      <c r="O512" s="37"/>
      <c r="P512" s="37"/>
    </row>
    <row r="513" spans="14:16" ht="13.5" customHeight="1" x14ac:dyDescent="0.3">
      <c r="N513" s="37"/>
      <c r="O513" s="37"/>
      <c r="P513" s="37"/>
    </row>
    <row r="514" spans="14:16" ht="13.5" customHeight="1" x14ac:dyDescent="0.3">
      <c r="N514" s="37"/>
      <c r="O514" s="37"/>
      <c r="P514" s="37"/>
    </row>
    <row r="515" spans="14:16" ht="13.5" customHeight="1" x14ac:dyDescent="0.3">
      <c r="N515" s="37"/>
      <c r="O515" s="37"/>
      <c r="P515" s="37"/>
    </row>
    <row r="516" spans="14:16" ht="13.5" customHeight="1" x14ac:dyDescent="0.3">
      <c r="N516" s="37"/>
      <c r="O516" s="37"/>
      <c r="P516" s="37"/>
    </row>
    <row r="517" spans="14:16" ht="13.5" customHeight="1" x14ac:dyDescent="0.3">
      <c r="N517" s="37"/>
      <c r="O517" s="37"/>
      <c r="P517" s="37"/>
    </row>
    <row r="518" spans="14:16" ht="13.5" customHeight="1" x14ac:dyDescent="0.3">
      <c r="N518" s="37"/>
      <c r="O518" s="37"/>
      <c r="P518" s="37"/>
    </row>
    <row r="519" spans="14:16" ht="13.5" customHeight="1" x14ac:dyDescent="0.3">
      <c r="N519" s="37"/>
      <c r="O519" s="37"/>
      <c r="P519" s="37"/>
    </row>
    <row r="520" spans="14:16" ht="13.5" customHeight="1" x14ac:dyDescent="0.3">
      <c r="N520" s="37"/>
      <c r="O520" s="37"/>
      <c r="P520" s="37"/>
    </row>
    <row r="521" spans="14:16" ht="13.5" customHeight="1" x14ac:dyDescent="0.3">
      <c r="N521" s="37"/>
      <c r="O521" s="37"/>
      <c r="P521" s="37"/>
    </row>
    <row r="522" spans="14:16" ht="13.5" customHeight="1" x14ac:dyDescent="0.3">
      <c r="N522" s="37"/>
      <c r="O522" s="37"/>
      <c r="P522" s="37"/>
    </row>
    <row r="523" spans="14:16" ht="13.5" customHeight="1" x14ac:dyDescent="0.3">
      <c r="N523" s="37"/>
      <c r="O523" s="37"/>
      <c r="P523" s="37"/>
    </row>
    <row r="524" spans="14:16" ht="13.5" customHeight="1" x14ac:dyDescent="0.3">
      <c r="N524" s="37"/>
      <c r="O524" s="37"/>
      <c r="P524" s="37"/>
    </row>
    <row r="525" spans="14:16" ht="13.5" customHeight="1" x14ac:dyDescent="0.3">
      <c r="N525" s="37"/>
      <c r="O525" s="37"/>
      <c r="P525" s="37"/>
    </row>
    <row r="526" spans="14:16" ht="13.5" customHeight="1" x14ac:dyDescent="0.3">
      <c r="N526" s="37"/>
      <c r="O526" s="37"/>
      <c r="P526" s="37"/>
    </row>
    <row r="527" spans="14:16" ht="13.5" customHeight="1" x14ac:dyDescent="0.3">
      <c r="N527" s="37"/>
      <c r="O527" s="37"/>
      <c r="P527" s="37"/>
    </row>
    <row r="528" spans="14:16" ht="13.5" customHeight="1" x14ac:dyDescent="0.3">
      <c r="N528" s="37"/>
      <c r="O528" s="37"/>
      <c r="P528" s="37"/>
    </row>
    <row r="529" spans="14:16" ht="13.5" customHeight="1" x14ac:dyDescent="0.3">
      <c r="N529" s="37"/>
      <c r="O529" s="37"/>
      <c r="P529" s="37"/>
    </row>
    <row r="530" spans="14:16" ht="13.5" customHeight="1" x14ac:dyDescent="0.3">
      <c r="N530" s="37"/>
      <c r="O530" s="37"/>
      <c r="P530" s="37"/>
    </row>
    <row r="531" spans="14:16" ht="13.5" customHeight="1" x14ac:dyDescent="0.3">
      <c r="N531" s="37"/>
      <c r="O531" s="37"/>
      <c r="P531" s="37"/>
    </row>
    <row r="532" spans="14:16" ht="13.5" customHeight="1" x14ac:dyDescent="0.3">
      <c r="N532" s="37"/>
      <c r="O532" s="37"/>
      <c r="P532" s="37"/>
    </row>
    <row r="533" spans="14:16" ht="13.5" customHeight="1" x14ac:dyDescent="0.3">
      <c r="N533" s="37"/>
      <c r="O533" s="37"/>
      <c r="P533" s="37"/>
    </row>
    <row r="534" spans="14:16" ht="13.5" customHeight="1" x14ac:dyDescent="0.3">
      <c r="N534" s="37"/>
      <c r="O534" s="37"/>
      <c r="P534" s="37"/>
    </row>
    <row r="535" spans="14:16" ht="13.5" customHeight="1" x14ac:dyDescent="0.3">
      <c r="N535" s="37"/>
      <c r="O535" s="37"/>
      <c r="P535" s="37"/>
    </row>
    <row r="536" spans="14:16" ht="13.5" customHeight="1" x14ac:dyDescent="0.3">
      <c r="N536" s="37"/>
      <c r="O536" s="37"/>
      <c r="P536" s="37"/>
    </row>
    <row r="537" spans="14:16" ht="13.5" customHeight="1" x14ac:dyDescent="0.3">
      <c r="N537" s="37"/>
      <c r="O537" s="37"/>
      <c r="P537" s="37"/>
    </row>
    <row r="538" spans="14:16" ht="13.5" customHeight="1" x14ac:dyDescent="0.3">
      <c r="N538" s="37"/>
      <c r="O538" s="37"/>
      <c r="P538" s="37"/>
    </row>
    <row r="539" spans="14:16" ht="13.5" customHeight="1" x14ac:dyDescent="0.3">
      <c r="N539" s="37"/>
      <c r="O539" s="37"/>
      <c r="P539" s="37"/>
    </row>
    <row r="540" spans="14:16" ht="13.5" customHeight="1" x14ac:dyDescent="0.3">
      <c r="N540" s="37"/>
      <c r="O540" s="37"/>
      <c r="P540" s="37"/>
    </row>
    <row r="541" spans="14:16" ht="13.5" customHeight="1" x14ac:dyDescent="0.3">
      <c r="N541" s="37"/>
      <c r="O541" s="37"/>
      <c r="P541" s="37"/>
    </row>
    <row r="542" spans="14:16" ht="13.5" customHeight="1" x14ac:dyDescent="0.3">
      <c r="N542" s="37"/>
      <c r="O542" s="37"/>
      <c r="P542" s="37"/>
    </row>
    <row r="543" spans="14:16" ht="13.5" customHeight="1" x14ac:dyDescent="0.3">
      <c r="N543" s="37"/>
      <c r="O543" s="37"/>
      <c r="P543" s="37"/>
    </row>
    <row r="544" spans="14:16" ht="13.5" customHeight="1" x14ac:dyDescent="0.3">
      <c r="N544" s="37"/>
      <c r="O544" s="37"/>
      <c r="P544" s="37"/>
    </row>
    <row r="545" spans="14:16" ht="13.5" customHeight="1" x14ac:dyDescent="0.3">
      <c r="N545" s="37"/>
      <c r="O545" s="37"/>
      <c r="P545" s="37"/>
    </row>
    <row r="546" spans="14:16" ht="13.5" customHeight="1" x14ac:dyDescent="0.3">
      <c r="N546" s="37"/>
      <c r="O546" s="37"/>
      <c r="P546" s="37"/>
    </row>
    <row r="547" spans="14:16" ht="13.5" customHeight="1" x14ac:dyDescent="0.3">
      <c r="N547" s="37"/>
      <c r="O547" s="37"/>
      <c r="P547" s="37"/>
    </row>
    <row r="548" spans="14:16" ht="13.5" customHeight="1" x14ac:dyDescent="0.3">
      <c r="N548" s="37"/>
      <c r="O548" s="37"/>
      <c r="P548" s="37"/>
    </row>
    <row r="549" spans="14:16" ht="13.5" customHeight="1" x14ac:dyDescent="0.3">
      <c r="N549" s="37"/>
      <c r="O549" s="37"/>
      <c r="P549" s="37"/>
    </row>
    <row r="550" spans="14:16" ht="13.5" customHeight="1" x14ac:dyDescent="0.3">
      <c r="N550" s="37"/>
      <c r="O550" s="37"/>
      <c r="P550" s="37"/>
    </row>
    <row r="551" spans="14:16" ht="13.5" customHeight="1" x14ac:dyDescent="0.3">
      <c r="N551" s="37"/>
      <c r="O551" s="37"/>
      <c r="P551" s="37"/>
    </row>
    <row r="552" spans="14:16" ht="13.5" customHeight="1" x14ac:dyDescent="0.3">
      <c r="N552" s="37"/>
      <c r="O552" s="37"/>
      <c r="P552" s="37"/>
    </row>
    <row r="553" spans="14:16" ht="13.5" customHeight="1" x14ac:dyDescent="0.3">
      <c r="N553" s="37"/>
      <c r="O553" s="37"/>
      <c r="P553" s="37"/>
    </row>
    <row r="554" spans="14:16" ht="13.5" customHeight="1" x14ac:dyDescent="0.3">
      <c r="N554" s="37"/>
      <c r="O554" s="37"/>
      <c r="P554" s="37"/>
    </row>
    <row r="555" spans="14:16" ht="13.5" customHeight="1" x14ac:dyDescent="0.3">
      <c r="N555" s="37"/>
      <c r="O555" s="37"/>
      <c r="P555" s="37"/>
    </row>
    <row r="556" spans="14:16" ht="13.5" customHeight="1" x14ac:dyDescent="0.3">
      <c r="N556" s="37"/>
      <c r="O556" s="37"/>
      <c r="P556" s="37"/>
    </row>
    <row r="557" spans="14:16" ht="13.5" customHeight="1" x14ac:dyDescent="0.3">
      <c r="N557" s="37"/>
      <c r="O557" s="37"/>
      <c r="P557" s="37"/>
    </row>
    <row r="558" spans="14:16" ht="13.5" customHeight="1" x14ac:dyDescent="0.3">
      <c r="N558" s="37"/>
      <c r="O558" s="37"/>
      <c r="P558" s="37"/>
    </row>
    <row r="559" spans="14:16" ht="13.5" customHeight="1" x14ac:dyDescent="0.3">
      <c r="N559" s="37"/>
      <c r="O559" s="37"/>
      <c r="P559" s="37"/>
    </row>
    <row r="560" spans="14:16" ht="13.5" customHeight="1" x14ac:dyDescent="0.3">
      <c r="N560" s="37"/>
      <c r="O560" s="37"/>
      <c r="P560" s="37"/>
    </row>
    <row r="561" spans="14:16" ht="13.5" customHeight="1" x14ac:dyDescent="0.3">
      <c r="N561" s="37"/>
      <c r="O561" s="37"/>
      <c r="P561" s="37"/>
    </row>
    <row r="562" spans="14:16" ht="13.5" customHeight="1" x14ac:dyDescent="0.3">
      <c r="N562" s="37"/>
      <c r="O562" s="37"/>
      <c r="P562" s="37"/>
    </row>
    <row r="563" spans="14:16" ht="13.5" customHeight="1" x14ac:dyDescent="0.3">
      <c r="N563" s="37"/>
      <c r="O563" s="37"/>
      <c r="P563" s="37"/>
    </row>
    <row r="564" spans="14:16" ht="13.5" customHeight="1" x14ac:dyDescent="0.3">
      <c r="N564" s="37"/>
      <c r="O564" s="37"/>
      <c r="P564" s="37"/>
    </row>
    <row r="565" spans="14:16" ht="13.5" customHeight="1" x14ac:dyDescent="0.3">
      <c r="N565" s="37"/>
      <c r="O565" s="37"/>
      <c r="P565" s="37"/>
    </row>
    <row r="566" spans="14:16" ht="13.5" customHeight="1" x14ac:dyDescent="0.3">
      <c r="N566" s="37"/>
      <c r="O566" s="37"/>
      <c r="P566" s="37"/>
    </row>
    <row r="567" spans="14:16" ht="13.5" customHeight="1" x14ac:dyDescent="0.3">
      <c r="N567" s="37"/>
      <c r="O567" s="37"/>
      <c r="P567" s="37"/>
    </row>
    <row r="568" spans="14:16" ht="13.5" customHeight="1" x14ac:dyDescent="0.3">
      <c r="N568" s="37"/>
      <c r="O568" s="37"/>
      <c r="P568" s="37"/>
    </row>
    <row r="569" spans="14:16" ht="13.5" customHeight="1" x14ac:dyDescent="0.3">
      <c r="N569" s="37"/>
      <c r="O569" s="37"/>
      <c r="P569" s="37"/>
    </row>
    <row r="570" spans="14:16" ht="13.5" customHeight="1" x14ac:dyDescent="0.3">
      <c r="N570" s="37"/>
      <c r="O570" s="37"/>
      <c r="P570" s="37"/>
    </row>
    <row r="571" spans="14:16" ht="13.5" customHeight="1" x14ac:dyDescent="0.3">
      <c r="N571" s="37"/>
      <c r="O571" s="37"/>
      <c r="P571" s="37"/>
    </row>
    <row r="572" spans="14:16" ht="13.5" customHeight="1" x14ac:dyDescent="0.3">
      <c r="N572" s="37"/>
      <c r="O572" s="37"/>
      <c r="P572" s="37"/>
    </row>
    <row r="573" spans="14:16" ht="13.5" customHeight="1" x14ac:dyDescent="0.3">
      <c r="N573" s="37"/>
      <c r="O573" s="37"/>
      <c r="P573" s="37"/>
    </row>
    <row r="574" spans="14:16" ht="13.5" customHeight="1" x14ac:dyDescent="0.3">
      <c r="N574" s="37"/>
      <c r="O574" s="37"/>
      <c r="P574" s="37"/>
    </row>
    <row r="575" spans="14:16" ht="13.5" customHeight="1" x14ac:dyDescent="0.3">
      <c r="N575" s="37"/>
      <c r="O575" s="37"/>
      <c r="P575" s="37"/>
    </row>
    <row r="576" spans="14:16" ht="13.5" customHeight="1" x14ac:dyDescent="0.3">
      <c r="N576" s="37"/>
      <c r="O576" s="37"/>
      <c r="P576" s="37"/>
    </row>
    <row r="577" spans="14:16" ht="13.5" customHeight="1" x14ac:dyDescent="0.3">
      <c r="N577" s="37"/>
      <c r="O577" s="37"/>
      <c r="P577" s="37"/>
    </row>
    <row r="578" spans="14:16" ht="13.5" customHeight="1" x14ac:dyDescent="0.3">
      <c r="N578" s="37"/>
      <c r="O578" s="37"/>
      <c r="P578" s="37"/>
    </row>
    <row r="579" spans="14:16" ht="13.5" customHeight="1" x14ac:dyDescent="0.3">
      <c r="N579" s="37"/>
      <c r="O579" s="37"/>
      <c r="P579" s="37"/>
    </row>
    <row r="580" spans="14:16" ht="13.5" customHeight="1" x14ac:dyDescent="0.3">
      <c r="N580" s="37"/>
      <c r="O580" s="37"/>
      <c r="P580" s="37"/>
    </row>
    <row r="581" spans="14:16" ht="13.5" customHeight="1" x14ac:dyDescent="0.3">
      <c r="N581" s="37"/>
      <c r="O581" s="37"/>
      <c r="P581" s="37"/>
    </row>
    <row r="582" spans="14:16" ht="13.5" customHeight="1" x14ac:dyDescent="0.3">
      <c r="N582" s="37"/>
      <c r="O582" s="37"/>
      <c r="P582" s="37"/>
    </row>
    <row r="583" spans="14:16" ht="13.5" customHeight="1" x14ac:dyDescent="0.3">
      <c r="N583" s="37"/>
      <c r="O583" s="37"/>
      <c r="P583" s="37"/>
    </row>
    <row r="584" spans="14:16" ht="13.5" customHeight="1" x14ac:dyDescent="0.3">
      <c r="N584" s="37"/>
      <c r="O584" s="37"/>
      <c r="P584" s="37"/>
    </row>
    <row r="585" spans="14:16" ht="13.5" customHeight="1" x14ac:dyDescent="0.3">
      <c r="N585" s="37"/>
      <c r="O585" s="37"/>
      <c r="P585" s="37"/>
    </row>
    <row r="586" spans="14:16" ht="13.5" customHeight="1" x14ac:dyDescent="0.3">
      <c r="N586" s="37"/>
      <c r="O586" s="37"/>
      <c r="P586" s="37"/>
    </row>
    <row r="587" spans="14:16" ht="13.5" customHeight="1" x14ac:dyDescent="0.3">
      <c r="N587" s="37"/>
      <c r="O587" s="37"/>
      <c r="P587" s="37"/>
    </row>
    <row r="588" spans="14:16" ht="13.5" customHeight="1" x14ac:dyDescent="0.3">
      <c r="N588" s="37"/>
      <c r="O588" s="37"/>
      <c r="P588" s="37"/>
    </row>
    <row r="589" spans="14:16" ht="13.5" customHeight="1" x14ac:dyDescent="0.3">
      <c r="N589" s="37"/>
      <c r="O589" s="37"/>
      <c r="P589" s="37"/>
    </row>
    <row r="590" spans="14:16" ht="13.5" customHeight="1" x14ac:dyDescent="0.3">
      <c r="N590" s="37"/>
      <c r="O590" s="37"/>
      <c r="P590" s="37"/>
    </row>
    <row r="591" spans="14:16" ht="13.5" customHeight="1" x14ac:dyDescent="0.3">
      <c r="N591" s="37"/>
      <c r="O591" s="37"/>
      <c r="P591" s="37"/>
    </row>
    <row r="592" spans="14:16" ht="13.5" customHeight="1" x14ac:dyDescent="0.3">
      <c r="N592" s="37"/>
      <c r="O592" s="37"/>
      <c r="P592" s="37"/>
    </row>
    <row r="593" spans="14:16" ht="13.5" customHeight="1" x14ac:dyDescent="0.3">
      <c r="N593" s="37"/>
      <c r="O593" s="37"/>
      <c r="P593" s="37"/>
    </row>
    <row r="594" spans="14:16" ht="13.5" customHeight="1" x14ac:dyDescent="0.3">
      <c r="N594" s="37"/>
      <c r="O594" s="37"/>
      <c r="P594" s="37"/>
    </row>
    <row r="595" spans="14:16" ht="13.5" customHeight="1" x14ac:dyDescent="0.3">
      <c r="N595" s="37"/>
      <c r="O595" s="37"/>
      <c r="P595" s="37"/>
    </row>
    <row r="596" spans="14:16" ht="13.5" customHeight="1" x14ac:dyDescent="0.3">
      <c r="N596" s="37"/>
      <c r="O596" s="37"/>
      <c r="P596" s="37"/>
    </row>
    <row r="597" spans="14:16" ht="13.5" customHeight="1" x14ac:dyDescent="0.3">
      <c r="N597" s="37"/>
      <c r="O597" s="37"/>
      <c r="P597" s="37"/>
    </row>
    <row r="598" spans="14:16" ht="13.5" customHeight="1" x14ac:dyDescent="0.3">
      <c r="N598" s="37"/>
      <c r="O598" s="37"/>
      <c r="P598" s="37"/>
    </row>
    <row r="599" spans="14:16" ht="13.5" customHeight="1" x14ac:dyDescent="0.3">
      <c r="N599" s="37"/>
      <c r="O599" s="37"/>
      <c r="P599" s="37"/>
    </row>
    <row r="600" spans="14:16" ht="13.5" customHeight="1" x14ac:dyDescent="0.3">
      <c r="N600" s="37"/>
      <c r="O600" s="37"/>
      <c r="P600" s="37"/>
    </row>
    <row r="601" spans="14:16" ht="13.5" customHeight="1" x14ac:dyDescent="0.3">
      <c r="N601" s="37"/>
      <c r="O601" s="37"/>
      <c r="P601" s="37"/>
    </row>
    <row r="602" spans="14:16" ht="13.5" customHeight="1" x14ac:dyDescent="0.3">
      <c r="N602" s="37"/>
      <c r="O602" s="37"/>
      <c r="P602" s="37"/>
    </row>
    <row r="603" spans="14:16" ht="13.5" customHeight="1" x14ac:dyDescent="0.3">
      <c r="N603" s="37"/>
      <c r="O603" s="37"/>
      <c r="P603" s="37"/>
    </row>
    <row r="604" spans="14:16" ht="13.5" customHeight="1" x14ac:dyDescent="0.3">
      <c r="N604" s="37"/>
      <c r="O604" s="37"/>
      <c r="P604" s="37"/>
    </row>
    <row r="605" spans="14:16" ht="13.5" customHeight="1" x14ac:dyDescent="0.3">
      <c r="N605" s="37"/>
      <c r="O605" s="37"/>
      <c r="P605" s="37"/>
    </row>
    <row r="606" spans="14:16" ht="13.5" customHeight="1" x14ac:dyDescent="0.3">
      <c r="N606" s="37"/>
      <c r="O606" s="37"/>
      <c r="P606" s="37"/>
    </row>
    <row r="607" spans="14:16" ht="13.5" customHeight="1" x14ac:dyDescent="0.3">
      <c r="N607" s="37"/>
      <c r="O607" s="37"/>
      <c r="P607" s="37"/>
    </row>
    <row r="608" spans="14:16" ht="13.5" customHeight="1" x14ac:dyDescent="0.3">
      <c r="N608" s="37"/>
      <c r="O608" s="37"/>
      <c r="P608" s="37"/>
    </row>
    <row r="609" spans="14:16" ht="13.5" customHeight="1" x14ac:dyDescent="0.3">
      <c r="N609" s="37"/>
      <c r="O609" s="37"/>
      <c r="P609" s="37"/>
    </row>
    <row r="610" spans="14:16" ht="13.5" customHeight="1" x14ac:dyDescent="0.3">
      <c r="N610" s="37"/>
      <c r="O610" s="37"/>
      <c r="P610" s="37"/>
    </row>
    <row r="611" spans="14:16" ht="13.5" customHeight="1" x14ac:dyDescent="0.3">
      <c r="N611" s="37"/>
      <c r="O611" s="37"/>
      <c r="P611" s="37"/>
    </row>
    <row r="612" spans="14:16" ht="13.5" customHeight="1" x14ac:dyDescent="0.3">
      <c r="N612" s="37"/>
      <c r="O612" s="37"/>
      <c r="P612" s="37"/>
    </row>
    <row r="613" spans="14:16" ht="13.5" customHeight="1" x14ac:dyDescent="0.3">
      <c r="N613" s="37"/>
      <c r="O613" s="37"/>
      <c r="P613" s="37"/>
    </row>
    <row r="614" spans="14:16" ht="13.5" customHeight="1" x14ac:dyDescent="0.3">
      <c r="N614" s="37"/>
      <c r="O614" s="37"/>
      <c r="P614" s="37"/>
    </row>
    <row r="615" spans="14:16" ht="13.5" customHeight="1" x14ac:dyDescent="0.3">
      <c r="N615" s="37"/>
      <c r="O615" s="37"/>
      <c r="P615" s="37"/>
    </row>
    <row r="616" spans="14:16" ht="13.5" customHeight="1" x14ac:dyDescent="0.3">
      <c r="N616" s="37"/>
      <c r="O616" s="37"/>
      <c r="P616" s="37"/>
    </row>
    <row r="617" spans="14:16" ht="13.5" customHeight="1" x14ac:dyDescent="0.3">
      <c r="N617" s="37"/>
      <c r="O617" s="37"/>
      <c r="P617" s="37"/>
    </row>
    <row r="618" spans="14:16" ht="13.5" customHeight="1" x14ac:dyDescent="0.3">
      <c r="N618" s="37"/>
      <c r="O618" s="37"/>
      <c r="P618" s="37"/>
    </row>
    <row r="619" spans="14:16" ht="13.5" customHeight="1" x14ac:dyDescent="0.3">
      <c r="N619" s="37"/>
      <c r="O619" s="37"/>
      <c r="P619" s="37"/>
    </row>
    <row r="620" spans="14:16" ht="13.5" customHeight="1" x14ac:dyDescent="0.3">
      <c r="N620" s="37"/>
      <c r="O620" s="37"/>
      <c r="P620" s="37"/>
    </row>
    <row r="621" spans="14:16" ht="13.5" customHeight="1" x14ac:dyDescent="0.3">
      <c r="N621" s="37"/>
      <c r="O621" s="37"/>
      <c r="P621" s="37"/>
    </row>
    <row r="622" spans="14:16" ht="13.5" customHeight="1" x14ac:dyDescent="0.3">
      <c r="N622" s="37"/>
      <c r="O622" s="37"/>
      <c r="P622" s="37"/>
    </row>
    <row r="623" spans="14:16" ht="13.5" customHeight="1" x14ac:dyDescent="0.3">
      <c r="N623" s="37"/>
      <c r="O623" s="37"/>
      <c r="P623" s="37"/>
    </row>
    <row r="624" spans="14:16" ht="13.5" customHeight="1" x14ac:dyDescent="0.3">
      <c r="N624" s="37"/>
      <c r="O624" s="37"/>
      <c r="P624" s="37"/>
    </row>
    <row r="625" spans="14:16" ht="13.5" customHeight="1" x14ac:dyDescent="0.3">
      <c r="N625" s="37"/>
      <c r="O625" s="37"/>
      <c r="P625" s="37"/>
    </row>
    <row r="626" spans="14:16" ht="13.5" customHeight="1" x14ac:dyDescent="0.3">
      <c r="N626" s="37"/>
      <c r="O626" s="37"/>
      <c r="P626" s="37"/>
    </row>
    <row r="627" spans="14:16" ht="13.5" customHeight="1" x14ac:dyDescent="0.3">
      <c r="N627" s="37"/>
      <c r="O627" s="37"/>
      <c r="P627" s="37"/>
    </row>
    <row r="628" spans="14:16" ht="13.5" customHeight="1" x14ac:dyDescent="0.3">
      <c r="N628" s="37"/>
      <c r="O628" s="37"/>
      <c r="P628" s="37"/>
    </row>
    <row r="629" spans="14:16" ht="13.5" customHeight="1" x14ac:dyDescent="0.3">
      <c r="N629" s="37"/>
      <c r="O629" s="37"/>
      <c r="P629" s="37"/>
    </row>
    <row r="630" spans="14:16" ht="13.5" customHeight="1" x14ac:dyDescent="0.3">
      <c r="N630" s="37"/>
      <c r="O630" s="37"/>
      <c r="P630" s="37"/>
    </row>
    <row r="631" spans="14:16" ht="13.5" customHeight="1" x14ac:dyDescent="0.3">
      <c r="N631" s="37"/>
      <c r="O631" s="37"/>
      <c r="P631" s="37"/>
    </row>
    <row r="632" spans="14:16" ht="13.5" customHeight="1" x14ac:dyDescent="0.3">
      <c r="N632" s="37"/>
      <c r="O632" s="37"/>
      <c r="P632" s="37"/>
    </row>
    <row r="633" spans="14:16" ht="13.5" customHeight="1" x14ac:dyDescent="0.3">
      <c r="N633" s="37"/>
      <c r="O633" s="37"/>
      <c r="P633" s="37"/>
    </row>
    <row r="634" spans="14:16" ht="13.5" customHeight="1" x14ac:dyDescent="0.3">
      <c r="N634" s="37"/>
      <c r="O634" s="37"/>
      <c r="P634" s="37"/>
    </row>
    <row r="635" spans="14:16" ht="13.5" customHeight="1" x14ac:dyDescent="0.3">
      <c r="N635" s="37"/>
      <c r="O635" s="37"/>
      <c r="P635" s="37"/>
    </row>
    <row r="636" spans="14:16" ht="13.5" customHeight="1" x14ac:dyDescent="0.3">
      <c r="N636" s="37"/>
      <c r="O636" s="37"/>
      <c r="P636" s="37"/>
    </row>
    <row r="637" spans="14:16" ht="13.5" customHeight="1" x14ac:dyDescent="0.3">
      <c r="N637" s="37"/>
      <c r="O637" s="37"/>
      <c r="P637" s="37"/>
    </row>
    <row r="638" spans="14:16" ht="13.5" customHeight="1" x14ac:dyDescent="0.3">
      <c r="N638" s="37"/>
      <c r="O638" s="37"/>
      <c r="P638" s="37"/>
    </row>
    <row r="639" spans="14:16" ht="13.5" customHeight="1" x14ac:dyDescent="0.3">
      <c r="N639" s="37"/>
      <c r="O639" s="37"/>
      <c r="P639" s="37"/>
    </row>
    <row r="640" spans="14:16" ht="13.5" customHeight="1" x14ac:dyDescent="0.3">
      <c r="N640" s="37"/>
      <c r="O640" s="37"/>
      <c r="P640" s="37"/>
    </row>
    <row r="641" spans="14:16" ht="13.5" customHeight="1" x14ac:dyDescent="0.3">
      <c r="N641" s="37"/>
      <c r="O641" s="37"/>
      <c r="P641" s="37"/>
    </row>
    <row r="642" spans="14:16" ht="13.5" customHeight="1" x14ac:dyDescent="0.3">
      <c r="N642" s="37"/>
      <c r="O642" s="37"/>
      <c r="P642" s="37"/>
    </row>
    <row r="643" spans="14:16" ht="13.5" customHeight="1" x14ac:dyDescent="0.3">
      <c r="N643" s="37"/>
      <c r="O643" s="37"/>
      <c r="P643" s="37"/>
    </row>
    <row r="644" spans="14:16" ht="13.5" customHeight="1" x14ac:dyDescent="0.3">
      <c r="N644" s="37"/>
      <c r="O644" s="37"/>
      <c r="P644" s="37"/>
    </row>
    <row r="645" spans="14:16" ht="13.5" customHeight="1" x14ac:dyDescent="0.3">
      <c r="N645" s="37"/>
      <c r="O645" s="37"/>
      <c r="P645" s="37"/>
    </row>
    <row r="646" spans="14:16" ht="13.5" customHeight="1" x14ac:dyDescent="0.3">
      <c r="N646" s="37"/>
      <c r="O646" s="37"/>
      <c r="P646" s="37"/>
    </row>
    <row r="647" spans="14:16" ht="13.5" customHeight="1" x14ac:dyDescent="0.3">
      <c r="N647" s="37"/>
      <c r="O647" s="37"/>
      <c r="P647" s="37"/>
    </row>
    <row r="648" spans="14:16" ht="13.5" customHeight="1" x14ac:dyDescent="0.3">
      <c r="N648" s="37"/>
      <c r="O648" s="37"/>
      <c r="P648" s="37"/>
    </row>
    <row r="649" spans="14:16" ht="13.5" customHeight="1" x14ac:dyDescent="0.3">
      <c r="N649" s="37"/>
      <c r="O649" s="37"/>
      <c r="P649" s="37"/>
    </row>
    <row r="650" spans="14:16" ht="13.5" customHeight="1" x14ac:dyDescent="0.3">
      <c r="N650" s="37"/>
      <c r="O650" s="37"/>
      <c r="P650" s="37"/>
    </row>
    <row r="651" spans="14:16" ht="13.5" customHeight="1" x14ac:dyDescent="0.3">
      <c r="N651" s="37"/>
      <c r="O651" s="37"/>
      <c r="P651" s="37"/>
    </row>
    <row r="652" spans="14:16" ht="13.5" customHeight="1" x14ac:dyDescent="0.3">
      <c r="N652" s="37"/>
      <c r="O652" s="37"/>
      <c r="P652" s="37"/>
    </row>
    <row r="653" spans="14:16" ht="13.5" customHeight="1" x14ac:dyDescent="0.3">
      <c r="N653" s="37"/>
      <c r="O653" s="37"/>
      <c r="P653" s="37"/>
    </row>
    <row r="654" spans="14:16" ht="13.5" customHeight="1" x14ac:dyDescent="0.3">
      <c r="N654" s="37"/>
      <c r="O654" s="37"/>
      <c r="P654" s="37"/>
    </row>
    <row r="655" spans="14:16" ht="13.5" customHeight="1" x14ac:dyDescent="0.3">
      <c r="N655" s="37"/>
      <c r="O655" s="37"/>
      <c r="P655" s="37"/>
    </row>
    <row r="656" spans="14:16" ht="13.5" customHeight="1" x14ac:dyDescent="0.3">
      <c r="N656" s="37"/>
      <c r="O656" s="37"/>
      <c r="P656" s="37"/>
    </row>
    <row r="657" spans="14:16" ht="13.5" customHeight="1" x14ac:dyDescent="0.3">
      <c r="N657" s="37"/>
      <c r="O657" s="37"/>
      <c r="P657" s="37"/>
    </row>
    <row r="658" spans="14:16" ht="13.5" customHeight="1" x14ac:dyDescent="0.3">
      <c r="N658" s="37"/>
      <c r="O658" s="37"/>
      <c r="P658" s="37"/>
    </row>
    <row r="659" spans="14:16" ht="13.5" customHeight="1" x14ac:dyDescent="0.3">
      <c r="N659" s="37"/>
      <c r="O659" s="37"/>
      <c r="P659" s="37"/>
    </row>
    <row r="660" spans="14:16" ht="13.5" customHeight="1" x14ac:dyDescent="0.3">
      <c r="N660" s="37"/>
      <c r="O660" s="37"/>
      <c r="P660" s="37"/>
    </row>
    <row r="661" spans="14:16" ht="13.5" customHeight="1" x14ac:dyDescent="0.3">
      <c r="N661" s="37"/>
      <c r="O661" s="37"/>
      <c r="P661" s="37"/>
    </row>
    <row r="662" spans="14:16" ht="13.5" customHeight="1" x14ac:dyDescent="0.3">
      <c r="N662" s="37"/>
      <c r="O662" s="37"/>
      <c r="P662" s="37"/>
    </row>
    <row r="663" spans="14:16" ht="13.5" customHeight="1" x14ac:dyDescent="0.3">
      <c r="N663" s="37"/>
      <c r="O663" s="37"/>
      <c r="P663" s="37"/>
    </row>
    <row r="664" spans="14:16" ht="13.5" customHeight="1" x14ac:dyDescent="0.3">
      <c r="N664" s="37"/>
      <c r="O664" s="37"/>
      <c r="P664" s="37"/>
    </row>
    <row r="665" spans="14:16" ht="13.5" customHeight="1" x14ac:dyDescent="0.3">
      <c r="N665" s="37"/>
      <c r="O665" s="37"/>
      <c r="P665" s="37"/>
    </row>
    <row r="666" spans="14:16" ht="13.5" customHeight="1" x14ac:dyDescent="0.3">
      <c r="N666" s="37"/>
      <c r="O666" s="37"/>
      <c r="P666" s="37"/>
    </row>
    <row r="667" spans="14:16" ht="13.5" customHeight="1" x14ac:dyDescent="0.3">
      <c r="N667" s="37"/>
      <c r="O667" s="37"/>
      <c r="P667" s="37"/>
    </row>
    <row r="668" spans="14:16" ht="13.5" customHeight="1" x14ac:dyDescent="0.3">
      <c r="N668" s="37"/>
      <c r="O668" s="37"/>
      <c r="P668" s="37"/>
    </row>
    <row r="669" spans="14:16" ht="13.5" customHeight="1" x14ac:dyDescent="0.3">
      <c r="N669" s="37"/>
      <c r="O669" s="37"/>
      <c r="P669" s="37"/>
    </row>
    <row r="670" spans="14:16" ht="13.5" customHeight="1" x14ac:dyDescent="0.3">
      <c r="N670" s="37"/>
      <c r="O670" s="37"/>
      <c r="P670" s="37"/>
    </row>
    <row r="671" spans="14:16" ht="13.5" customHeight="1" x14ac:dyDescent="0.3">
      <c r="N671" s="37"/>
      <c r="O671" s="37"/>
      <c r="P671" s="37"/>
    </row>
    <row r="672" spans="14:16" ht="13.5" customHeight="1" x14ac:dyDescent="0.3">
      <c r="N672" s="37"/>
      <c r="O672" s="37"/>
      <c r="P672" s="37"/>
    </row>
    <row r="673" spans="14:16" ht="13.5" customHeight="1" x14ac:dyDescent="0.3">
      <c r="N673" s="37"/>
      <c r="O673" s="37"/>
      <c r="P673" s="37"/>
    </row>
    <row r="674" spans="14:16" ht="13.5" customHeight="1" x14ac:dyDescent="0.3">
      <c r="N674" s="37"/>
      <c r="O674" s="37"/>
      <c r="P674" s="37"/>
    </row>
    <row r="675" spans="14:16" ht="13.5" customHeight="1" x14ac:dyDescent="0.3">
      <c r="N675" s="37"/>
      <c r="O675" s="37"/>
      <c r="P675" s="37"/>
    </row>
    <row r="676" spans="14:16" ht="13.5" customHeight="1" x14ac:dyDescent="0.3">
      <c r="N676" s="37"/>
      <c r="O676" s="37"/>
      <c r="P676" s="37"/>
    </row>
    <row r="677" spans="14:16" ht="13.5" customHeight="1" x14ac:dyDescent="0.3">
      <c r="N677" s="37"/>
      <c r="O677" s="37"/>
      <c r="P677" s="37"/>
    </row>
    <row r="678" spans="14:16" ht="13.5" customHeight="1" x14ac:dyDescent="0.3">
      <c r="N678" s="37"/>
      <c r="O678" s="37"/>
      <c r="P678" s="37"/>
    </row>
    <row r="679" spans="14:16" ht="13.5" customHeight="1" x14ac:dyDescent="0.3">
      <c r="N679" s="37"/>
      <c r="O679" s="37"/>
      <c r="P679" s="37"/>
    </row>
    <row r="680" spans="14:16" ht="13.5" customHeight="1" x14ac:dyDescent="0.3">
      <c r="N680" s="37"/>
      <c r="O680" s="37"/>
      <c r="P680" s="37"/>
    </row>
    <row r="681" spans="14:16" ht="13.5" customHeight="1" x14ac:dyDescent="0.3">
      <c r="N681" s="37"/>
      <c r="O681" s="37"/>
      <c r="P681" s="37"/>
    </row>
    <row r="682" spans="14:16" ht="13.5" customHeight="1" x14ac:dyDescent="0.3">
      <c r="N682" s="37"/>
      <c r="O682" s="37"/>
      <c r="P682" s="37"/>
    </row>
    <row r="683" spans="14:16" ht="13.5" customHeight="1" x14ac:dyDescent="0.3">
      <c r="N683" s="37"/>
      <c r="O683" s="37"/>
      <c r="P683" s="37"/>
    </row>
    <row r="684" spans="14:16" ht="13.5" customHeight="1" x14ac:dyDescent="0.3">
      <c r="N684" s="37"/>
      <c r="O684" s="37"/>
      <c r="P684" s="37"/>
    </row>
    <row r="685" spans="14:16" ht="13.5" customHeight="1" x14ac:dyDescent="0.3">
      <c r="N685" s="37"/>
      <c r="O685" s="37"/>
      <c r="P685" s="37"/>
    </row>
    <row r="686" spans="14:16" ht="13.5" customHeight="1" x14ac:dyDescent="0.3">
      <c r="N686" s="37"/>
      <c r="O686" s="37"/>
      <c r="P686" s="37"/>
    </row>
    <row r="687" spans="14:16" ht="13.5" customHeight="1" x14ac:dyDescent="0.3">
      <c r="N687" s="37"/>
      <c r="O687" s="37"/>
      <c r="P687" s="37"/>
    </row>
    <row r="688" spans="14:16" ht="13.5" customHeight="1" x14ac:dyDescent="0.3">
      <c r="N688" s="37"/>
      <c r="O688" s="37"/>
      <c r="P688" s="37"/>
    </row>
    <row r="689" spans="14:16" ht="13.5" customHeight="1" x14ac:dyDescent="0.3">
      <c r="N689" s="37"/>
      <c r="O689" s="37"/>
      <c r="P689" s="37"/>
    </row>
    <row r="690" spans="14:16" ht="13.5" customHeight="1" x14ac:dyDescent="0.3">
      <c r="N690" s="37"/>
      <c r="O690" s="37"/>
      <c r="P690" s="37"/>
    </row>
    <row r="691" spans="14:16" ht="13.5" customHeight="1" x14ac:dyDescent="0.3">
      <c r="N691" s="37"/>
      <c r="O691" s="37"/>
      <c r="P691" s="37"/>
    </row>
    <row r="692" spans="14:16" ht="13.5" customHeight="1" x14ac:dyDescent="0.3">
      <c r="N692" s="37"/>
      <c r="O692" s="37"/>
      <c r="P692" s="37"/>
    </row>
    <row r="693" spans="14:16" ht="13.5" customHeight="1" x14ac:dyDescent="0.3">
      <c r="N693" s="37"/>
      <c r="O693" s="37"/>
      <c r="P693" s="37"/>
    </row>
    <row r="694" spans="14:16" ht="13.5" customHeight="1" x14ac:dyDescent="0.3">
      <c r="N694" s="37"/>
      <c r="O694" s="37"/>
      <c r="P694" s="37"/>
    </row>
    <row r="695" spans="14:16" ht="13.5" customHeight="1" x14ac:dyDescent="0.3">
      <c r="N695" s="37"/>
      <c r="O695" s="37"/>
      <c r="P695" s="37"/>
    </row>
    <row r="696" spans="14:16" ht="13.5" customHeight="1" x14ac:dyDescent="0.3">
      <c r="N696" s="37"/>
      <c r="O696" s="37"/>
      <c r="P696" s="37"/>
    </row>
    <row r="697" spans="14:16" ht="13.5" customHeight="1" x14ac:dyDescent="0.3">
      <c r="N697" s="37"/>
      <c r="O697" s="37"/>
      <c r="P697" s="37"/>
    </row>
    <row r="698" spans="14:16" ht="13.5" customHeight="1" x14ac:dyDescent="0.3">
      <c r="N698" s="37"/>
      <c r="O698" s="37"/>
      <c r="P698" s="37"/>
    </row>
    <row r="699" spans="14:16" ht="13.5" customHeight="1" x14ac:dyDescent="0.3">
      <c r="N699" s="37"/>
      <c r="O699" s="37"/>
      <c r="P699" s="37"/>
    </row>
    <row r="700" spans="14:16" ht="13.5" customHeight="1" x14ac:dyDescent="0.3">
      <c r="N700" s="37"/>
      <c r="O700" s="37"/>
      <c r="P700" s="37"/>
    </row>
    <row r="701" spans="14:16" ht="13.5" customHeight="1" x14ac:dyDescent="0.3">
      <c r="N701" s="37"/>
      <c r="O701" s="37"/>
      <c r="P701" s="37"/>
    </row>
    <row r="702" spans="14:16" ht="13.5" customHeight="1" x14ac:dyDescent="0.3">
      <c r="N702" s="37"/>
      <c r="O702" s="37"/>
      <c r="P702" s="37"/>
    </row>
    <row r="703" spans="14:16" ht="13.5" customHeight="1" x14ac:dyDescent="0.3">
      <c r="N703" s="37"/>
      <c r="O703" s="37"/>
      <c r="P703" s="37"/>
    </row>
    <row r="704" spans="14:16" ht="13.5" customHeight="1" x14ac:dyDescent="0.3">
      <c r="N704" s="37"/>
      <c r="O704" s="37"/>
      <c r="P704" s="37"/>
    </row>
    <row r="705" spans="14:16" ht="13.5" customHeight="1" x14ac:dyDescent="0.3">
      <c r="N705" s="37"/>
      <c r="O705" s="37"/>
      <c r="P705" s="37"/>
    </row>
    <row r="706" spans="14:16" ht="13.5" customHeight="1" x14ac:dyDescent="0.3">
      <c r="N706" s="37"/>
      <c r="O706" s="37"/>
      <c r="P706" s="37"/>
    </row>
    <row r="707" spans="14:16" ht="13.5" customHeight="1" x14ac:dyDescent="0.3">
      <c r="N707" s="37"/>
      <c r="O707" s="37"/>
      <c r="P707" s="37"/>
    </row>
    <row r="708" spans="14:16" ht="13.5" customHeight="1" x14ac:dyDescent="0.3">
      <c r="N708" s="37"/>
      <c r="O708" s="37"/>
      <c r="P708" s="37"/>
    </row>
    <row r="709" spans="14:16" ht="13.5" customHeight="1" x14ac:dyDescent="0.3">
      <c r="N709" s="37"/>
      <c r="O709" s="37"/>
      <c r="P709" s="37"/>
    </row>
    <row r="710" spans="14:16" ht="13.5" customHeight="1" x14ac:dyDescent="0.3">
      <c r="N710" s="37"/>
      <c r="O710" s="37"/>
      <c r="P710" s="37"/>
    </row>
    <row r="711" spans="14:16" ht="13.5" customHeight="1" x14ac:dyDescent="0.3">
      <c r="N711" s="37"/>
      <c r="O711" s="37"/>
      <c r="P711" s="37"/>
    </row>
    <row r="712" spans="14:16" ht="13.5" customHeight="1" x14ac:dyDescent="0.3">
      <c r="N712" s="37"/>
      <c r="O712" s="37"/>
      <c r="P712" s="37"/>
    </row>
    <row r="713" spans="14:16" ht="13.5" customHeight="1" x14ac:dyDescent="0.3">
      <c r="N713" s="37"/>
      <c r="O713" s="37"/>
      <c r="P713" s="37"/>
    </row>
    <row r="714" spans="14:16" ht="13.5" customHeight="1" x14ac:dyDescent="0.3">
      <c r="N714" s="37"/>
      <c r="O714" s="37"/>
      <c r="P714" s="37"/>
    </row>
    <row r="715" spans="14:16" ht="13.5" customHeight="1" x14ac:dyDescent="0.3">
      <c r="N715" s="37"/>
      <c r="O715" s="37"/>
      <c r="P715" s="37"/>
    </row>
    <row r="716" spans="14:16" ht="13.5" customHeight="1" x14ac:dyDescent="0.3">
      <c r="N716" s="37"/>
      <c r="O716" s="37"/>
      <c r="P716" s="37"/>
    </row>
    <row r="717" spans="14:16" ht="13.5" customHeight="1" x14ac:dyDescent="0.3">
      <c r="N717" s="37"/>
      <c r="O717" s="37"/>
      <c r="P717" s="37"/>
    </row>
    <row r="718" spans="14:16" ht="13.5" customHeight="1" x14ac:dyDescent="0.3">
      <c r="N718" s="37"/>
      <c r="O718" s="37"/>
      <c r="P718" s="37"/>
    </row>
    <row r="719" spans="14:16" ht="13.5" customHeight="1" x14ac:dyDescent="0.3">
      <c r="N719" s="37"/>
      <c r="O719" s="37"/>
      <c r="P719" s="37"/>
    </row>
    <row r="720" spans="14:16" ht="13.5" customHeight="1" x14ac:dyDescent="0.3">
      <c r="N720" s="37"/>
      <c r="O720" s="37"/>
      <c r="P720" s="37"/>
    </row>
    <row r="721" spans="14:16" ht="13.5" customHeight="1" x14ac:dyDescent="0.3">
      <c r="N721" s="37"/>
      <c r="O721" s="37"/>
      <c r="P721" s="37"/>
    </row>
    <row r="722" spans="14:16" ht="13.5" customHeight="1" x14ac:dyDescent="0.3">
      <c r="N722" s="37"/>
      <c r="O722" s="37"/>
      <c r="P722" s="37"/>
    </row>
    <row r="723" spans="14:16" ht="13.5" customHeight="1" x14ac:dyDescent="0.3">
      <c r="N723" s="37"/>
      <c r="O723" s="37"/>
      <c r="P723" s="37"/>
    </row>
    <row r="724" spans="14:16" ht="13.5" customHeight="1" x14ac:dyDescent="0.3">
      <c r="N724" s="37"/>
      <c r="O724" s="37"/>
      <c r="P724" s="37"/>
    </row>
    <row r="725" spans="14:16" ht="13.5" customHeight="1" x14ac:dyDescent="0.3">
      <c r="N725" s="37"/>
      <c r="O725" s="37"/>
      <c r="P725" s="37"/>
    </row>
    <row r="726" spans="14:16" ht="13.5" customHeight="1" x14ac:dyDescent="0.3">
      <c r="N726" s="37"/>
      <c r="O726" s="37"/>
      <c r="P726" s="37"/>
    </row>
    <row r="727" spans="14:16" ht="13.5" customHeight="1" x14ac:dyDescent="0.3">
      <c r="N727" s="37"/>
      <c r="O727" s="37"/>
      <c r="P727" s="37"/>
    </row>
    <row r="728" spans="14:16" ht="13.5" customHeight="1" x14ac:dyDescent="0.3">
      <c r="N728" s="37"/>
      <c r="O728" s="37"/>
      <c r="P728" s="37"/>
    </row>
    <row r="729" spans="14:16" ht="13.5" customHeight="1" x14ac:dyDescent="0.3">
      <c r="N729" s="37"/>
      <c r="O729" s="37"/>
      <c r="P729" s="37"/>
    </row>
    <row r="730" spans="14:16" ht="13.5" customHeight="1" x14ac:dyDescent="0.3">
      <c r="N730" s="37"/>
      <c r="O730" s="37"/>
      <c r="P730" s="37"/>
    </row>
    <row r="731" spans="14:16" ht="13.5" customHeight="1" x14ac:dyDescent="0.3">
      <c r="N731" s="37"/>
      <c r="O731" s="37"/>
      <c r="P731" s="37"/>
    </row>
    <row r="732" spans="14:16" ht="13.5" customHeight="1" x14ac:dyDescent="0.3">
      <c r="N732" s="37"/>
      <c r="O732" s="37"/>
      <c r="P732" s="37"/>
    </row>
    <row r="733" spans="14:16" ht="13.5" customHeight="1" x14ac:dyDescent="0.3">
      <c r="N733" s="37"/>
      <c r="O733" s="37"/>
      <c r="P733" s="37"/>
    </row>
    <row r="734" spans="14:16" ht="13.5" customHeight="1" x14ac:dyDescent="0.3">
      <c r="N734" s="37"/>
      <c r="O734" s="37"/>
      <c r="P734" s="37"/>
    </row>
    <row r="735" spans="14:16" ht="13.5" customHeight="1" x14ac:dyDescent="0.3">
      <c r="N735" s="37"/>
      <c r="O735" s="37"/>
      <c r="P735" s="37"/>
    </row>
    <row r="736" spans="14:16" ht="13.5" customHeight="1" x14ac:dyDescent="0.3">
      <c r="N736" s="37"/>
      <c r="O736" s="37"/>
      <c r="P736" s="37"/>
    </row>
    <row r="737" spans="14:16" ht="13.5" customHeight="1" x14ac:dyDescent="0.3">
      <c r="N737" s="37"/>
      <c r="O737" s="37"/>
      <c r="P737" s="37"/>
    </row>
    <row r="738" spans="14:16" ht="13.5" customHeight="1" x14ac:dyDescent="0.3">
      <c r="N738" s="37"/>
      <c r="O738" s="37"/>
      <c r="P738" s="37"/>
    </row>
    <row r="739" spans="14:16" ht="13.5" customHeight="1" x14ac:dyDescent="0.3">
      <c r="N739" s="37"/>
      <c r="O739" s="37"/>
      <c r="P739" s="37"/>
    </row>
    <row r="740" spans="14:16" ht="13.5" customHeight="1" x14ac:dyDescent="0.3">
      <c r="N740" s="37"/>
      <c r="O740" s="37"/>
      <c r="P740" s="37"/>
    </row>
    <row r="741" spans="14:16" ht="13.5" customHeight="1" x14ac:dyDescent="0.3">
      <c r="N741" s="37"/>
      <c r="O741" s="37"/>
      <c r="P741" s="37"/>
    </row>
    <row r="742" spans="14:16" ht="13.5" customHeight="1" x14ac:dyDescent="0.3">
      <c r="N742" s="37"/>
      <c r="O742" s="37"/>
      <c r="P742" s="37"/>
    </row>
    <row r="743" spans="14:16" ht="13.5" customHeight="1" x14ac:dyDescent="0.3">
      <c r="N743" s="37"/>
      <c r="O743" s="37"/>
      <c r="P743" s="37"/>
    </row>
    <row r="744" spans="14:16" ht="13.5" customHeight="1" x14ac:dyDescent="0.3">
      <c r="N744" s="37"/>
      <c r="O744" s="37"/>
      <c r="P744" s="37"/>
    </row>
    <row r="745" spans="14:16" ht="13.5" customHeight="1" x14ac:dyDescent="0.3">
      <c r="N745" s="37"/>
      <c r="O745" s="37"/>
      <c r="P745" s="37"/>
    </row>
    <row r="746" spans="14:16" ht="13.5" customHeight="1" x14ac:dyDescent="0.3">
      <c r="N746" s="37"/>
      <c r="O746" s="37"/>
      <c r="P746" s="37"/>
    </row>
    <row r="747" spans="14:16" ht="13.5" customHeight="1" x14ac:dyDescent="0.3">
      <c r="N747" s="37"/>
      <c r="O747" s="37"/>
      <c r="P747" s="37"/>
    </row>
    <row r="748" spans="14:16" ht="13.5" customHeight="1" x14ac:dyDescent="0.3">
      <c r="N748" s="37"/>
      <c r="O748" s="37"/>
      <c r="P748" s="37"/>
    </row>
    <row r="749" spans="14:16" ht="13.5" customHeight="1" x14ac:dyDescent="0.3">
      <c r="N749" s="37"/>
      <c r="O749" s="37"/>
      <c r="P749" s="37"/>
    </row>
    <row r="750" spans="14:16" ht="13.5" customHeight="1" x14ac:dyDescent="0.3">
      <c r="N750" s="37"/>
      <c r="O750" s="37"/>
      <c r="P750" s="37"/>
    </row>
    <row r="751" spans="14:16" ht="13.5" customHeight="1" x14ac:dyDescent="0.3">
      <c r="N751" s="37"/>
      <c r="O751" s="37"/>
      <c r="P751" s="37"/>
    </row>
    <row r="752" spans="14:16" ht="13.5" customHeight="1" x14ac:dyDescent="0.3">
      <c r="N752" s="37"/>
      <c r="O752" s="37"/>
      <c r="P752" s="37"/>
    </row>
    <row r="753" spans="14:16" ht="13.5" customHeight="1" x14ac:dyDescent="0.3">
      <c r="N753" s="37"/>
      <c r="O753" s="37"/>
      <c r="P753" s="37"/>
    </row>
    <row r="754" spans="14:16" ht="13.5" customHeight="1" x14ac:dyDescent="0.3">
      <c r="N754" s="37"/>
      <c r="O754" s="37"/>
      <c r="P754" s="37"/>
    </row>
    <row r="755" spans="14:16" ht="13.5" customHeight="1" x14ac:dyDescent="0.3">
      <c r="N755" s="37"/>
      <c r="O755" s="37"/>
      <c r="P755" s="37"/>
    </row>
    <row r="756" spans="14:16" ht="13.5" customHeight="1" x14ac:dyDescent="0.3">
      <c r="N756" s="37"/>
      <c r="O756" s="37"/>
      <c r="P756" s="37"/>
    </row>
    <row r="757" spans="14:16" ht="13.5" customHeight="1" x14ac:dyDescent="0.3">
      <c r="N757" s="37"/>
      <c r="O757" s="37"/>
      <c r="P757" s="37"/>
    </row>
    <row r="758" spans="14:16" ht="13.5" customHeight="1" x14ac:dyDescent="0.3">
      <c r="N758" s="37"/>
      <c r="O758" s="37"/>
      <c r="P758" s="37"/>
    </row>
    <row r="759" spans="14:16" ht="13.5" customHeight="1" x14ac:dyDescent="0.3">
      <c r="N759" s="37"/>
      <c r="O759" s="37"/>
      <c r="P759" s="37"/>
    </row>
    <row r="760" spans="14:16" ht="13.5" customHeight="1" x14ac:dyDescent="0.3">
      <c r="N760" s="37"/>
      <c r="O760" s="37"/>
      <c r="P760" s="37"/>
    </row>
    <row r="761" spans="14:16" ht="13.5" customHeight="1" x14ac:dyDescent="0.3">
      <c r="N761" s="37"/>
      <c r="O761" s="37"/>
      <c r="P761" s="37"/>
    </row>
    <row r="762" spans="14:16" ht="13.5" customHeight="1" x14ac:dyDescent="0.3">
      <c r="N762" s="37"/>
      <c r="O762" s="37"/>
      <c r="P762" s="37"/>
    </row>
    <row r="763" spans="14:16" ht="13.5" customHeight="1" x14ac:dyDescent="0.3">
      <c r="N763" s="37"/>
      <c r="O763" s="37"/>
      <c r="P763" s="37"/>
    </row>
    <row r="764" spans="14:16" ht="13.5" customHeight="1" x14ac:dyDescent="0.3">
      <c r="N764" s="37"/>
      <c r="O764" s="37"/>
      <c r="P764" s="37"/>
    </row>
    <row r="765" spans="14:16" ht="13.5" customHeight="1" x14ac:dyDescent="0.3">
      <c r="N765" s="37"/>
      <c r="O765" s="37"/>
      <c r="P765" s="37"/>
    </row>
    <row r="766" spans="14:16" ht="13.5" customHeight="1" x14ac:dyDescent="0.3">
      <c r="N766" s="37"/>
      <c r="O766" s="37"/>
      <c r="P766" s="37"/>
    </row>
    <row r="767" spans="14:16" ht="13.5" customHeight="1" x14ac:dyDescent="0.3">
      <c r="N767" s="37"/>
      <c r="O767" s="37"/>
      <c r="P767" s="37"/>
    </row>
    <row r="768" spans="14:16" ht="13.5" customHeight="1" x14ac:dyDescent="0.3">
      <c r="N768" s="37"/>
      <c r="O768" s="37"/>
      <c r="P768" s="37"/>
    </row>
    <row r="769" spans="14:16" ht="13.5" customHeight="1" x14ac:dyDescent="0.3">
      <c r="N769" s="37"/>
      <c r="O769" s="37"/>
      <c r="P769" s="37"/>
    </row>
    <row r="770" spans="14:16" ht="13.5" customHeight="1" x14ac:dyDescent="0.3">
      <c r="N770" s="37"/>
      <c r="O770" s="37"/>
      <c r="P770" s="37"/>
    </row>
    <row r="771" spans="14:16" ht="13.5" customHeight="1" x14ac:dyDescent="0.3">
      <c r="N771" s="37"/>
      <c r="O771" s="37"/>
      <c r="P771" s="37"/>
    </row>
    <row r="772" spans="14:16" ht="13.5" customHeight="1" x14ac:dyDescent="0.3">
      <c r="N772" s="37"/>
      <c r="O772" s="37"/>
      <c r="P772" s="37"/>
    </row>
    <row r="773" spans="14:16" ht="13.5" customHeight="1" x14ac:dyDescent="0.3">
      <c r="N773" s="37"/>
      <c r="O773" s="37"/>
      <c r="P773" s="37"/>
    </row>
    <row r="774" spans="14:16" ht="13.5" customHeight="1" x14ac:dyDescent="0.3">
      <c r="N774" s="37"/>
      <c r="O774" s="37"/>
      <c r="P774" s="37"/>
    </row>
    <row r="775" spans="14:16" ht="13.5" customHeight="1" x14ac:dyDescent="0.3">
      <c r="N775" s="37"/>
      <c r="O775" s="37"/>
      <c r="P775" s="37"/>
    </row>
    <row r="776" spans="14:16" ht="13.5" customHeight="1" x14ac:dyDescent="0.3">
      <c r="N776" s="37"/>
      <c r="O776" s="37"/>
      <c r="P776" s="37"/>
    </row>
    <row r="777" spans="14:16" ht="13.5" customHeight="1" x14ac:dyDescent="0.3">
      <c r="N777" s="37"/>
      <c r="O777" s="37"/>
      <c r="P777" s="37"/>
    </row>
    <row r="778" spans="14:16" ht="13.5" customHeight="1" x14ac:dyDescent="0.3">
      <c r="N778" s="37"/>
      <c r="O778" s="37"/>
      <c r="P778" s="37"/>
    </row>
    <row r="779" spans="14:16" ht="13.5" customHeight="1" x14ac:dyDescent="0.3">
      <c r="N779" s="37"/>
      <c r="O779" s="37"/>
      <c r="P779" s="37"/>
    </row>
    <row r="780" spans="14:16" ht="13.5" customHeight="1" x14ac:dyDescent="0.3">
      <c r="N780" s="37"/>
      <c r="O780" s="37"/>
      <c r="P780" s="37"/>
    </row>
    <row r="781" spans="14:16" ht="13.5" customHeight="1" x14ac:dyDescent="0.3">
      <c r="N781" s="37"/>
      <c r="O781" s="37"/>
      <c r="P781" s="37"/>
    </row>
    <row r="782" spans="14:16" ht="13.5" customHeight="1" x14ac:dyDescent="0.3">
      <c r="N782" s="37"/>
      <c r="O782" s="37"/>
      <c r="P782" s="37"/>
    </row>
    <row r="783" spans="14:16" ht="13.5" customHeight="1" x14ac:dyDescent="0.3">
      <c r="N783" s="37"/>
      <c r="O783" s="37"/>
      <c r="P783" s="37"/>
    </row>
    <row r="784" spans="14:16" ht="13.5" customHeight="1" x14ac:dyDescent="0.3">
      <c r="N784" s="37"/>
      <c r="O784" s="37"/>
      <c r="P784" s="37"/>
    </row>
    <row r="785" spans="14:16" ht="13.5" customHeight="1" x14ac:dyDescent="0.3">
      <c r="N785" s="37"/>
      <c r="O785" s="37"/>
      <c r="P785" s="37"/>
    </row>
    <row r="786" spans="14:16" ht="13.5" customHeight="1" x14ac:dyDescent="0.3">
      <c r="N786" s="37"/>
      <c r="O786" s="37"/>
      <c r="P786" s="37"/>
    </row>
    <row r="787" spans="14:16" ht="13.5" customHeight="1" x14ac:dyDescent="0.3">
      <c r="N787" s="37"/>
      <c r="O787" s="37"/>
      <c r="P787" s="37"/>
    </row>
    <row r="788" spans="14:16" ht="13.5" customHeight="1" x14ac:dyDescent="0.3">
      <c r="N788" s="37"/>
      <c r="O788" s="37"/>
      <c r="P788" s="37"/>
    </row>
    <row r="789" spans="14:16" ht="13.5" customHeight="1" x14ac:dyDescent="0.3">
      <c r="N789" s="37"/>
      <c r="O789" s="37"/>
      <c r="P789" s="37"/>
    </row>
    <row r="790" spans="14:16" ht="13.5" customHeight="1" x14ac:dyDescent="0.3">
      <c r="N790" s="37"/>
      <c r="O790" s="37"/>
      <c r="P790" s="37"/>
    </row>
    <row r="791" spans="14:16" ht="13.5" customHeight="1" x14ac:dyDescent="0.3">
      <c r="N791" s="37"/>
      <c r="O791" s="37"/>
      <c r="P791" s="37"/>
    </row>
    <row r="792" spans="14:16" ht="13.5" customHeight="1" x14ac:dyDescent="0.3">
      <c r="N792" s="37"/>
      <c r="O792" s="37"/>
      <c r="P792" s="37"/>
    </row>
    <row r="793" spans="14:16" ht="13.5" customHeight="1" x14ac:dyDescent="0.3">
      <c r="N793" s="37"/>
      <c r="O793" s="37"/>
      <c r="P793" s="37"/>
    </row>
    <row r="794" spans="14:16" ht="13.5" customHeight="1" x14ac:dyDescent="0.3">
      <c r="N794" s="37"/>
      <c r="O794" s="37"/>
      <c r="P794" s="37"/>
    </row>
    <row r="795" spans="14:16" ht="13.5" customHeight="1" x14ac:dyDescent="0.3">
      <c r="N795" s="37"/>
      <c r="O795" s="37"/>
      <c r="P795" s="37"/>
    </row>
    <row r="796" spans="14:16" ht="13.5" customHeight="1" x14ac:dyDescent="0.3">
      <c r="N796" s="37"/>
      <c r="O796" s="37"/>
      <c r="P796" s="37"/>
    </row>
    <row r="797" spans="14:16" ht="13.5" customHeight="1" x14ac:dyDescent="0.3">
      <c r="N797" s="37"/>
      <c r="O797" s="37"/>
      <c r="P797" s="37"/>
    </row>
    <row r="798" spans="14:16" ht="13.5" customHeight="1" x14ac:dyDescent="0.3">
      <c r="N798" s="37"/>
      <c r="O798" s="37"/>
      <c r="P798" s="37"/>
    </row>
    <row r="799" spans="14:16" ht="13.5" customHeight="1" x14ac:dyDescent="0.3">
      <c r="N799" s="37"/>
      <c r="O799" s="37"/>
      <c r="P799" s="37"/>
    </row>
    <row r="800" spans="14:16" ht="13.5" customHeight="1" x14ac:dyDescent="0.3">
      <c r="N800" s="37"/>
      <c r="O800" s="37"/>
      <c r="P800" s="37"/>
    </row>
    <row r="801" spans="14:16" ht="13.5" customHeight="1" x14ac:dyDescent="0.3">
      <c r="N801" s="37"/>
      <c r="O801" s="37"/>
      <c r="P801" s="37"/>
    </row>
    <row r="802" spans="14:16" ht="13.5" customHeight="1" x14ac:dyDescent="0.3">
      <c r="N802" s="37"/>
      <c r="O802" s="37"/>
      <c r="P802" s="37"/>
    </row>
    <row r="803" spans="14:16" ht="13.5" customHeight="1" x14ac:dyDescent="0.3">
      <c r="N803" s="37"/>
      <c r="O803" s="37"/>
      <c r="P803" s="37"/>
    </row>
    <row r="804" spans="14:16" ht="13.5" customHeight="1" x14ac:dyDescent="0.3">
      <c r="N804" s="37"/>
      <c r="O804" s="37"/>
      <c r="P804" s="37"/>
    </row>
    <row r="805" spans="14:16" ht="13.5" customHeight="1" x14ac:dyDescent="0.3">
      <c r="N805" s="37"/>
      <c r="O805" s="37"/>
      <c r="P805" s="37"/>
    </row>
    <row r="806" spans="14:16" ht="13.5" customHeight="1" x14ac:dyDescent="0.3">
      <c r="N806" s="37"/>
      <c r="O806" s="37"/>
      <c r="P806" s="37"/>
    </row>
    <row r="807" spans="14:16" ht="13.5" customHeight="1" x14ac:dyDescent="0.3">
      <c r="N807" s="37"/>
      <c r="O807" s="37"/>
      <c r="P807" s="37"/>
    </row>
    <row r="808" spans="14:16" ht="13.5" customHeight="1" x14ac:dyDescent="0.3">
      <c r="N808" s="37"/>
      <c r="O808" s="37"/>
      <c r="P808" s="37"/>
    </row>
    <row r="809" spans="14:16" ht="13.5" customHeight="1" x14ac:dyDescent="0.3">
      <c r="N809" s="37"/>
      <c r="O809" s="37"/>
      <c r="P809" s="37"/>
    </row>
    <row r="810" spans="14:16" ht="13.5" customHeight="1" x14ac:dyDescent="0.3">
      <c r="N810" s="37"/>
      <c r="O810" s="37"/>
      <c r="P810" s="37"/>
    </row>
    <row r="811" spans="14:16" ht="13.5" customHeight="1" x14ac:dyDescent="0.3">
      <c r="N811" s="37"/>
      <c r="O811" s="37"/>
      <c r="P811" s="37"/>
    </row>
    <row r="812" spans="14:16" ht="13.5" customHeight="1" x14ac:dyDescent="0.3">
      <c r="N812" s="37"/>
      <c r="O812" s="37"/>
      <c r="P812" s="37"/>
    </row>
    <row r="813" spans="14:16" ht="13.5" customHeight="1" x14ac:dyDescent="0.3">
      <c r="N813" s="37"/>
      <c r="O813" s="37"/>
      <c r="P813" s="37"/>
    </row>
    <row r="814" spans="14:16" ht="13.5" customHeight="1" x14ac:dyDescent="0.3">
      <c r="N814" s="37"/>
      <c r="O814" s="37"/>
      <c r="P814" s="37"/>
    </row>
    <row r="815" spans="14:16" ht="13.5" customHeight="1" x14ac:dyDescent="0.3">
      <c r="N815" s="37"/>
      <c r="O815" s="37"/>
      <c r="P815" s="37"/>
    </row>
    <row r="816" spans="14:16" ht="13.5" customHeight="1" x14ac:dyDescent="0.3">
      <c r="N816" s="37"/>
      <c r="O816" s="37"/>
      <c r="P816" s="37"/>
    </row>
    <row r="817" spans="14:16" ht="13.5" customHeight="1" x14ac:dyDescent="0.3">
      <c r="N817" s="37"/>
      <c r="O817" s="37"/>
      <c r="P817" s="37"/>
    </row>
    <row r="818" spans="14:16" ht="13.5" customHeight="1" x14ac:dyDescent="0.3">
      <c r="N818" s="37"/>
      <c r="O818" s="37"/>
      <c r="P818" s="37"/>
    </row>
    <row r="819" spans="14:16" ht="13.5" customHeight="1" x14ac:dyDescent="0.3">
      <c r="N819" s="37"/>
      <c r="O819" s="37"/>
      <c r="P819" s="37"/>
    </row>
    <row r="820" spans="14:16" ht="13.5" customHeight="1" x14ac:dyDescent="0.3">
      <c r="N820" s="37"/>
      <c r="O820" s="37"/>
      <c r="P820" s="37"/>
    </row>
    <row r="821" spans="14:16" ht="13.5" customHeight="1" x14ac:dyDescent="0.3">
      <c r="N821" s="37"/>
      <c r="O821" s="37"/>
      <c r="P821" s="37"/>
    </row>
    <row r="822" spans="14:16" ht="13.5" customHeight="1" x14ac:dyDescent="0.3">
      <c r="N822" s="37"/>
      <c r="O822" s="37"/>
      <c r="P822" s="37"/>
    </row>
    <row r="823" spans="14:16" ht="13.5" customHeight="1" x14ac:dyDescent="0.3">
      <c r="N823" s="37"/>
      <c r="O823" s="37"/>
      <c r="P823" s="37"/>
    </row>
    <row r="824" spans="14:16" ht="13.5" customHeight="1" x14ac:dyDescent="0.3">
      <c r="N824" s="37"/>
      <c r="O824" s="37"/>
      <c r="P824" s="37"/>
    </row>
    <row r="825" spans="14:16" ht="13.5" customHeight="1" x14ac:dyDescent="0.3">
      <c r="N825" s="37"/>
      <c r="O825" s="37"/>
      <c r="P825" s="37"/>
    </row>
    <row r="826" spans="14:16" ht="13.5" customHeight="1" x14ac:dyDescent="0.3">
      <c r="N826" s="37"/>
      <c r="O826" s="37"/>
      <c r="P826" s="37"/>
    </row>
    <row r="827" spans="14:16" ht="13.5" customHeight="1" x14ac:dyDescent="0.3">
      <c r="N827" s="37"/>
      <c r="O827" s="37"/>
      <c r="P827" s="37"/>
    </row>
    <row r="828" spans="14:16" ht="13.5" customHeight="1" x14ac:dyDescent="0.3">
      <c r="N828" s="37"/>
      <c r="O828" s="37"/>
      <c r="P828" s="37"/>
    </row>
    <row r="829" spans="14:16" ht="13.5" customHeight="1" x14ac:dyDescent="0.3">
      <c r="N829" s="37"/>
      <c r="O829" s="37"/>
      <c r="P829" s="37"/>
    </row>
    <row r="830" spans="14:16" ht="13.5" customHeight="1" x14ac:dyDescent="0.3">
      <c r="N830" s="37"/>
      <c r="O830" s="37"/>
      <c r="P830" s="37"/>
    </row>
    <row r="831" spans="14:16" ht="13.5" customHeight="1" x14ac:dyDescent="0.3">
      <c r="N831" s="37"/>
      <c r="O831" s="37"/>
      <c r="P831" s="37"/>
    </row>
    <row r="832" spans="14:16" ht="13.5" customHeight="1" x14ac:dyDescent="0.3">
      <c r="N832" s="37"/>
      <c r="O832" s="37"/>
      <c r="P832" s="37"/>
    </row>
    <row r="833" spans="14:16" ht="13.5" customHeight="1" x14ac:dyDescent="0.3">
      <c r="N833" s="37"/>
      <c r="O833" s="37"/>
      <c r="P833" s="37"/>
    </row>
    <row r="834" spans="14:16" ht="13.5" customHeight="1" x14ac:dyDescent="0.3">
      <c r="N834" s="37"/>
      <c r="O834" s="37"/>
      <c r="P834" s="37"/>
    </row>
    <row r="835" spans="14:16" ht="13.5" customHeight="1" x14ac:dyDescent="0.3">
      <c r="N835" s="37"/>
      <c r="O835" s="37"/>
      <c r="P835" s="37"/>
    </row>
    <row r="836" spans="14:16" ht="13.5" customHeight="1" x14ac:dyDescent="0.3">
      <c r="N836" s="37"/>
      <c r="O836" s="37"/>
      <c r="P836" s="37"/>
    </row>
    <row r="837" spans="14:16" ht="13.5" customHeight="1" x14ac:dyDescent="0.3">
      <c r="N837" s="37"/>
      <c r="O837" s="37"/>
      <c r="P837" s="37"/>
    </row>
    <row r="838" spans="14:16" ht="13.5" customHeight="1" x14ac:dyDescent="0.3">
      <c r="N838" s="37"/>
      <c r="O838" s="37"/>
      <c r="P838" s="37"/>
    </row>
    <row r="839" spans="14:16" ht="13.5" customHeight="1" x14ac:dyDescent="0.3">
      <c r="N839" s="37"/>
      <c r="O839" s="37"/>
      <c r="P839" s="37"/>
    </row>
    <row r="840" spans="14:16" ht="13.5" customHeight="1" x14ac:dyDescent="0.3">
      <c r="N840" s="37"/>
      <c r="O840" s="37"/>
      <c r="P840" s="37"/>
    </row>
    <row r="841" spans="14:16" ht="13.5" customHeight="1" x14ac:dyDescent="0.3">
      <c r="N841" s="37"/>
      <c r="O841" s="37"/>
      <c r="P841" s="37"/>
    </row>
    <row r="842" spans="14:16" ht="13.5" customHeight="1" x14ac:dyDescent="0.3">
      <c r="N842" s="37"/>
      <c r="O842" s="37"/>
      <c r="P842" s="37"/>
    </row>
    <row r="843" spans="14:16" ht="13.5" customHeight="1" x14ac:dyDescent="0.3">
      <c r="N843" s="37"/>
      <c r="O843" s="37"/>
      <c r="P843" s="37"/>
    </row>
    <row r="844" spans="14:16" ht="13.5" customHeight="1" x14ac:dyDescent="0.3">
      <c r="N844" s="37"/>
      <c r="O844" s="37"/>
      <c r="P844" s="37"/>
    </row>
    <row r="845" spans="14:16" ht="13.5" customHeight="1" x14ac:dyDescent="0.3">
      <c r="N845" s="37"/>
      <c r="O845" s="37"/>
      <c r="P845" s="37"/>
    </row>
    <row r="846" spans="14:16" ht="13.5" customHeight="1" x14ac:dyDescent="0.3">
      <c r="N846" s="37"/>
      <c r="O846" s="37"/>
      <c r="P846" s="37"/>
    </row>
    <row r="847" spans="14:16" ht="13.5" customHeight="1" x14ac:dyDescent="0.3">
      <c r="N847" s="37"/>
      <c r="O847" s="37"/>
      <c r="P847" s="37"/>
    </row>
    <row r="848" spans="14:16" ht="13.5" customHeight="1" x14ac:dyDescent="0.3">
      <c r="N848" s="37"/>
      <c r="O848" s="37"/>
      <c r="P848" s="37"/>
    </row>
    <row r="849" spans="14:16" ht="13.5" customHeight="1" x14ac:dyDescent="0.3">
      <c r="N849" s="37"/>
      <c r="O849" s="37"/>
      <c r="P849" s="37"/>
    </row>
    <row r="850" spans="14:16" ht="13.5" customHeight="1" x14ac:dyDescent="0.3">
      <c r="N850" s="37"/>
      <c r="O850" s="37"/>
      <c r="P850" s="37"/>
    </row>
    <row r="851" spans="14:16" ht="13.5" customHeight="1" x14ac:dyDescent="0.3">
      <c r="N851" s="37"/>
      <c r="O851" s="37"/>
      <c r="P851" s="37"/>
    </row>
    <row r="852" spans="14:16" ht="13.5" customHeight="1" x14ac:dyDescent="0.3">
      <c r="N852" s="37"/>
      <c r="O852" s="37"/>
      <c r="P852" s="37"/>
    </row>
    <row r="853" spans="14:16" ht="13.5" customHeight="1" x14ac:dyDescent="0.3">
      <c r="N853" s="37"/>
      <c r="O853" s="37"/>
      <c r="P853" s="37"/>
    </row>
    <row r="854" spans="14:16" ht="13.5" customHeight="1" x14ac:dyDescent="0.3">
      <c r="N854" s="37"/>
      <c r="O854" s="37"/>
      <c r="P854" s="37"/>
    </row>
    <row r="855" spans="14:16" ht="13.5" customHeight="1" x14ac:dyDescent="0.3">
      <c r="N855" s="37"/>
      <c r="O855" s="37"/>
      <c r="P855" s="37"/>
    </row>
    <row r="856" spans="14:16" ht="13.5" customHeight="1" x14ac:dyDescent="0.3">
      <c r="N856" s="37"/>
      <c r="O856" s="37"/>
      <c r="P856" s="37"/>
    </row>
    <row r="857" spans="14:16" ht="13.5" customHeight="1" x14ac:dyDescent="0.3">
      <c r="N857" s="37"/>
      <c r="O857" s="37"/>
      <c r="P857" s="37"/>
    </row>
    <row r="858" spans="14:16" ht="13.5" customHeight="1" x14ac:dyDescent="0.3">
      <c r="N858" s="37"/>
      <c r="O858" s="37"/>
      <c r="P858" s="37"/>
    </row>
    <row r="859" spans="14:16" ht="13.5" customHeight="1" x14ac:dyDescent="0.3">
      <c r="N859" s="37"/>
      <c r="O859" s="37"/>
      <c r="P859" s="37"/>
    </row>
    <row r="860" spans="14:16" ht="13.5" customHeight="1" x14ac:dyDescent="0.3">
      <c r="N860" s="37"/>
      <c r="O860" s="37"/>
      <c r="P860" s="37"/>
    </row>
    <row r="861" spans="14:16" ht="13.5" customHeight="1" x14ac:dyDescent="0.3">
      <c r="N861" s="37"/>
      <c r="O861" s="37"/>
      <c r="P861" s="37"/>
    </row>
    <row r="862" spans="14:16" ht="13.5" customHeight="1" x14ac:dyDescent="0.3">
      <c r="N862" s="37"/>
      <c r="O862" s="37"/>
      <c r="P862" s="37"/>
    </row>
    <row r="863" spans="14:16" ht="13.5" customHeight="1" x14ac:dyDescent="0.3">
      <c r="N863" s="37"/>
      <c r="O863" s="37"/>
      <c r="P863" s="37"/>
    </row>
    <row r="864" spans="14:16" ht="13.5" customHeight="1" x14ac:dyDescent="0.3">
      <c r="N864" s="37"/>
      <c r="O864" s="37"/>
      <c r="P864" s="37"/>
    </row>
    <row r="865" spans="14:16" ht="13.5" customHeight="1" x14ac:dyDescent="0.3">
      <c r="N865" s="37"/>
      <c r="O865" s="37"/>
      <c r="P865" s="37"/>
    </row>
    <row r="866" spans="14:16" ht="13.5" customHeight="1" x14ac:dyDescent="0.3">
      <c r="N866" s="37"/>
      <c r="O866" s="37"/>
      <c r="P866" s="37"/>
    </row>
    <row r="867" spans="14:16" ht="13.5" customHeight="1" x14ac:dyDescent="0.3">
      <c r="N867" s="37"/>
      <c r="O867" s="37"/>
      <c r="P867" s="37"/>
    </row>
    <row r="868" spans="14:16" ht="13.5" customHeight="1" x14ac:dyDescent="0.3">
      <c r="N868" s="37"/>
      <c r="O868" s="37"/>
      <c r="P868" s="37"/>
    </row>
    <row r="869" spans="14:16" ht="13.5" customHeight="1" x14ac:dyDescent="0.3">
      <c r="N869" s="37"/>
      <c r="O869" s="37"/>
      <c r="P869" s="37"/>
    </row>
    <row r="870" spans="14:16" ht="13.5" customHeight="1" x14ac:dyDescent="0.3">
      <c r="N870" s="37"/>
      <c r="O870" s="37"/>
      <c r="P870" s="37"/>
    </row>
    <row r="871" spans="14:16" ht="13.5" customHeight="1" x14ac:dyDescent="0.3">
      <c r="N871" s="37"/>
      <c r="O871" s="37"/>
      <c r="P871" s="37"/>
    </row>
    <row r="872" spans="14:16" ht="13.5" customHeight="1" x14ac:dyDescent="0.3">
      <c r="N872" s="37"/>
      <c r="O872" s="37"/>
      <c r="P872" s="37"/>
    </row>
    <row r="873" spans="14:16" ht="13.5" customHeight="1" x14ac:dyDescent="0.3">
      <c r="N873" s="37"/>
      <c r="O873" s="37"/>
      <c r="P873" s="37"/>
    </row>
    <row r="874" spans="14:16" ht="13.5" customHeight="1" x14ac:dyDescent="0.3">
      <c r="N874" s="37"/>
      <c r="O874" s="37"/>
      <c r="P874" s="37"/>
    </row>
    <row r="875" spans="14:16" ht="13.5" customHeight="1" x14ac:dyDescent="0.3">
      <c r="N875" s="37"/>
      <c r="O875" s="37"/>
      <c r="P875" s="37"/>
    </row>
    <row r="876" spans="14:16" ht="13.5" customHeight="1" x14ac:dyDescent="0.3">
      <c r="N876" s="37"/>
      <c r="O876" s="37"/>
      <c r="P876" s="37"/>
    </row>
    <row r="877" spans="14:16" ht="13.5" customHeight="1" x14ac:dyDescent="0.3">
      <c r="N877" s="37"/>
      <c r="O877" s="37"/>
      <c r="P877" s="37"/>
    </row>
    <row r="878" spans="14:16" ht="13.5" customHeight="1" x14ac:dyDescent="0.3">
      <c r="N878" s="37"/>
      <c r="O878" s="37"/>
      <c r="P878" s="37"/>
    </row>
    <row r="879" spans="14:16" ht="13.5" customHeight="1" x14ac:dyDescent="0.3">
      <c r="N879" s="37"/>
      <c r="O879" s="37"/>
      <c r="P879" s="37"/>
    </row>
    <row r="880" spans="14:16" ht="13.5" customHeight="1" x14ac:dyDescent="0.3">
      <c r="N880" s="37"/>
      <c r="O880" s="37"/>
      <c r="P880" s="37"/>
    </row>
    <row r="881" spans="14:16" ht="13.5" customHeight="1" x14ac:dyDescent="0.3">
      <c r="N881" s="37"/>
      <c r="O881" s="37"/>
      <c r="P881" s="37"/>
    </row>
    <row r="882" spans="14:16" ht="13.5" customHeight="1" x14ac:dyDescent="0.3">
      <c r="N882" s="37"/>
      <c r="O882" s="37"/>
      <c r="P882" s="37"/>
    </row>
    <row r="883" spans="14:16" ht="13.5" customHeight="1" x14ac:dyDescent="0.3">
      <c r="N883" s="37"/>
      <c r="O883" s="37"/>
      <c r="P883" s="37"/>
    </row>
    <row r="884" spans="14:16" ht="13.5" customHeight="1" x14ac:dyDescent="0.3">
      <c r="N884" s="37"/>
      <c r="O884" s="37"/>
      <c r="P884" s="37"/>
    </row>
    <row r="885" spans="14:16" ht="13.5" customHeight="1" x14ac:dyDescent="0.3">
      <c r="N885" s="37"/>
      <c r="O885" s="37"/>
      <c r="P885" s="37"/>
    </row>
    <row r="886" spans="14:16" ht="13.5" customHeight="1" x14ac:dyDescent="0.3">
      <c r="N886" s="37"/>
      <c r="O886" s="37"/>
      <c r="P886" s="37"/>
    </row>
    <row r="887" spans="14:16" ht="13.5" customHeight="1" x14ac:dyDescent="0.3">
      <c r="N887" s="37"/>
      <c r="O887" s="37"/>
      <c r="P887" s="37"/>
    </row>
    <row r="888" spans="14:16" ht="13.5" customHeight="1" x14ac:dyDescent="0.3">
      <c r="N888" s="37"/>
      <c r="O888" s="37"/>
      <c r="P888" s="37"/>
    </row>
    <row r="889" spans="14:16" ht="13.5" customHeight="1" x14ac:dyDescent="0.3">
      <c r="N889" s="37"/>
      <c r="O889" s="37"/>
      <c r="P889" s="37"/>
    </row>
    <row r="890" spans="14:16" ht="13.5" customHeight="1" x14ac:dyDescent="0.3">
      <c r="N890" s="37"/>
      <c r="O890" s="37"/>
      <c r="P890" s="37"/>
    </row>
    <row r="891" spans="14:16" ht="13.5" customHeight="1" x14ac:dyDescent="0.3">
      <c r="N891" s="37"/>
      <c r="O891" s="37"/>
      <c r="P891" s="37"/>
    </row>
    <row r="892" spans="14:16" ht="13.5" customHeight="1" x14ac:dyDescent="0.3">
      <c r="N892" s="37"/>
      <c r="O892" s="37"/>
      <c r="P892" s="37"/>
    </row>
    <row r="893" spans="14:16" ht="13.5" customHeight="1" x14ac:dyDescent="0.3">
      <c r="N893" s="37"/>
      <c r="O893" s="37"/>
      <c r="P893" s="37"/>
    </row>
    <row r="894" spans="14:16" ht="13.5" customHeight="1" x14ac:dyDescent="0.3">
      <c r="N894" s="37"/>
      <c r="O894" s="37"/>
      <c r="P894" s="37"/>
    </row>
    <row r="895" spans="14:16" ht="13.5" customHeight="1" x14ac:dyDescent="0.3">
      <c r="N895" s="37"/>
      <c r="O895" s="37"/>
      <c r="P895" s="37"/>
    </row>
    <row r="896" spans="14:16" ht="13.5" customHeight="1" x14ac:dyDescent="0.3">
      <c r="N896" s="37"/>
      <c r="O896" s="37"/>
      <c r="P896" s="37"/>
    </row>
    <row r="897" spans="14:16" ht="13.5" customHeight="1" x14ac:dyDescent="0.3">
      <c r="N897" s="37"/>
      <c r="O897" s="37"/>
      <c r="P897" s="37"/>
    </row>
    <row r="898" spans="14:16" ht="13.5" customHeight="1" x14ac:dyDescent="0.3">
      <c r="N898" s="37"/>
      <c r="O898" s="37"/>
      <c r="P898" s="37"/>
    </row>
    <row r="899" spans="14:16" ht="13.5" customHeight="1" x14ac:dyDescent="0.3">
      <c r="N899" s="37"/>
      <c r="O899" s="37"/>
      <c r="P899" s="37"/>
    </row>
    <row r="900" spans="14:16" ht="13.5" customHeight="1" x14ac:dyDescent="0.3">
      <c r="N900" s="37"/>
      <c r="O900" s="37"/>
      <c r="P900" s="37"/>
    </row>
    <row r="901" spans="14:16" ht="13.5" customHeight="1" x14ac:dyDescent="0.3">
      <c r="N901" s="37"/>
      <c r="O901" s="37"/>
      <c r="P901" s="37"/>
    </row>
    <row r="902" spans="14:16" ht="13.5" customHeight="1" x14ac:dyDescent="0.3">
      <c r="N902" s="37"/>
      <c r="O902" s="37"/>
      <c r="P902" s="37"/>
    </row>
    <row r="903" spans="14:16" ht="13.5" customHeight="1" x14ac:dyDescent="0.3">
      <c r="N903" s="37"/>
      <c r="O903" s="37"/>
      <c r="P903" s="37"/>
    </row>
    <row r="904" spans="14:16" ht="13.5" customHeight="1" x14ac:dyDescent="0.3">
      <c r="N904" s="37"/>
      <c r="O904" s="37"/>
      <c r="P904" s="37"/>
    </row>
    <row r="905" spans="14:16" ht="13.5" customHeight="1" x14ac:dyDescent="0.3">
      <c r="N905" s="37"/>
      <c r="O905" s="37"/>
      <c r="P905" s="37"/>
    </row>
    <row r="906" spans="14:16" ht="13.5" customHeight="1" x14ac:dyDescent="0.3">
      <c r="N906" s="37"/>
      <c r="O906" s="37"/>
      <c r="P906" s="37"/>
    </row>
    <row r="907" spans="14:16" ht="13.5" customHeight="1" x14ac:dyDescent="0.3">
      <c r="N907" s="37"/>
      <c r="O907" s="37"/>
      <c r="P907" s="37"/>
    </row>
    <row r="908" spans="14:16" ht="13.5" customHeight="1" x14ac:dyDescent="0.3">
      <c r="N908" s="37"/>
      <c r="O908" s="37"/>
      <c r="P908" s="37"/>
    </row>
    <row r="909" spans="14:16" ht="13.5" customHeight="1" x14ac:dyDescent="0.3">
      <c r="N909" s="37"/>
      <c r="O909" s="37"/>
      <c r="P909" s="37"/>
    </row>
    <row r="910" spans="14:16" ht="13.5" customHeight="1" x14ac:dyDescent="0.3">
      <c r="N910" s="37"/>
      <c r="O910" s="37"/>
      <c r="P910" s="37"/>
    </row>
    <row r="911" spans="14:16" ht="13.5" customHeight="1" x14ac:dyDescent="0.3">
      <c r="N911" s="37"/>
      <c r="O911" s="37"/>
      <c r="P911" s="37"/>
    </row>
    <row r="912" spans="14:16" ht="13.5" customHeight="1" x14ac:dyDescent="0.3">
      <c r="N912" s="37"/>
      <c r="O912" s="37"/>
      <c r="P912" s="37"/>
    </row>
    <row r="913" spans="14:16" ht="13.5" customHeight="1" x14ac:dyDescent="0.3">
      <c r="N913" s="37"/>
      <c r="O913" s="37"/>
      <c r="P913" s="37"/>
    </row>
    <row r="914" spans="14:16" ht="13.5" customHeight="1" x14ac:dyDescent="0.3">
      <c r="N914" s="37"/>
      <c r="O914" s="37"/>
      <c r="P914" s="37"/>
    </row>
    <row r="915" spans="14:16" ht="13.5" customHeight="1" x14ac:dyDescent="0.3">
      <c r="N915" s="37"/>
      <c r="O915" s="37"/>
      <c r="P915" s="37"/>
    </row>
    <row r="916" spans="14:16" ht="13.5" customHeight="1" x14ac:dyDescent="0.3">
      <c r="N916" s="37"/>
      <c r="O916" s="37"/>
      <c r="P916" s="37"/>
    </row>
    <row r="917" spans="14:16" ht="13.5" customHeight="1" x14ac:dyDescent="0.3">
      <c r="N917" s="37"/>
      <c r="O917" s="37"/>
      <c r="P917" s="37"/>
    </row>
    <row r="918" spans="14:16" ht="13.5" customHeight="1" x14ac:dyDescent="0.3">
      <c r="N918" s="37"/>
      <c r="O918" s="37"/>
      <c r="P918" s="37"/>
    </row>
    <row r="919" spans="14:16" ht="13.5" customHeight="1" x14ac:dyDescent="0.3">
      <c r="N919" s="37"/>
      <c r="O919" s="37"/>
      <c r="P919" s="37"/>
    </row>
    <row r="920" spans="14:16" ht="13.5" customHeight="1" x14ac:dyDescent="0.3">
      <c r="N920" s="37"/>
      <c r="O920" s="37"/>
      <c r="P920" s="37"/>
    </row>
    <row r="921" spans="14:16" ht="13.5" customHeight="1" x14ac:dyDescent="0.3">
      <c r="N921" s="37"/>
      <c r="O921" s="37"/>
      <c r="P921" s="37"/>
    </row>
    <row r="922" spans="14:16" ht="13.5" customHeight="1" x14ac:dyDescent="0.3">
      <c r="N922" s="37"/>
      <c r="O922" s="37"/>
      <c r="P922" s="37"/>
    </row>
    <row r="923" spans="14:16" ht="13.5" customHeight="1" x14ac:dyDescent="0.3">
      <c r="N923" s="37"/>
      <c r="O923" s="37"/>
      <c r="P923" s="37"/>
    </row>
    <row r="924" spans="14:16" ht="13.5" customHeight="1" x14ac:dyDescent="0.3">
      <c r="N924" s="37"/>
      <c r="O924" s="37"/>
      <c r="P924" s="37"/>
    </row>
    <row r="925" spans="14:16" ht="13.5" customHeight="1" x14ac:dyDescent="0.3">
      <c r="N925" s="37"/>
      <c r="O925" s="37"/>
      <c r="P925" s="37"/>
    </row>
    <row r="926" spans="14:16" ht="13.5" customHeight="1" x14ac:dyDescent="0.3">
      <c r="N926" s="37"/>
      <c r="O926" s="37"/>
      <c r="P926" s="37"/>
    </row>
    <row r="927" spans="14:16" ht="13.5" customHeight="1" x14ac:dyDescent="0.3">
      <c r="N927" s="37"/>
      <c r="O927" s="37"/>
      <c r="P927" s="37"/>
    </row>
    <row r="928" spans="14:16" ht="13.5" customHeight="1" x14ac:dyDescent="0.3">
      <c r="N928" s="37"/>
      <c r="O928" s="37"/>
      <c r="P928" s="37"/>
    </row>
    <row r="929" spans="14:16" ht="13.5" customHeight="1" x14ac:dyDescent="0.3">
      <c r="N929" s="37"/>
      <c r="O929" s="37"/>
      <c r="P929" s="37"/>
    </row>
    <row r="930" spans="14:16" ht="13.5" customHeight="1" x14ac:dyDescent="0.3">
      <c r="N930" s="37"/>
      <c r="O930" s="37"/>
      <c r="P930" s="37"/>
    </row>
    <row r="931" spans="14:16" ht="13.5" customHeight="1" x14ac:dyDescent="0.3">
      <c r="N931" s="37"/>
      <c r="O931" s="37"/>
      <c r="P931" s="37"/>
    </row>
    <row r="932" spans="14:16" ht="13.5" customHeight="1" x14ac:dyDescent="0.3">
      <c r="N932" s="37"/>
      <c r="O932" s="37"/>
      <c r="P932" s="37"/>
    </row>
    <row r="933" spans="14:16" ht="13.5" customHeight="1" x14ac:dyDescent="0.3">
      <c r="N933" s="37"/>
      <c r="O933" s="37"/>
      <c r="P933" s="37"/>
    </row>
    <row r="934" spans="14:16" ht="13.5" customHeight="1" x14ac:dyDescent="0.3">
      <c r="N934" s="37"/>
      <c r="O934" s="37"/>
      <c r="P934" s="37"/>
    </row>
    <row r="935" spans="14:16" ht="13.5" customHeight="1" x14ac:dyDescent="0.3">
      <c r="N935" s="37"/>
      <c r="O935" s="37"/>
      <c r="P935" s="37"/>
    </row>
    <row r="936" spans="14:16" ht="13.5" customHeight="1" x14ac:dyDescent="0.3">
      <c r="N936" s="37"/>
      <c r="O936" s="37"/>
      <c r="P936" s="37"/>
    </row>
    <row r="937" spans="14:16" ht="13.5" customHeight="1" x14ac:dyDescent="0.3">
      <c r="N937" s="37"/>
      <c r="O937" s="37"/>
      <c r="P937" s="37"/>
    </row>
    <row r="938" spans="14:16" ht="13.5" customHeight="1" x14ac:dyDescent="0.3">
      <c r="N938" s="37"/>
      <c r="O938" s="37"/>
      <c r="P938" s="37"/>
    </row>
    <row r="939" spans="14:16" ht="13.5" customHeight="1" x14ac:dyDescent="0.3">
      <c r="N939" s="37"/>
      <c r="O939" s="37"/>
      <c r="P939" s="37"/>
    </row>
    <row r="940" spans="14:16" ht="13.5" customHeight="1" x14ac:dyDescent="0.3">
      <c r="N940" s="37"/>
      <c r="O940" s="37"/>
      <c r="P940" s="37"/>
    </row>
    <row r="941" spans="14:16" ht="13.5" customHeight="1" x14ac:dyDescent="0.3">
      <c r="N941" s="37"/>
      <c r="O941" s="37"/>
      <c r="P941" s="37"/>
    </row>
    <row r="942" spans="14:16" ht="13.5" customHeight="1" x14ac:dyDescent="0.3">
      <c r="N942" s="37"/>
      <c r="O942" s="37"/>
      <c r="P942" s="37"/>
    </row>
    <row r="943" spans="14:16" ht="13.5" customHeight="1" x14ac:dyDescent="0.3">
      <c r="N943" s="37"/>
      <c r="O943" s="37"/>
      <c r="P943" s="37"/>
    </row>
    <row r="944" spans="14:16" ht="13.5" customHeight="1" x14ac:dyDescent="0.3">
      <c r="N944" s="37"/>
      <c r="O944" s="37"/>
      <c r="P944" s="37"/>
    </row>
    <row r="945" spans="14:16" ht="13.5" customHeight="1" x14ac:dyDescent="0.3">
      <c r="N945" s="37"/>
      <c r="O945" s="37"/>
      <c r="P945" s="37"/>
    </row>
    <row r="946" spans="14:16" ht="13.5" customHeight="1" x14ac:dyDescent="0.3">
      <c r="N946" s="37"/>
      <c r="O946" s="37"/>
      <c r="P946" s="37"/>
    </row>
    <row r="947" spans="14:16" ht="13.5" customHeight="1" x14ac:dyDescent="0.3">
      <c r="N947" s="37"/>
      <c r="O947" s="37"/>
      <c r="P947" s="37"/>
    </row>
    <row r="948" spans="14:16" ht="13.5" customHeight="1" x14ac:dyDescent="0.3">
      <c r="N948" s="37"/>
      <c r="O948" s="37"/>
      <c r="P948" s="37"/>
    </row>
    <row r="949" spans="14:16" ht="13.5" customHeight="1" x14ac:dyDescent="0.3">
      <c r="N949" s="37"/>
      <c r="O949" s="37"/>
      <c r="P949" s="37"/>
    </row>
    <row r="950" spans="14:16" ht="13.5" customHeight="1" x14ac:dyDescent="0.3">
      <c r="N950" s="37"/>
      <c r="O950" s="37"/>
      <c r="P950" s="37"/>
    </row>
    <row r="951" spans="14:16" ht="13.5" customHeight="1" x14ac:dyDescent="0.3">
      <c r="N951" s="37"/>
      <c r="O951" s="37"/>
      <c r="P951" s="37"/>
    </row>
    <row r="952" spans="14:16" ht="13.5" customHeight="1" x14ac:dyDescent="0.3">
      <c r="N952" s="37"/>
      <c r="O952" s="37"/>
      <c r="P952" s="37"/>
    </row>
    <row r="953" spans="14:16" ht="13.5" customHeight="1" x14ac:dyDescent="0.3">
      <c r="N953" s="37"/>
      <c r="O953" s="37"/>
      <c r="P953" s="37"/>
    </row>
    <row r="954" spans="14:16" ht="13.5" customHeight="1" x14ac:dyDescent="0.3">
      <c r="N954" s="37"/>
      <c r="O954" s="37"/>
      <c r="P954" s="37"/>
    </row>
    <row r="955" spans="14:16" ht="13.5" customHeight="1" x14ac:dyDescent="0.3">
      <c r="N955" s="37"/>
      <c r="O955" s="37"/>
      <c r="P955" s="37"/>
    </row>
    <row r="956" spans="14:16" ht="13.5" customHeight="1" x14ac:dyDescent="0.3">
      <c r="N956" s="37"/>
      <c r="O956" s="37"/>
      <c r="P956" s="37"/>
    </row>
    <row r="957" spans="14:16" ht="13.5" customHeight="1" x14ac:dyDescent="0.3">
      <c r="N957" s="37"/>
      <c r="O957" s="37"/>
      <c r="P957" s="37"/>
    </row>
    <row r="958" spans="14:16" ht="13.5" customHeight="1" x14ac:dyDescent="0.3">
      <c r="N958" s="37"/>
      <c r="O958" s="37"/>
      <c r="P958" s="37"/>
    </row>
    <row r="959" spans="14:16" ht="13.5" customHeight="1" x14ac:dyDescent="0.3">
      <c r="N959" s="37"/>
      <c r="O959" s="37"/>
      <c r="P959" s="37"/>
    </row>
    <row r="960" spans="14:16" ht="13.5" customHeight="1" x14ac:dyDescent="0.3">
      <c r="N960" s="37"/>
      <c r="O960" s="37"/>
      <c r="P960" s="37"/>
    </row>
    <row r="961" spans="14:16" ht="13.5" customHeight="1" x14ac:dyDescent="0.3">
      <c r="N961" s="37"/>
      <c r="O961" s="37"/>
      <c r="P961" s="37"/>
    </row>
    <row r="962" spans="14:16" ht="13.5" customHeight="1" x14ac:dyDescent="0.3">
      <c r="N962" s="37"/>
      <c r="O962" s="37"/>
      <c r="P962" s="37"/>
    </row>
    <row r="963" spans="14:16" ht="13.5" customHeight="1" x14ac:dyDescent="0.3">
      <c r="N963" s="37"/>
      <c r="O963" s="37"/>
      <c r="P963" s="37"/>
    </row>
    <row r="964" spans="14:16" ht="13.5" customHeight="1" x14ac:dyDescent="0.3">
      <c r="N964" s="37"/>
      <c r="O964" s="37"/>
      <c r="P964" s="37"/>
    </row>
    <row r="965" spans="14:16" ht="13.5" customHeight="1" x14ac:dyDescent="0.3">
      <c r="N965" s="37"/>
      <c r="O965" s="37"/>
      <c r="P965" s="37"/>
    </row>
    <row r="966" spans="14:16" ht="13.5" customHeight="1" x14ac:dyDescent="0.3">
      <c r="N966" s="37"/>
      <c r="O966" s="37"/>
      <c r="P966" s="37"/>
    </row>
    <row r="967" spans="14:16" ht="13.5" customHeight="1" x14ac:dyDescent="0.3">
      <c r="N967" s="37"/>
      <c r="O967" s="37"/>
      <c r="P967" s="37"/>
    </row>
    <row r="968" spans="14:16" ht="13.5" customHeight="1" x14ac:dyDescent="0.3">
      <c r="N968" s="37"/>
      <c r="O968" s="37"/>
      <c r="P968" s="37"/>
    </row>
    <row r="969" spans="14:16" ht="13.5" customHeight="1" x14ac:dyDescent="0.3">
      <c r="N969" s="37"/>
      <c r="O969" s="37"/>
      <c r="P969" s="37"/>
    </row>
    <row r="970" spans="14:16" ht="13.5" customHeight="1" x14ac:dyDescent="0.3">
      <c r="N970" s="37"/>
      <c r="O970" s="37"/>
      <c r="P970" s="37"/>
    </row>
    <row r="971" spans="14:16" ht="13.5" customHeight="1" x14ac:dyDescent="0.3">
      <c r="N971" s="37"/>
      <c r="O971" s="37"/>
      <c r="P971" s="37"/>
    </row>
    <row r="972" spans="14:16" ht="13.5" customHeight="1" x14ac:dyDescent="0.3">
      <c r="N972" s="37"/>
      <c r="O972" s="37"/>
      <c r="P972" s="37"/>
    </row>
    <row r="973" spans="14:16" ht="13.5" customHeight="1" x14ac:dyDescent="0.3">
      <c r="N973" s="37"/>
      <c r="O973" s="37"/>
      <c r="P973" s="37"/>
    </row>
    <row r="974" spans="14:16" ht="13.5" customHeight="1" x14ac:dyDescent="0.3">
      <c r="N974" s="37"/>
      <c r="O974" s="37"/>
      <c r="P974" s="37"/>
    </row>
    <row r="975" spans="14:16" ht="13.5" customHeight="1" x14ac:dyDescent="0.3">
      <c r="N975" s="37"/>
      <c r="O975" s="37"/>
      <c r="P975" s="37"/>
    </row>
    <row r="976" spans="14:16" ht="13.5" customHeight="1" x14ac:dyDescent="0.3">
      <c r="N976" s="37"/>
      <c r="O976" s="37"/>
      <c r="P976" s="37"/>
    </row>
    <row r="977" spans="14:16" ht="13.5" customHeight="1" x14ac:dyDescent="0.3">
      <c r="N977" s="37"/>
      <c r="O977" s="37"/>
      <c r="P977" s="37"/>
    </row>
    <row r="978" spans="14:16" ht="13.5" customHeight="1" x14ac:dyDescent="0.3">
      <c r="N978" s="37"/>
      <c r="O978" s="37"/>
      <c r="P978" s="37"/>
    </row>
    <row r="979" spans="14:16" ht="13.5" customHeight="1" x14ac:dyDescent="0.3">
      <c r="N979" s="37"/>
      <c r="O979" s="37"/>
      <c r="P979" s="37"/>
    </row>
    <row r="980" spans="14:16" ht="13.5" customHeight="1" x14ac:dyDescent="0.3">
      <c r="N980" s="37"/>
      <c r="O980" s="37"/>
      <c r="P980" s="37"/>
    </row>
    <row r="981" spans="14:16" ht="13.5" customHeight="1" x14ac:dyDescent="0.3">
      <c r="N981" s="37"/>
      <c r="O981" s="37"/>
      <c r="P981" s="37"/>
    </row>
    <row r="982" spans="14:16" ht="13.5" customHeight="1" x14ac:dyDescent="0.3">
      <c r="N982" s="37"/>
      <c r="O982" s="37"/>
      <c r="P982" s="37"/>
    </row>
    <row r="983" spans="14:16" ht="13.5" customHeight="1" x14ac:dyDescent="0.3">
      <c r="N983" s="37"/>
      <c r="O983" s="37"/>
      <c r="P983" s="37"/>
    </row>
    <row r="984" spans="14:16" ht="13.5" customHeight="1" x14ac:dyDescent="0.3">
      <c r="N984" s="37"/>
      <c r="O984" s="37"/>
      <c r="P984" s="37"/>
    </row>
    <row r="985" spans="14:16" ht="13.5" customHeight="1" x14ac:dyDescent="0.3">
      <c r="N985" s="37"/>
      <c r="O985" s="37"/>
      <c r="P985" s="37"/>
    </row>
    <row r="986" spans="14:16" ht="13.5" customHeight="1" x14ac:dyDescent="0.3">
      <c r="N986" s="37"/>
      <c r="O986" s="37"/>
      <c r="P986" s="37"/>
    </row>
    <row r="987" spans="14:16" ht="13.5" customHeight="1" x14ac:dyDescent="0.3">
      <c r="N987" s="37"/>
      <c r="O987" s="37"/>
      <c r="P987" s="37"/>
    </row>
    <row r="988" spans="14:16" ht="13.5" customHeight="1" x14ac:dyDescent="0.3">
      <c r="N988" s="37"/>
      <c r="O988" s="37"/>
      <c r="P988" s="37"/>
    </row>
    <row r="989" spans="14:16" ht="13.5" customHeight="1" x14ac:dyDescent="0.3">
      <c r="N989" s="37"/>
      <c r="O989" s="37"/>
      <c r="P989" s="37"/>
    </row>
    <row r="990" spans="14:16" ht="13.5" customHeight="1" x14ac:dyDescent="0.3">
      <c r="N990" s="37"/>
      <c r="O990" s="37"/>
      <c r="P990" s="37"/>
    </row>
    <row r="991" spans="14:16" ht="13.5" customHeight="1" x14ac:dyDescent="0.3">
      <c r="N991" s="37"/>
      <c r="O991" s="37"/>
      <c r="P991" s="37"/>
    </row>
    <row r="992" spans="14:16" ht="13.5" customHeight="1" x14ac:dyDescent="0.3">
      <c r="N992" s="37"/>
      <c r="O992" s="37"/>
      <c r="P992" s="37"/>
    </row>
    <row r="993" spans="14:16" ht="13.5" customHeight="1" x14ac:dyDescent="0.3">
      <c r="N993" s="37"/>
      <c r="O993" s="37"/>
      <c r="P993" s="37"/>
    </row>
    <row r="994" spans="14:16" ht="13.5" customHeight="1" x14ac:dyDescent="0.3">
      <c r="N994" s="37"/>
      <c r="O994" s="37"/>
      <c r="P994" s="37"/>
    </row>
    <row r="995" spans="14:16" ht="13.5" customHeight="1" x14ac:dyDescent="0.3">
      <c r="N995" s="37"/>
      <c r="O995" s="37"/>
      <c r="P995" s="37"/>
    </row>
    <row r="996" spans="14:16" ht="13.5" customHeight="1" x14ac:dyDescent="0.3">
      <c r="N996" s="37"/>
      <c r="O996" s="37"/>
      <c r="P996" s="37"/>
    </row>
    <row r="997" spans="14:16" ht="13.5" customHeight="1" x14ac:dyDescent="0.3">
      <c r="N997" s="37"/>
      <c r="O997" s="37"/>
      <c r="P997" s="37"/>
    </row>
    <row r="998" spans="14:16" ht="13.5" customHeight="1" x14ac:dyDescent="0.3">
      <c r="N998" s="37"/>
      <c r="O998" s="37"/>
      <c r="P998" s="37"/>
    </row>
    <row r="999" spans="14:16" ht="13.5" customHeight="1" x14ac:dyDescent="0.3">
      <c r="N999" s="37"/>
      <c r="O999" s="37"/>
      <c r="P999" s="37"/>
    </row>
  </sheetData>
  <pageMargins left="0.75" right="0.75" top="1" bottom="1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967"/>
  <sheetViews>
    <sheetView zoomScaleNormal="100" workbookViewId="0">
      <pane xSplit="1" ySplit="5" topLeftCell="T63" activePane="bottomRight" state="frozen"/>
      <selection pane="topRight" activeCell="B1" sqref="B1"/>
      <selection pane="bottomLeft" activeCell="A6" sqref="A6"/>
      <selection pane="bottomRight" activeCell="AC68" sqref="AC68"/>
    </sheetView>
  </sheetViews>
  <sheetFormatPr defaultColWidth="14.44140625" defaultRowHeight="15" customHeight="1" x14ac:dyDescent="0.3"/>
  <cols>
    <col min="1" max="2" width="8.6640625" customWidth="1"/>
    <col min="3" max="3" width="11" customWidth="1"/>
    <col min="4" max="5" width="8.6640625" customWidth="1"/>
    <col min="6" max="9" width="13.5546875" customWidth="1"/>
    <col min="10" max="10" width="6.6640625" customWidth="1"/>
    <col min="11" max="11" width="13.5546875" customWidth="1"/>
    <col min="12" max="12" width="6.6640625" customWidth="1"/>
    <col min="13" max="13" width="13.5546875" customWidth="1"/>
    <col min="14" max="14" width="6.6640625" customWidth="1"/>
    <col min="15" max="15" width="13.5546875" customWidth="1"/>
    <col min="16" max="16" width="13.88671875" customWidth="1"/>
    <col min="17" max="17" width="16" customWidth="1"/>
    <col min="18" max="18" width="14.5546875" customWidth="1"/>
    <col min="19" max="19" width="13.44140625" customWidth="1"/>
    <col min="20" max="20" width="16" customWidth="1"/>
    <col min="21" max="21" width="8.6640625" customWidth="1"/>
    <col min="22" max="22" width="19.6640625" customWidth="1"/>
    <col min="23" max="23" width="18.6640625" customWidth="1"/>
    <col min="24" max="24" width="17.44140625" customWidth="1"/>
    <col min="25" max="26" width="8.6640625" customWidth="1"/>
    <col min="27" max="27" width="19.6640625" customWidth="1"/>
    <col min="28" max="28" width="18.6640625" customWidth="1"/>
    <col min="29" max="29" width="18" bestFit="1" customWidth="1"/>
    <col min="30" max="30" width="8.6640625" customWidth="1"/>
    <col min="31" max="32" width="16" customWidth="1"/>
  </cols>
  <sheetData>
    <row r="1" spans="1:32" ht="64.8" customHeight="1" x14ac:dyDescent="0.3">
      <c r="F1" s="36" t="s">
        <v>75</v>
      </c>
      <c r="G1" s="45">
        <v>1</v>
      </c>
      <c r="J1" s="36" t="s">
        <v>75</v>
      </c>
      <c r="K1" s="45">
        <v>1</v>
      </c>
      <c r="M1" s="45"/>
      <c r="O1" s="45"/>
      <c r="V1" s="40"/>
      <c r="W1" s="95"/>
      <c r="AA1" s="40"/>
      <c r="AB1" s="95"/>
    </row>
    <row r="2" spans="1:32" ht="13.5" customHeight="1" thickBot="1" x14ac:dyDescent="0.35">
      <c r="F2" s="36" t="s">
        <v>76</v>
      </c>
      <c r="G2" s="45">
        <f>G1*DADOS!B11</f>
        <v>3750000</v>
      </c>
      <c r="J2" s="36" t="s">
        <v>2</v>
      </c>
      <c r="K2" s="45">
        <f>K1*DADOS!G16</f>
        <v>50636803.499999993</v>
      </c>
      <c r="M2" s="45">
        <f>K1*DADOS!G17</f>
        <v>62452057.649999991</v>
      </c>
      <c r="O2" s="45">
        <f>K1*DADOS!G18</f>
        <v>28694188.649999995</v>
      </c>
      <c r="V2" s="34" t="s">
        <v>77</v>
      </c>
      <c r="W2" s="176">
        <f>ANÁLISES!B21</f>
        <v>1.1049422492014793E-2</v>
      </c>
      <c r="AA2" s="34" t="s">
        <v>77</v>
      </c>
      <c r="AB2" s="60">
        <f>ANÁLISES!B8</f>
        <v>7.2288136229410327E-3</v>
      </c>
    </row>
    <row r="3" spans="1:32" ht="13.5" customHeight="1" thickBot="1" x14ac:dyDescent="0.35">
      <c r="A3" s="192" t="s">
        <v>78</v>
      </c>
      <c r="B3" s="195" t="s">
        <v>79</v>
      </c>
      <c r="C3" s="196"/>
      <c r="D3" s="196"/>
      <c r="E3" s="197"/>
      <c r="F3" s="195" t="s">
        <v>80</v>
      </c>
      <c r="G3" s="196"/>
      <c r="H3" s="196"/>
      <c r="I3" s="197"/>
      <c r="J3" s="201" t="s">
        <v>148</v>
      </c>
      <c r="K3" s="202"/>
      <c r="L3" s="202"/>
      <c r="M3" s="202"/>
      <c r="N3" s="202"/>
      <c r="O3" s="202"/>
      <c r="P3" s="203"/>
      <c r="Q3" s="204" t="s">
        <v>81</v>
      </c>
      <c r="R3" s="205"/>
      <c r="S3" s="205"/>
      <c r="T3" s="206"/>
      <c r="U3" s="36"/>
      <c r="V3" s="217" t="s">
        <v>82</v>
      </c>
      <c r="W3" s="222"/>
      <c r="X3" s="218"/>
      <c r="Y3" s="192" t="s">
        <v>78</v>
      </c>
      <c r="Z3" s="36"/>
      <c r="AA3" s="223" t="s">
        <v>151</v>
      </c>
      <c r="AB3" s="222"/>
      <c r="AC3" s="218"/>
      <c r="AD3" s="36"/>
      <c r="AE3" s="217" t="s">
        <v>83</v>
      </c>
      <c r="AF3" s="218"/>
    </row>
    <row r="4" spans="1:32" ht="13.5" customHeight="1" thickBot="1" x14ac:dyDescent="0.35">
      <c r="A4" s="193"/>
      <c r="B4" s="198"/>
      <c r="C4" s="199"/>
      <c r="D4" s="199"/>
      <c r="E4" s="200"/>
      <c r="F4" s="198"/>
      <c r="G4" s="199"/>
      <c r="H4" s="199"/>
      <c r="I4" s="200"/>
      <c r="J4" s="213" t="s">
        <v>62</v>
      </c>
      <c r="K4" s="214"/>
      <c r="L4" s="215" t="s">
        <v>63</v>
      </c>
      <c r="M4" s="214"/>
      <c r="N4" s="215" t="s">
        <v>64</v>
      </c>
      <c r="O4" s="214"/>
      <c r="P4" s="216" t="s">
        <v>65</v>
      </c>
      <c r="Q4" s="207" t="s">
        <v>84</v>
      </c>
      <c r="R4" s="209" t="s">
        <v>85</v>
      </c>
      <c r="S4" s="209" t="s">
        <v>86</v>
      </c>
      <c r="T4" s="211" t="s">
        <v>87</v>
      </c>
      <c r="U4" s="36"/>
      <c r="V4" s="220" t="s">
        <v>147</v>
      </c>
      <c r="W4" s="221" t="s">
        <v>144</v>
      </c>
      <c r="X4" s="219" t="s">
        <v>88</v>
      </c>
      <c r="Y4" s="193"/>
      <c r="Z4" s="36"/>
      <c r="AA4" s="220" t="s">
        <v>150</v>
      </c>
      <c r="AB4" s="221" t="s">
        <v>144</v>
      </c>
      <c r="AC4" s="219" t="s">
        <v>88</v>
      </c>
      <c r="AD4" s="36"/>
      <c r="AE4" s="61"/>
      <c r="AF4" s="62"/>
    </row>
    <row r="5" spans="1:32" ht="13.5" customHeight="1" thickBot="1" x14ac:dyDescent="0.35">
      <c r="A5" s="194"/>
      <c r="B5" s="63" t="s">
        <v>62</v>
      </c>
      <c r="C5" s="64" t="s">
        <v>63</v>
      </c>
      <c r="D5" s="65" t="s">
        <v>64</v>
      </c>
      <c r="E5" s="66" t="s">
        <v>65</v>
      </c>
      <c r="F5" s="67" t="s">
        <v>62</v>
      </c>
      <c r="G5" s="68" t="s">
        <v>63</v>
      </c>
      <c r="H5" s="68" t="s">
        <v>64</v>
      </c>
      <c r="I5" s="69" t="s">
        <v>65</v>
      </c>
      <c r="J5" s="70" t="s">
        <v>6</v>
      </c>
      <c r="K5" s="71" t="s">
        <v>7</v>
      </c>
      <c r="L5" s="71" t="s">
        <v>6</v>
      </c>
      <c r="M5" s="71" t="s">
        <v>7</v>
      </c>
      <c r="N5" s="71" t="s">
        <v>6</v>
      </c>
      <c r="O5" s="71" t="s">
        <v>7</v>
      </c>
      <c r="P5" s="212"/>
      <c r="Q5" s="208"/>
      <c r="R5" s="210"/>
      <c r="S5" s="210"/>
      <c r="T5" s="212"/>
      <c r="U5" s="36"/>
      <c r="V5" s="208"/>
      <c r="W5" s="210"/>
      <c r="X5" s="212"/>
      <c r="Y5" s="194"/>
      <c r="Z5" s="36"/>
      <c r="AA5" s="208"/>
      <c r="AB5" s="210"/>
      <c r="AC5" s="212"/>
      <c r="AD5" s="36"/>
      <c r="AE5" s="72" t="s">
        <v>88</v>
      </c>
      <c r="AF5" s="62"/>
    </row>
    <row r="6" spans="1:32" ht="13.5" customHeight="1" x14ac:dyDescent="0.3">
      <c r="A6" s="73">
        <v>0</v>
      </c>
      <c r="B6" s="74">
        <v>0</v>
      </c>
      <c r="C6" s="75">
        <v>0</v>
      </c>
      <c r="D6" s="75">
        <v>0</v>
      </c>
      <c r="E6" s="76">
        <v>0</v>
      </c>
      <c r="F6" s="77">
        <v>0</v>
      </c>
      <c r="G6" s="77">
        <v>0</v>
      </c>
      <c r="H6" s="77">
        <v>0</v>
      </c>
      <c r="I6" s="77">
        <v>0</v>
      </c>
      <c r="J6" s="78">
        <v>0</v>
      </c>
      <c r="K6" s="79">
        <f t="shared" ref="K6:K7" si="0">J6*$K$2</f>
        <v>0</v>
      </c>
      <c r="L6" s="80">
        <v>0</v>
      </c>
      <c r="M6" s="79">
        <f t="shared" ref="M6:M7" si="1">L6*$M$2</f>
        <v>0</v>
      </c>
      <c r="N6" s="80">
        <v>0</v>
      </c>
      <c r="O6" s="79">
        <f t="shared" ref="O6:O7" si="2">N6*$O$2</f>
        <v>0</v>
      </c>
      <c r="P6" s="81">
        <f t="shared" ref="P6:P65" si="3">K6+M6+O6</f>
        <v>0</v>
      </c>
      <c r="Q6" s="82">
        <f t="shared" ref="Q6:Q7" si="4">I6</f>
        <v>0</v>
      </c>
      <c r="R6" s="79">
        <f t="shared" ref="R6:R7" si="5">P6</f>
        <v>0</v>
      </c>
      <c r="S6" s="81">
        <f t="shared" ref="S6:S64" si="6">I6-P6</f>
        <v>0</v>
      </c>
      <c r="T6" s="81">
        <f t="shared" ref="T6:T7" si="7">S6</f>
        <v>0</v>
      </c>
      <c r="U6" s="34"/>
      <c r="V6" s="166">
        <f t="shared" ref="V6:V37" si="8">I6*(1-$W$66)</f>
        <v>0</v>
      </c>
      <c r="W6" s="167">
        <f t="shared" ref="W6:W37" si="9">P6*(1+$W$67)</f>
        <v>0</v>
      </c>
      <c r="X6" s="167">
        <f t="shared" ref="X6" si="10">V6-W6</f>
        <v>0</v>
      </c>
      <c r="Y6" s="177">
        <f>A6</f>
        <v>0</v>
      </c>
      <c r="Z6" s="34"/>
      <c r="AA6" s="166">
        <f>I6*(1-$AB$66)</f>
        <v>0</v>
      </c>
      <c r="AB6" s="167">
        <f>P6*(1+$AB$67)</f>
        <v>0</v>
      </c>
      <c r="AC6" s="168">
        <f t="shared" ref="AC6:AC65" si="11">AA6-AB6</f>
        <v>0</v>
      </c>
      <c r="AD6" s="34"/>
      <c r="AE6" s="83">
        <f>-ANÁLISES!F13</f>
        <v>-165784898.4786348</v>
      </c>
      <c r="AF6" s="84">
        <f t="shared" ref="AF6:AF7" si="12">AE6</f>
        <v>-165784898.4786348</v>
      </c>
    </row>
    <row r="7" spans="1:32" ht="13.5" customHeight="1" x14ac:dyDescent="0.3">
      <c r="A7" s="85">
        <v>1</v>
      </c>
      <c r="B7" s="86">
        <v>0</v>
      </c>
      <c r="C7" s="87">
        <v>0</v>
      </c>
      <c r="D7" s="87">
        <v>0</v>
      </c>
      <c r="E7" s="88">
        <f t="shared" ref="E7:E65" si="13">B7+C7+D7</f>
        <v>0</v>
      </c>
      <c r="F7" s="77">
        <f t="shared" ref="F7:H7" si="14">B7*$G$2</f>
        <v>0</v>
      </c>
      <c r="G7" s="77">
        <f t="shared" si="14"/>
        <v>0</v>
      </c>
      <c r="H7" s="77">
        <f t="shared" si="14"/>
        <v>0</v>
      </c>
      <c r="I7" s="77">
        <f t="shared" ref="I7:I65" si="15">F7+G7+H7</f>
        <v>0</v>
      </c>
      <c r="J7" s="89">
        <v>0.01</v>
      </c>
      <c r="K7" s="77">
        <f t="shared" si="0"/>
        <v>506368.03499999992</v>
      </c>
      <c r="L7" s="90">
        <v>0</v>
      </c>
      <c r="M7" s="77">
        <f t="shared" si="1"/>
        <v>0</v>
      </c>
      <c r="N7" s="90">
        <v>0</v>
      </c>
      <c r="O7" s="77">
        <f t="shared" si="2"/>
        <v>0</v>
      </c>
      <c r="P7" s="84">
        <f t="shared" si="3"/>
        <v>506368.03499999992</v>
      </c>
      <c r="Q7" s="91">
        <f t="shared" si="4"/>
        <v>0</v>
      </c>
      <c r="R7" s="77">
        <f t="shared" si="5"/>
        <v>506368.03499999992</v>
      </c>
      <c r="S7" s="92">
        <f t="shared" si="6"/>
        <v>-506368.03499999992</v>
      </c>
      <c r="T7" s="84">
        <f t="shared" si="7"/>
        <v>-506368.03499999992</v>
      </c>
      <c r="U7" s="45"/>
      <c r="V7" s="169">
        <f t="shared" si="8"/>
        <v>0</v>
      </c>
      <c r="W7" s="165">
        <f t="shared" si="9"/>
        <v>623288.41428149992</v>
      </c>
      <c r="X7" s="165">
        <f t="shared" ref="X7:X65" si="16">V7-W7</f>
        <v>-623288.41428149992</v>
      </c>
      <c r="Y7" s="178">
        <f t="shared" ref="Y7:Y65" si="17">A7</f>
        <v>1</v>
      </c>
      <c r="AA7" s="169">
        <f t="shared" ref="AA7:AA65" si="18">I7*(1-$AB$66)</f>
        <v>0</v>
      </c>
      <c r="AB7" s="165">
        <f t="shared" ref="AB7:AB65" si="19">P7*(1+$AB$67)</f>
        <v>623304.87884099991</v>
      </c>
      <c r="AC7" s="170">
        <f t="shared" si="11"/>
        <v>-623304.87884099991</v>
      </c>
      <c r="AE7" s="83">
        <f t="shared" ref="AE7:AE64" si="20">X7-Y7</f>
        <v>-623289.41428149992</v>
      </c>
      <c r="AF7" s="84">
        <f t="shared" si="12"/>
        <v>-623289.41428149992</v>
      </c>
    </row>
    <row r="8" spans="1:32" ht="13.5" customHeight="1" x14ac:dyDescent="0.3">
      <c r="A8" s="85">
        <v>2</v>
      </c>
      <c r="B8" s="86">
        <v>0</v>
      </c>
      <c r="C8" s="87">
        <v>0</v>
      </c>
      <c r="D8" s="87">
        <v>0</v>
      </c>
      <c r="E8" s="88">
        <f t="shared" si="13"/>
        <v>0</v>
      </c>
      <c r="F8" s="77">
        <f t="shared" ref="F8:H8" si="21">B8*$G$2</f>
        <v>0</v>
      </c>
      <c r="G8" s="77">
        <f t="shared" si="21"/>
        <v>0</v>
      </c>
      <c r="H8" s="77">
        <f t="shared" si="21"/>
        <v>0</v>
      </c>
      <c r="I8" s="77">
        <f t="shared" si="15"/>
        <v>0</v>
      </c>
      <c r="J8" s="89">
        <v>0.02</v>
      </c>
      <c r="K8" s="77">
        <f t="shared" ref="K8:K65" si="22">(J8-J7)*$K$2</f>
        <v>506368.03499999992</v>
      </c>
      <c r="L8" s="90">
        <v>0</v>
      </c>
      <c r="M8" s="77">
        <f t="shared" ref="M8:M65" si="23">(L8-L7)*$M$2</f>
        <v>0</v>
      </c>
      <c r="N8" s="90">
        <v>0</v>
      </c>
      <c r="O8" s="77">
        <f t="shared" ref="O8:O65" si="24">(N8-N7)*$O$2</f>
        <v>0</v>
      </c>
      <c r="P8" s="84">
        <f t="shared" si="3"/>
        <v>506368.03499999992</v>
      </c>
      <c r="Q8" s="91">
        <f t="shared" ref="Q8:Q64" si="25">I8+Q7</f>
        <v>0</v>
      </c>
      <c r="R8" s="77">
        <f t="shared" ref="R8:R64" si="26">P8+R7</f>
        <v>1012736.0699999998</v>
      </c>
      <c r="S8" s="92">
        <f t="shared" si="6"/>
        <v>-506368.03499999992</v>
      </c>
      <c r="T8" s="84">
        <f t="shared" ref="T8:T64" si="27">S8+T7</f>
        <v>-1012736.0699999998</v>
      </c>
      <c r="U8" s="45"/>
      <c r="V8" s="169">
        <f t="shared" si="8"/>
        <v>0</v>
      </c>
      <c r="W8" s="165">
        <f t="shared" si="9"/>
        <v>623288.41428149992</v>
      </c>
      <c r="X8" s="165">
        <f t="shared" si="16"/>
        <v>-623288.41428149992</v>
      </c>
      <c r="Y8" s="178">
        <f t="shared" si="17"/>
        <v>2</v>
      </c>
      <c r="AA8" s="169">
        <f t="shared" si="18"/>
        <v>0</v>
      </c>
      <c r="AB8" s="165">
        <f t="shared" si="19"/>
        <v>623304.87884099991</v>
      </c>
      <c r="AC8" s="170">
        <f t="shared" si="11"/>
        <v>-623304.87884099991</v>
      </c>
      <c r="AE8" s="83">
        <f t="shared" si="20"/>
        <v>-623290.41428149992</v>
      </c>
      <c r="AF8" s="84">
        <f t="shared" ref="AF8:AF64" si="28">AF7+AE8</f>
        <v>-1246579.8285629998</v>
      </c>
    </row>
    <row r="9" spans="1:32" ht="13.5" customHeight="1" x14ac:dyDescent="0.3">
      <c r="A9" s="85">
        <v>3</v>
      </c>
      <c r="B9" s="86">
        <v>0</v>
      </c>
      <c r="C9" s="87">
        <v>0</v>
      </c>
      <c r="D9" s="87">
        <v>0</v>
      </c>
      <c r="E9" s="88">
        <f t="shared" si="13"/>
        <v>0</v>
      </c>
      <c r="F9" s="77">
        <f t="shared" ref="F9:H9" si="29">B9*$G$2</f>
        <v>0</v>
      </c>
      <c r="G9" s="77">
        <f t="shared" si="29"/>
        <v>0</v>
      </c>
      <c r="H9" s="77">
        <f t="shared" si="29"/>
        <v>0</v>
      </c>
      <c r="I9" s="77">
        <f t="shared" si="15"/>
        <v>0</v>
      </c>
      <c r="J9" s="89">
        <v>0.04</v>
      </c>
      <c r="K9" s="77">
        <f t="shared" si="22"/>
        <v>1012736.0699999998</v>
      </c>
      <c r="L9" s="90">
        <v>0</v>
      </c>
      <c r="M9" s="77">
        <f t="shared" si="23"/>
        <v>0</v>
      </c>
      <c r="N9" s="90">
        <v>0</v>
      </c>
      <c r="O9" s="77">
        <f t="shared" si="24"/>
        <v>0</v>
      </c>
      <c r="P9" s="84">
        <f t="shared" si="3"/>
        <v>1012736.0699999998</v>
      </c>
      <c r="Q9" s="91">
        <f t="shared" si="25"/>
        <v>0</v>
      </c>
      <c r="R9" s="77">
        <f t="shared" si="26"/>
        <v>2025472.1399999997</v>
      </c>
      <c r="S9" s="92">
        <f t="shared" si="6"/>
        <v>-1012736.0699999998</v>
      </c>
      <c r="T9" s="84">
        <f t="shared" si="27"/>
        <v>-2025472.1399999997</v>
      </c>
      <c r="U9" s="45"/>
      <c r="V9" s="169">
        <f t="shared" si="8"/>
        <v>0</v>
      </c>
      <c r="W9" s="165">
        <f t="shared" si="9"/>
        <v>1246576.8285629998</v>
      </c>
      <c r="X9" s="165">
        <f t="shared" si="16"/>
        <v>-1246576.8285629998</v>
      </c>
      <c r="Y9" s="178">
        <f t="shared" si="17"/>
        <v>3</v>
      </c>
      <c r="AA9" s="169">
        <f t="shared" si="18"/>
        <v>0</v>
      </c>
      <c r="AB9" s="165">
        <f t="shared" si="19"/>
        <v>1246609.7576819998</v>
      </c>
      <c r="AC9" s="170">
        <f t="shared" si="11"/>
        <v>-1246609.7576819998</v>
      </c>
      <c r="AE9" s="83">
        <f t="shared" si="20"/>
        <v>-1246579.8285629998</v>
      </c>
      <c r="AF9" s="84">
        <f t="shared" si="28"/>
        <v>-2493159.6571259997</v>
      </c>
    </row>
    <row r="10" spans="1:32" ht="13.5" customHeight="1" x14ac:dyDescent="0.3">
      <c r="A10" s="85">
        <v>4</v>
      </c>
      <c r="B10" s="86">
        <v>0</v>
      </c>
      <c r="C10" s="87">
        <v>0</v>
      </c>
      <c r="D10" s="87">
        <v>0</v>
      </c>
      <c r="E10" s="88">
        <f t="shared" si="13"/>
        <v>0</v>
      </c>
      <c r="F10" s="77">
        <f t="shared" ref="F10:H10" si="30">B10*$G$2</f>
        <v>0</v>
      </c>
      <c r="G10" s="77">
        <f t="shared" si="30"/>
        <v>0</v>
      </c>
      <c r="H10" s="77">
        <f t="shared" si="30"/>
        <v>0</v>
      </c>
      <c r="I10" s="77">
        <f t="shared" si="15"/>
        <v>0</v>
      </c>
      <c r="J10" s="89">
        <v>0.08</v>
      </c>
      <c r="K10" s="77">
        <f t="shared" si="22"/>
        <v>2025472.1399999997</v>
      </c>
      <c r="L10" s="90">
        <v>0</v>
      </c>
      <c r="M10" s="77">
        <f t="shared" si="23"/>
        <v>0</v>
      </c>
      <c r="N10" s="90">
        <v>0</v>
      </c>
      <c r="O10" s="77">
        <f t="shared" si="24"/>
        <v>0</v>
      </c>
      <c r="P10" s="84">
        <f t="shared" si="3"/>
        <v>2025472.1399999997</v>
      </c>
      <c r="Q10" s="91">
        <f t="shared" si="25"/>
        <v>0</v>
      </c>
      <c r="R10" s="77">
        <f t="shared" si="26"/>
        <v>4050944.2799999993</v>
      </c>
      <c r="S10" s="92">
        <f t="shared" si="6"/>
        <v>-2025472.1399999997</v>
      </c>
      <c r="T10" s="84">
        <f t="shared" si="27"/>
        <v>-4050944.2799999993</v>
      </c>
      <c r="U10" s="45"/>
      <c r="V10" s="169">
        <f t="shared" si="8"/>
        <v>0</v>
      </c>
      <c r="W10" s="165">
        <f t="shared" si="9"/>
        <v>2493153.6571259997</v>
      </c>
      <c r="X10" s="165">
        <f t="shared" si="16"/>
        <v>-2493153.6571259997</v>
      </c>
      <c r="Y10" s="178">
        <f t="shared" si="17"/>
        <v>4</v>
      </c>
      <c r="AA10" s="169">
        <f t="shared" si="18"/>
        <v>0</v>
      </c>
      <c r="AB10" s="165">
        <f t="shared" si="19"/>
        <v>2493219.5153639996</v>
      </c>
      <c r="AC10" s="170">
        <f t="shared" si="11"/>
        <v>-2493219.5153639996</v>
      </c>
      <c r="AE10" s="83">
        <f t="shared" si="20"/>
        <v>-2493157.6571259997</v>
      </c>
      <c r="AF10" s="84">
        <f t="shared" si="28"/>
        <v>-4986317.3142519994</v>
      </c>
    </row>
    <row r="11" spans="1:32" ht="13.5" customHeight="1" x14ac:dyDescent="0.3">
      <c r="A11" s="85">
        <v>5</v>
      </c>
      <c r="B11" s="86">
        <v>0</v>
      </c>
      <c r="C11" s="87">
        <v>0</v>
      </c>
      <c r="D11" s="87">
        <v>0</v>
      </c>
      <c r="E11" s="88">
        <f t="shared" si="13"/>
        <v>0</v>
      </c>
      <c r="F11" s="77">
        <f t="shared" ref="F11:H11" si="31">B11*$G$2</f>
        <v>0</v>
      </c>
      <c r="G11" s="77">
        <f t="shared" si="31"/>
        <v>0</v>
      </c>
      <c r="H11" s="77">
        <f t="shared" si="31"/>
        <v>0</v>
      </c>
      <c r="I11" s="77">
        <f t="shared" si="15"/>
        <v>0</v>
      </c>
      <c r="J11" s="89">
        <v>0.14000000000000001</v>
      </c>
      <c r="K11" s="77">
        <f t="shared" si="22"/>
        <v>3038208.21</v>
      </c>
      <c r="L11" s="90">
        <v>0</v>
      </c>
      <c r="M11" s="77">
        <f t="shared" si="23"/>
        <v>0</v>
      </c>
      <c r="N11" s="90">
        <v>0</v>
      </c>
      <c r="O11" s="77">
        <f t="shared" si="24"/>
        <v>0</v>
      </c>
      <c r="P11" s="84">
        <f t="shared" si="3"/>
        <v>3038208.21</v>
      </c>
      <c r="Q11" s="91">
        <f t="shared" si="25"/>
        <v>0</v>
      </c>
      <c r="R11" s="77">
        <f t="shared" si="26"/>
        <v>7089152.4899999993</v>
      </c>
      <c r="S11" s="92">
        <f t="shared" si="6"/>
        <v>-3038208.21</v>
      </c>
      <c r="T11" s="84">
        <f t="shared" si="27"/>
        <v>-7089152.4899999993</v>
      </c>
      <c r="U11" s="45"/>
      <c r="V11" s="169">
        <f t="shared" si="8"/>
        <v>0</v>
      </c>
      <c r="W11" s="165">
        <f t="shared" si="9"/>
        <v>3739730.4856890002</v>
      </c>
      <c r="X11" s="165">
        <f t="shared" si="16"/>
        <v>-3739730.4856890002</v>
      </c>
      <c r="Y11" s="178">
        <f t="shared" si="17"/>
        <v>5</v>
      </c>
      <c r="AA11" s="169">
        <f t="shared" si="18"/>
        <v>0</v>
      </c>
      <c r="AB11" s="165">
        <f t="shared" si="19"/>
        <v>3739829.2730459999</v>
      </c>
      <c r="AC11" s="170">
        <f t="shared" si="11"/>
        <v>-3739829.2730459999</v>
      </c>
      <c r="AE11" s="83">
        <f t="shared" si="20"/>
        <v>-3739735.4856890002</v>
      </c>
      <c r="AF11" s="84">
        <f t="shared" si="28"/>
        <v>-8726052.7999409996</v>
      </c>
    </row>
    <row r="12" spans="1:32" ht="13.5" customHeight="1" x14ac:dyDescent="0.3">
      <c r="A12" s="85">
        <v>6</v>
      </c>
      <c r="B12" s="86">
        <v>0</v>
      </c>
      <c r="C12" s="87">
        <v>0</v>
      </c>
      <c r="D12" s="87">
        <v>0</v>
      </c>
      <c r="E12" s="88">
        <f t="shared" si="13"/>
        <v>0</v>
      </c>
      <c r="F12" s="77">
        <f t="shared" ref="F12:H12" si="32">B12*$G$2</f>
        <v>0</v>
      </c>
      <c r="G12" s="77">
        <f t="shared" si="32"/>
        <v>0</v>
      </c>
      <c r="H12" s="77">
        <f t="shared" si="32"/>
        <v>0</v>
      </c>
      <c r="I12" s="77">
        <f t="shared" si="15"/>
        <v>0</v>
      </c>
      <c r="J12" s="89">
        <v>0.2</v>
      </c>
      <c r="K12" s="77">
        <f t="shared" si="22"/>
        <v>3038208.2099999995</v>
      </c>
      <c r="L12" s="90">
        <v>0</v>
      </c>
      <c r="M12" s="77">
        <f t="shared" si="23"/>
        <v>0</v>
      </c>
      <c r="N12" s="90">
        <v>0</v>
      </c>
      <c r="O12" s="77">
        <f t="shared" si="24"/>
        <v>0</v>
      </c>
      <c r="P12" s="84">
        <f t="shared" si="3"/>
        <v>3038208.2099999995</v>
      </c>
      <c r="Q12" s="91">
        <f t="shared" si="25"/>
        <v>0</v>
      </c>
      <c r="R12" s="77">
        <f t="shared" si="26"/>
        <v>10127360.699999999</v>
      </c>
      <c r="S12" s="92">
        <f t="shared" si="6"/>
        <v>-3038208.2099999995</v>
      </c>
      <c r="T12" s="84">
        <f t="shared" si="27"/>
        <v>-10127360.699999999</v>
      </c>
      <c r="U12" s="45"/>
      <c r="V12" s="169">
        <f t="shared" si="8"/>
        <v>0</v>
      </c>
      <c r="W12" s="165">
        <f t="shared" si="9"/>
        <v>3739730.4856889998</v>
      </c>
      <c r="X12" s="165">
        <f t="shared" si="16"/>
        <v>-3739730.4856889998</v>
      </c>
      <c r="Y12" s="178">
        <f t="shared" si="17"/>
        <v>6</v>
      </c>
      <c r="AA12" s="169">
        <f t="shared" si="18"/>
        <v>0</v>
      </c>
      <c r="AB12" s="165">
        <f t="shared" si="19"/>
        <v>3739829.2730459995</v>
      </c>
      <c r="AC12" s="170">
        <f t="shared" si="11"/>
        <v>-3739829.2730459995</v>
      </c>
      <c r="AE12" s="83">
        <f t="shared" si="20"/>
        <v>-3739736.4856889998</v>
      </c>
      <c r="AF12" s="84">
        <f t="shared" si="28"/>
        <v>-12465789.285629999</v>
      </c>
    </row>
    <row r="13" spans="1:32" ht="13.5" customHeight="1" x14ac:dyDescent="0.3">
      <c r="A13" s="85">
        <v>7</v>
      </c>
      <c r="B13" s="86">
        <v>0</v>
      </c>
      <c r="C13" s="87">
        <v>0</v>
      </c>
      <c r="D13" s="87">
        <v>0</v>
      </c>
      <c r="E13" s="88">
        <f t="shared" si="13"/>
        <v>0</v>
      </c>
      <c r="F13" s="77">
        <f t="shared" ref="F13:H13" si="33">B13*$G$2</f>
        <v>0</v>
      </c>
      <c r="G13" s="77">
        <f t="shared" si="33"/>
        <v>0</v>
      </c>
      <c r="H13" s="77">
        <f t="shared" si="33"/>
        <v>0</v>
      </c>
      <c r="I13" s="77">
        <f t="shared" si="15"/>
        <v>0</v>
      </c>
      <c r="J13" s="89">
        <v>0.26</v>
      </c>
      <c r="K13" s="77">
        <f t="shared" si="22"/>
        <v>3038208.2099999995</v>
      </c>
      <c r="L13" s="90">
        <v>0</v>
      </c>
      <c r="M13" s="77">
        <f t="shared" si="23"/>
        <v>0</v>
      </c>
      <c r="N13" s="90">
        <v>0</v>
      </c>
      <c r="O13" s="77">
        <f t="shared" si="24"/>
        <v>0</v>
      </c>
      <c r="P13" s="84">
        <f t="shared" si="3"/>
        <v>3038208.2099999995</v>
      </c>
      <c r="Q13" s="91">
        <f t="shared" si="25"/>
        <v>0</v>
      </c>
      <c r="R13" s="77">
        <f t="shared" si="26"/>
        <v>13165568.909999998</v>
      </c>
      <c r="S13" s="92">
        <f t="shared" si="6"/>
        <v>-3038208.2099999995</v>
      </c>
      <c r="T13" s="84">
        <f t="shared" si="27"/>
        <v>-13165568.909999998</v>
      </c>
      <c r="U13" s="45"/>
      <c r="V13" s="169">
        <f t="shared" si="8"/>
        <v>0</v>
      </c>
      <c r="W13" s="165">
        <f t="shared" si="9"/>
        <v>3739730.4856889998</v>
      </c>
      <c r="X13" s="165">
        <f t="shared" si="16"/>
        <v>-3739730.4856889998</v>
      </c>
      <c r="Y13" s="178">
        <f t="shared" si="17"/>
        <v>7</v>
      </c>
      <c r="AA13" s="169">
        <f t="shared" si="18"/>
        <v>0</v>
      </c>
      <c r="AB13" s="165">
        <f t="shared" si="19"/>
        <v>3739829.2730459995</v>
      </c>
      <c r="AC13" s="170">
        <f t="shared" si="11"/>
        <v>-3739829.2730459995</v>
      </c>
      <c r="AE13" s="83">
        <f t="shared" si="20"/>
        <v>-3739737.4856889998</v>
      </c>
      <c r="AF13" s="84">
        <f t="shared" si="28"/>
        <v>-16205526.771318998</v>
      </c>
    </row>
    <row r="14" spans="1:32" ht="13.5" customHeight="1" x14ac:dyDescent="0.3">
      <c r="A14" s="85">
        <v>8</v>
      </c>
      <c r="B14" s="86">
        <v>0</v>
      </c>
      <c r="C14" s="87">
        <v>0</v>
      </c>
      <c r="D14" s="87">
        <v>0</v>
      </c>
      <c r="E14" s="88">
        <f t="shared" si="13"/>
        <v>0</v>
      </c>
      <c r="F14" s="77">
        <f t="shared" ref="F14:H14" si="34">B14*$G$2</f>
        <v>0</v>
      </c>
      <c r="G14" s="77">
        <f t="shared" si="34"/>
        <v>0</v>
      </c>
      <c r="H14" s="77">
        <f t="shared" si="34"/>
        <v>0</v>
      </c>
      <c r="I14" s="77">
        <f t="shared" si="15"/>
        <v>0</v>
      </c>
      <c r="J14" s="89">
        <v>0.32</v>
      </c>
      <c r="K14" s="77">
        <f t="shared" si="22"/>
        <v>3038208.2099999995</v>
      </c>
      <c r="L14" s="90">
        <v>0</v>
      </c>
      <c r="M14" s="77">
        <f t="shared" si="23"/>
        <v>0</v>
      </c>
      <c r="N14" s="90">
        <v>0</v>
      </c>
      <c r="O14" s="77">
        <f t="shared" si="24"/>
        <v>0</v>
      </c>
      <c r="P14" s="84">
        <f t="shared" si="3"/>
        <v>3038208.2099999995</v>
      </c>
      <c r="Q14" s="91">
        <f t="shared" si="25"/>
        <v>0</v>
      </c>
      <c r="R14" s="77">
        <f t="shared" si="26"/>
        <v>16203777.119999997</v>
      </c>
      <c r="S14" s="92">
        <f t="shared" si="6"/>
        <v>-3038208.2099999995</v>
      </c>
      <c r="T14" s="84">
        <f t="shared" si="27"/>
        <v>-16203777.119999997</v>
      </c>
      <c r="U14" s="45"/>
      <c r="V14" s="169">
        <f t="shared" si="8"/>
        <v>0</v>
      </c>
      <c r="W14" s="165">
        <f t="shared" si="9"/>
        <v>3739730.4856889998</v>
      </c>
      <c r="X14" s="165">
        <f t="shared" si="16"/>
        <v>-3739730.4856889998</v>
      </c>
      <c r="Y14" s="178">
        <f t="shared" si="17"/>
        <v>8</v>
      </c>
      <c r="Z14" s="45"/>
      <c r="AA14" s="169">
        <f t="shared" si="18"/>
        <v>0</v>
      </c>
      <c r="AB14" s="165">
        <f t="shared" si="19"/>
        <v>3739829.2730459995</v>
      </c>
      <c r="AC14" s="170">
        <f t="shared" si="11"/>
        <v>-3739829.2730459995</v>
      </c>
      <c r="AD14" s="45"/>
      <c r="AE14" s="83">
        <f t="shared" si="20"/>
        <v>-3739738.4856889998</v>
      </c>
      <c r="AF14" s="84">
        <f t="shared" si="28"/>
        <v>-19945265.257007997</v>
      </c>
    </row>
    <row r="15" spans="1:32" ht="13.5" customHeight="1" x14ac:dyDescent="0.3">
      <c r="A15" s="85">
        <v>9</v>
      </c>
      <c r="B15" s="86">
        <v>0</v>
      </c>
      <c r="C15" s="87">
        <v>0</v>
      </c>
      <c r="D15" s="87">
        <v>0</v>
      </c>
      <c r="E15" s="88">
        <f t="shared" si="13"/>
        <v>0</v>
      </c>
      <c r="F15" s="77">
        <f t="shared" ref="F15:H15" si="35">B15*$G$2</f>
        <v>0</v>
      </c>
      <c r="G15" s="77">
        <f t="shared" si="35"/>
        <v>0</v>
      </c>
      <c r="H15" s="77">
        <f t="shared" si="35"/>
        <v>0</v>
      </c>
      <c r="I15" s="77">
        <f t="shared" si="15"/>
        <v>0</v>
      </c>
      <c r="J15" s="89">
        <v>0.4</v>
      </c>
      <c r="K15" s="77">
        <f t="shared" si="22"/>
        <v>4050944.2800000003</v>
      </c>
      <c r="L15" s="90">
        <v>0</v>
      </c>
      <c r="M15" s="77">
        <f t="shared" si="23"/>
        <v>0</v>
      </c>
      <c r="N15" s="90">
        <v>0</v>
      </c>
      <c r="O15" s="77">
        <f t="shared" si="24"/>
        <v>0</v>
      </c>
      <c r="P15" s="84">
        <f t="shared" si="3"/>
        <v>4050944.2800000003</v>
      </c>
      <c r="Q15" s="91">
        <f t="shared" si="25"/>
        <v>0</v>
      </c>
      <c r="R15" s="77">
        <f t="shared" si="26"/>
        <v>20254721.399999999</v>
      </c>
      <c r="S15" s="92">
        <f t="shared" si="6"/>
        <v>-4050944.2800000003</v>
      </c>
      <c r="T15" s="84">
        <f t="shared" si="27"/>
        <v>-20254721.399999999</v>
      </c>
      <c r="U15" s="45"/>
      <c r="V15" s="169">
        <f t="shared" si="8"/>
        <v>0</v>
      </c>
      <c r="W15" s="165">
        <f t="shared" si="9"/>
        <v>4986307.3142520003</v>
      </c>
      <c r="X15" s="165">
        <f t="shared" si="16"/>
        <v>-4986307.3142520003</v>
      </c>
      <c r="Y15" s="178">
        <f t="shared" si="17"/>
        <v>9</v>
      </c>
      <c r="Z15" s="45"/>
      <c r="AA15" s="169">
        <f t="shared" si="18"/>
        <v>0</v>
      </c>
      <c r="AB15" s="165">
        <f t="shared" si="19"/>
        <v>4986439.0307280002</v>
      </c>
      <c r="AC15" s="170">
        <f t="shared" si="11"/>
        <v>-4986439.0307280002</v>
      </c>
      <c r="AD15" s="45"/>
      <c r="AE15" s="83">
        <f t="shared" si="20"/>
        <v>-4986316.3142520003</v>
      </c>
      <c r="AF15" s="84">
        <f t="shared" si="28"/>
        <v>-24931581.571259998</v>
      </c>
    </row>
    <row r="16" spans="1:32" ht="13.5" customHeight="1" x14ac:dyDescent="0.3">
      <c r="A16" s="85">
        <v>10</v>
      </c>
      <c r="B16" s="86">
        <v>0</v>
      </c>
      <c r="C16" s="87">
        <v>0</v>
      </c>
      <c r="D16" s="87">
        <v>0</v>
      </c>
      <c r="E16" s="88">
        <f t="shared" si="13"/>
        <v>0</v>
      </c>
      <c r="F16" s="77">
        <f t="shared" ref="F16:H16" si="36">B16*$G$2</f>
        <v>0</v>
      </c>
      <c r="G16" s="77">
        <f t="shared" si="36"/>
        <v>0</v>
      </c>
      <c r="H16" s="77">
        <f t="shared" si="36"/>
        <v>0</v>
      </c>
      <c r="I16" s="77">
        <f t="shared" si="15"/>
        <v>0</v>
      </c>
      <c r="J16" s="89">
        <v>0.5</v>
      </c>
      <c r="K16" s="77">
        <f t="shared" si="22"/>
        <v>5063680.3499999978</v>
      </c>
      <c r="L16" s="90">
        <v>0</v>
      </c>
      <c r="M16" s="77">
        <f t="shared" si="23"/>
        <v>0</v>
      </c>
      <c r="N16" s="90">
        <v>0</v>
      </c>
      <c r="O16" s="77">
        <f t="shared" si="24"/>
        <v>0</v>
      </c>
      <c r="P16" s="84">
        <f t="shared" si="3"/>
        <v>5063680.3499999978</v>
      </c>
      <c r="Q16" s="91">
        <f t="shared" si="25"/>
        <v>0</v>
      </c>
      <c r="R16" s="77">
        <f t="shared" si="26"/>
        <v>25318401.749999996</v>
      </c>
      <c r="S16" s="92">
        <f t="shared" si="6"/>
        <v>-5063680.3499999978</v>
      </c>
      <c r="T16" s="84">
        <f t="shared" si="27"/>
        <v>-25318401.749999996</v>
      </c>
      <c r="U16" s="45"/>
      <c r="V16" s="169">
        <f t="shared" si="8"/>
        <v>0</v>
      </c>
      <c r="W16" s="165">
        <f t="shared" si="9"/>
        <v>6232884.1428149976</v>
      </c>
      <c r="X16" s="165">
        <f t="shared" si="16"/>
        <v>-6232884.1428149976</v>
      </c>
      <c r="Y16" s="178">
        <f t="shared" si="17"/>
        <v>10</v>
      </c>
      <c r="Z16" s="45"/>
      <c r="AA16" s="169">
        <f t="shared" si="18"/>
        <v>0</v>
      </c>
      <c r="AB16" s="165">
        <f t="shared" si="19"/>
        <v>6233048.7884099977</v>
      </c>
      <c r="AC16" s="170">
        <f t="shared" si="11"/>
        <v>-6233048.7884099977</v>
      </c>
      <c r="AD16" s="45"/>
      <c r="AE16" s="83">
        <f t="shared" si="20"/>
        <v>-6232894.1428149976</v>
      </c>
      <c r="AF16" s="84">
        <f t="shared" si="28"/>
        <v>-31164475.714074995</v>
      </c>
    </row>
    <row r="17" spans="1:32" ht="13.5" customHeight="1" x14ac:dyDescent="0.3">
      <c r="A17" s="85">
        <v>11</v>
      </c>
      <c r="B17" s="86">
        <v>0</v>
      </c>
      <c r="C17" s="87">
        <v>0</v>
      </c>
      <c r="D17" s="87">
        <v>0</v>
      </c>
      <c r="E17" s="88">
        <f t="shared" si="13"/>
        <v>0</v>
      </c>
      <c r="F17" s="77">
        <f t="shared" ref="F17:H17" si="37">B17*$G$2</f>
        <v>0</v>
      </c>
      <c r="G17" s="77">
        <f t="shared" si="37"/>
        <v>0</v>
      </c>
      <c r="H17" s="77">
        <f t="shared" si="37"/>
        <v>0</v>
      </c>
      <c r="I17" s="77">
        <f t="shared" si="15"/>
        <v>0</v>
      </c>
      <c r="J17" s="89">
        <v>0.6</v>
      </c>
      <c r="K17" s="77">
        <f t="shared" si="22"/>
        <v>5063680.3499999978</v>
      </c>
      <c r="L17" s="90">
        <v>0</v>
      </c>
      <c r="M17" s="77">
        <f t="shared" si="23"/>
        <v>0</v>
      </c>
      <c r="N17" s="90">
        <v>0</v>
      </c>
      <c r="O17" s="77">
        <f t="shared" si="24"/>
        <v>0</v>
      </c>
      <c r="P17" s="84">
        <f t="shared" si="3"/>
        <v>5063680.3499999978</v>
      </c>
      <c r="Q17" s="91">
        <f t="shared" si="25"/>
        <v>0</v>
      </c>
      <c r="R17" s="77">
        <f t="shared" si="26"/>
        <v>30382082.099999994</v>
      </c>
      <c r="S17" s="92">
        <f t="shared" si="6"/>
        <v>-5063680.3499999978</v>
      </c>
      <c r="T17" s="84">
        <f t="shared" si="27"/>
        <v>-30382082.099999994</v>
      </c>
      <c r="U17" s="45"/>
      <c r="V17" s="169">
        <f t="shared" si="8"/>
        <v>0</v>
      </c>
      <c r="W17" s="165">
        <f t="shared" si="9"/>
        <v>6232884.1428149976</v>
      </c>
      <c r="X17" s="165">
        <f t="shared" si="16"/>
        <v>-6232884.1428149976</v>
      </c>
      <c r="Y17" s="178">
        <f t="shared" si="17"/>
        <v>11</v>
      </c>
      <c r="AA17" s="169">
        <f t="shared" si="18"/>
        <v>0</v>
      </c>
      <c r="AB17" s="165">
        <f t="shared" si="19"/>
        <v>6233048.7884099977</v>
      </c>
      <c r="AC17" s="170">
        <f t="shared" si="11"/>
        <v>-6233048.7884099977</v>
      </c>
      <c r="AE17" s="83">
        <f t="shared" si="20"/>
        <v>-6232895.1428149976</v>
      </c>
      <c r="AF17" s="84">
        <f t="shared" si="28"/>
        <v>-37397370.856889993</v>
      </c>
    </row>
    <row r="18" spans="1:32" ht="13.5" customHeight="1" x14ac:dyDescent="0.3">
      <c r="A18" s="85">
        <v>12</v>
      </c>
      <c r="B18" s="86">
        <v>3</v>
      </c>
      <c r="C18" s="87">
        <v>0</v>
      </c>
      <c r="D18" s="87">
        <v>0</v>
      </c>
      <c r="E18" s="88">
        <f t="shared" si="13"/>
        <v>3</v>
      </c>
      <c r="F18" s="77">
        <f t="shared" ref="F18:H18" si="38">B18*$G$2</f>
        <v>11250000</v>
      </c>
      <c r="G18" s="77">
        <f t="shared" si="38"/>
        <v>0</v>
      </c>
      <c r="H18" s="77">
        <f t="shared" si="38"/>
        <v>0</v>
      </c>
      <c r="I18" s="77">
        <f t="shared" si="15"/>
        <v>11250000</v>
      </c>
      <c r="J18" s="89">
        <v>0.75</v>
      </c>
      <c r="K18" s="77">
        <f t="shared" si="22"/>
        <v>7595520.5250000004</v>
      </c>
      <c r="L18" s="90">
        <v>0</v>
      </c>
      <c r="M18" s="77">
        <f t="shared" si="23"/>
        <v>0</v>
      </c>
      <c r="N18" s="90">
        <v>0</v>
      </c>
      <c r="O18" s="77">
        <f t="shared" si="24"/>
        <v>0</v>
      </c>
      <c r="P18" s="84">
        <f t="shared" si="3"/>
        <v>7595520.5250000004</v>
      </c>
      <c r="Q18" s="91">
        <f t="shared" si="25"/>
        <v>11250000</v>
      </c>
      <c r="R18" s="77">
        <f t="shared" si="26"/>
        <v>37977602.624999993</v>
      </c>
      <c r="S18" s="92">
        <f t="shared" si="6"/>
        <v>3654479.4749999996</v>
      </c>
      <c r="T18" s="84">
        <f t="shared" si="27"/>
        <v>-26727602.624999993</v>
      </c>
      <c r="U18" s="45"/>
      <c r="V18" s="169">
        <f t="shared" si="8"/>
        <v>9267750</v>
      </c>
      <c r="W18" s="165">
        <f t="shared" si="9"/>
        <v>9349326.214222502</v>
      </c>
      <c r="X18" s="165">
        <f t="shared" si="16"/>
        <v>-81576.214222501963</v>
      </c>
      <c r="Y18" s="178">
        <f t="shared" si="17"/>
        <v>12</v>
      </c>
      <c r="Z18" s="45"/>
      <c r="AA18" s="169">
        <f t="shared" si="18"/>
        <v>7017732.9035861231</v>
      </c>
      <c r="AB18" s="165">
        <f t="shared" si="19"/>
        <v>9349573.1826150008</v>
      </c>
      <c r="AC18" s="170">
        <f t="shared" si="11"/>
        <v>-2331840.2790288776</v>
      </c>
      <c r="AD18" s="45"/>
      <c r="AE18" s="83">
        <f t="shared" si="20"/>
        <v>-81588.214222501963</v>
      </c>
      <c r="AF18" s="84">
        <f t="shared" si="28"/>
        <v>-37478959.071112499</v>
      </c>
    </row>
    <row r="19" spans="1:32" ht="13.5" customHeight="1" x14ac:dyDescent="0.3">
      <c r="A19" s="85">
        <v>13</v>
      </c>
      <c r="B19" s="86">
        <v>3</v>
      </c>
      <c r="C19" s="87">
        <v>0</v>
      </c>
      <c r="D19" s="87">
        <v>0</v>
      </c>
      <c r="E19" s="88">
        <f t="shared" si="13"/>
        <v>3</v>
      </c>
      <c r="F19" s="77">
        <f t="shared" ref="F19:H19" si="39">B19*$G$2</f>
        <v>11250000</v>
      </c>
      <c r="G19" s="77">
        <f t="shared" si="39"/>
        <v>0</v>
      </c>
      <c r="H19" s="77">
        <f t="shared" si="39"/>
        <v>0</v>
      </c>
      <c r="I19" s="77">
        <f t="shared" si="15"/>
        <v>11250000</v>
      </c>
      <c r="J19" s="89">
        <v>0.85</v>
      </c>
      <c r="K19" s="77">
        <f t="shared" si="22"/>
        <v>5063680.3499999978</v>
      </c>
      <c r="L19" s="90">
        <v>0</v>
      </c>
      <c r="M19" s="77">
        <f t="shared" si="23"/>
        <v>0</v>
      </c>
      <c r="N19" s="90">
        <v>0</v>
      </c>
      <c r="O19" s="77">
        <f t="shared" si="24"/>
        <v>0</v>
      </c>
      <c r="P19" s="84">
        <f t="shared" si="3"/>
        <v>5063680.3499999978</v>
      </c>
      <c r="Q19" s="91">
        <f t="shared" si="25"/>
        <v>22500000</v>
      </c>
      <c r="R19" s="77">
        <f t="shared" si="26"/>
        <v>43041282.974999994</v>
      </c>
      <c r="S19" s="92">
        <f t="shared" si="6"/>
        <v>6186319.6500000022</v>
      </c>
      <c r="T19" s="84">
        <f t="shared" si="27"/>
        <v>-20541282.97499999</v>
      </c>
      <c r="U19" s="45"/>
      <c r="V19" s="169">
        <f t="shared" si="8"/>
        <v>9267750</v>
      </c>
      <c r="W19" s="165">
        <f t="shared" si="9"/>
        <v>6232884.1428149976</v>
      </c>
      <c r="X19" s="165">
        <f t="shared" si="16"/>
        <v>3034865.8571850024</v>
      </c>
      <c r="Y19" s="178">
        <f t="shared" si="17"/>
        <v>13</v>
      </c>
      <c r="AA19" s="169">
        <f t="shared" si="18"/>
        <v>7017732.9035861231</v>
      </c>
      <c r="AB19" s="165">
        <f t="shared" si="19"/>
        <v>6233048.7884099977</v>
      </c>
      <c r="AC19" s="170">
        <f t="shared" si="11"/>
        <v>784684.11517612543</v>
      </c>
      <c r="AE19" s="83">
        <f t="shared" si="20"/>
        <v>3034852.8571850024</v>
      </c>
      <c r="AF19" s="84">
        <f t="shared" si="28"/>
        <v>-34444106.213927492</v>
      </c>
    </row>
    <row r="20" spans="1:32" ht="13.5" customHeight="1" x14ac:dyDescent="0.3">
      <c r="A20" s="85">
        <v>14</v>
      </c>
      <c r="B20" s="86">
        <v>3</v>
      </c>
      <c r="C20" s="87">
        <v>0</v>
      </c>
      <c r="D20" s="87">
        <v>0</v>
      </c>
      <c r="E20" s="88">
        <f t="shared" si="13"/>
        <v>3</v>
      </c>
      <c r="F20" s="77">
        <f t="shared" ref="F20:H20" si="40">B20*$G$2</f>
        <v>11250000</v>
      </c>
      <c r="G20" s="77">
        <f t="shared" si="40"/>
        <v>0</v>
      </c>
      <c r="H20" s="77">
        <f t="shared" si="40"/>
        <v>0</v>
      </c>
      <c r="I20" s="77">
        <f t="shared" si="15"/>
        <v>11250000</v>
      </c>
      <c r="J20" s="89">
        <v>1</v>
      </c>
      <c r="K20" s="77">
        <f t="shared" si="22"/>
        <v>7595520.5250000004</v>
      </c>
      <c r="L20" s="90">
        <v>0</v>
      </c>
      <c r="M20" s="77">
        <f t="shared" si="23"/>
        <v>0</v>
      </c>
      <c r="N20" s="90">
        <v>0</v>
      </c>
      <c r="O20" s="77">
        <f t="shared" si="24"/>
        <v>0</v>
      </c>
      <c r="P20" s="84">
        <f t="shared" si="3"/>
        <v>7595520.5250000004</v>
      </c>
      <c r="Q20" s="91">
        <f t="shared" si="25"/>
        <v>33750000</v>
      </c>
      <c r="R20" s="77">
        <f t="shared" si="26"/>
        <v>50636803.499999993</v>
      </c>
      <c r="S20" s="92">
        <f t="shared" si="6"/>
        <v>3654479.4749999996</v>
      </c>
      <c r="T20" s="84">
        <f t="shared" si="27"/>
        <v>-16886803.499999993</v>
      </c>
      <c r="U20" s="45"/>
      <c r="V20" s="169">
        <f t="shared" si="8"/>
        <v>9267750</v>
      </c>
      <c r="W20" s="165">
        <f t="shared" si="9"/>
        <v>9349326.214222502</v>
      </c>
      <c r="X20" s="165">
        <f t="shared" si="16"/>
        <v>-81576.214222501963</v>
      </c>
      <c r="Y20" s="178">
        <f t="shared" si="17"/>
        <v>14</v>
      </c>
      <c r="Z20" s="45"/>
      <c r="AA20" s="169">
        <f t="shared" si="18"/>
        <v>7017732.9035861231</v>
      </c>
      <c r="AB20" s="165">
        <f t="shared" si="19"/>
        <v>9349573.1826150008</v>
      </c>
      <c r="AC20" s="170">
        <f t="shared" si="11"/>
        <v>-2331840.2790288776</v>
      </c>
      <c r="AD20" s="45"/>
      <c r="AE20" s="83">
        <f t="shared" si="20"/>
        <v>-81590.214222501963</v>
      </c>
      <c r="AF20" s="84">
        <f t="shared" si="28"/>
        <v>-34525696.428149998</v>
      </c>
    </row>
    <row r="21" spans="1:32" ht="13.5" customHeight="1" x14ac:dyDescent="0.3">
      <c r="A21" s="85">
        <v>15</v>
      </c>
      <c r="B21" s="86">
        <v>3</v>
      </c>
      <c r="C21" s="87">
        <v>0</v>
      </c>
      <c r="D21" s="87">
        <v>0</v>
      </c>
      <c r="E21" s="88">
        <f t="shared" si="13"/>
        <v>3</v>
      </c>
      <c r="F21" s="77">
        <f t="shared" ref="F21:H21" si="41">B21*$G$2</f>
        <v>11250000</v>
      </c>
      <c r="G21" s="77">
        <f t="shared" si="41"/>
        <v>0</v>
      </c>
      <c r="H21" s="77">
        <f t="shared" si="41"/>
        <v>0</v>
      </c>
      <c r="I21" s="77">
        <f t="shared" si="15"/>
        <v>11250000</v>
      </c>
      <c r="J21" s="89">
        <v>1</v>
      </c>
      <c r="K21" s="77">
        <f t="shared" si="22"/>
        <v>0</v>
      </c>
      <c r="L21" s="90">
        <v>0.01</v>
      </c>
      <c r="M21" s="77">
        <f t="shared" si="23"/>
        <v>624520.57649999997</v>
      </c>
      <c r="N21" s="90">
        <v>0</v>
      </c>
      <c r="O21" s="77">
        <f t="shared" si="24"/>
        <v>0</v>
      </c>
      <c r="P21" s="84">
        <f t="shared" si="3"/>
        <v>624520.57649999997</v>
      </c>
      <c r="Q21" s="91">
        <f t="shared" si="25"/>
        <v>45000000</v>
      </c>
      <c r="R21" s="77">
        <f t="shared" si="26"/>
        <v>51261324.076499991</v>
      </c>
      <c r="S21" s="92">
        <f t="shared" si="6"/>
        <v>10625479.4235</v>
      </c>
      <c r="T21" s="84">
        <f t="shared" si="27"/>
        <v>-6261324.076499993</v>
      </c>
      <c r="U21" s="45"/>
      <c r="V21" s="169">
        <f t="shared" si="8"/>
        <v>9267750</v>
      </c>
      <c r="W21" s="165">
        <f t="shared" si="9"/>
        <v>768722.37761385005</v>
      </c>
      <c r="X21" s="165">
        <f t="shared" si="16"/>
        <v>8499027.6223861501</v>
      </c>
      <c r="Y21" s="178">
        <f t="shared" si="17"/>
        <v>15</v>
      </c>
      <c r="Z21" s="45"/>
      <c r="AA21" s="169">
        <f t="shared" si="18"/>
        <v>7017732.9035861231</v>
      </c>
      <c r="AB21" s="165">
        <f t="shared" si="19"/>
        <v>768742.68390389998</v>
      </c>
      <c r="AC21" s="170">
        <f t="shared" si="11"/>
        <v>6248990.2196822232</v>
      </c>
      <c r="AD21" s="45"/>
      <c r="AE21" s="83">
        <f t="shared" si="20"/>
        <v>8499012.6223861501</v>
      </c>
      <c r="AF21" s="84">
        <f t="shared" si="28"/>
        <v>-26026683.805763848</v>
      </c>
    </row>
    <row r="22" spans="1:32" ht="13.5" customHeight="1" x14ac:dyDescent="0.3">
      <c r="A22" s="85">
        <v>16</v>
      </c>
      <c r="B22" s="86">
        <v>3</v>
      </c>
      <c r="C22" s="87">
        <v>0</v>
      </c>
      <c r="D22" s="87">
        <v>0</v>
      </c>
      <c r="E22" s="88">
        <f t="shared" si="13"/>
        <v>3</v>
      </c>
      <c r="F22" s="77">
        <f t="shared" ref="F22:H22" si="42">B22*$G$2</f>
        <v>11250000</v>
      </c>
      <c r="G22" s="77">
        <f t="shared" si="42"/>
        <v>0</v>
      </c>
      <c r="H22" s="77">
        <f t="shared" si="42"/>
        <v>0</v>
      </c>
      <c r="I22" s="77">
        <f t="shared" si="15"/>
        <v>11250000</v>
      </c>
      <c r="J22" s="89">
        <v>1</v>
      </c>
      <c r="K22" s="77">
        <f t="shared" si="22"/>
        <v>0</v>
      </c>
      <c r="L22" s="90">
        <v>0.02</v>
      </c>
      <c r="M22" s="77">
        <f t="shared" si="23"/>
        <v>624520.57649999997</v>
      </c>
      <c r="N22" s="90">
        <v>0</v>
      </c>
      <c r="O22" s="77">
        <f t="shared" si="24"/>
        <v>0</v>
      </c>
      <c r="P22" s="84">
        <f t="shared" si="3"/>
        <v>624520.57649999997</v>
      </c>
      <c r="Q22" s="91">
        <f t="shared" si="25"/>
        <v>56250000</v>
      </c>
      <c r="R22" s="77">
        <f t="shared" si="26"/>
        <v>51885844.65299999</v>
      </c>
      <c r="S22" s="92">
        <f t="shared" si="6"/>
        <v>10625479.4235</v>
      </c>
      <c r="T22" s="84">
        <f t="shared" si="27"/>
        <v>4364155.3470000066</v>
      </c>
      <c r="U22" s="45"/>
      <c r="V22" s="169">
        <f t="shared" si="8"/>
        <v>9267750</v>
      </c>
      <c r="W22" s="165">
        <f t="shared" si="9"/>
        <v>768722.37761385005</v>
      </c>
      <c r="X22" s="165">
        <f t="shared" si="16"/>
        <v>8499027.6223861501</v>
      </c>
      <c r="Y22" s="178">
        <f t="shared" si="17"/>
        <v>16</v>
      </c>
      <c r="AA22" s="169">
        <f t="shared" si="18"/>
        <v>7017732.9035861231</v>
      </c>
      <c r="AB22" s="165">
        <f t="shared" si="19"/>
        <v>768742.68390389998</v>
      </c>
      <c r="AC22" s="170">
        <f t="shared" si="11"/>
        <v>6248990.2196822232</v>
      </c>
      <c r="AE22" s="83">
        <f t="shared" si="20"/>
        <v>8499011.6223861501</v>
      </c>
      <c r="AF22" s="84">
        <f t="shared" si="28"/>
        <v>-17527672.183377698</v>
      </c>
    </row>
    <row r="23" spans="1:32" ht="13.5" customHeight="1" x14ac:dyDescent="0.3">
      <c r="A23" s="85">
        <v>17</v>
      </c>
      <c r="B23" s="86">
        <v>3</v>
      </c>
      <c r="C23" s="87">
        <v>0</v>
      </c>
      <c r="D23" s="87">
        <v>0</v>
      </c>
      <c r="E23" s="88">
        <f t="shared" si="13"/>
        <v>3</v>
      </c>
      <c r="F23" s="77">
        <f t="shared" ref="F23:H23" si="43">B23*$G$2</f>
        <v>11250000</v>
      </c>
      <c r="G23" s="77">
        <f t="shared" si="43"/>
        <v>0</v>
      </c>
      <c r="H23" s="77">
        <f t="shared" si="43"/>
        <v>0</v>
      </c>
      <c r="I23" s="77">
        <f t="shared" si="15"/>
        <v>11250000</v>
      </c>
      <c r="J23" s="89">
        <v>1</v>
      </c>
      <c r="K23" s="77">
        <f t="shared" si="22"/>
        <v>0</v>
      </c>
      <c r="L23" s="90">
        <v>0.04</v>
      </c>
      <c r="M23" s="77">
        <f t="shared" si="23"/>
        <v>1249041.1529999999</v>
      </c>
      <c r="N23" s="90">
        <v>0</v>
      </c>
      <c r="O23" s="77">
        <f t="shared" si="24"/>
        <v>0</v>
      </c>
      <c r="P23" s="84">
        <f t="shared" si="3"/>
        <v>1249041.1529999999</v>
      </c>
      <c r="Q23" s="91">
        <f t="shared" si="25"/>
        <v>67500000</v>
      </c>
      <c r="R23" s="77">
        <f t="shared" si="26"/>
        <v>53134885.805999987</v>
      </c>
      <c r="S23" s="92">
        <f t="shared" si="6"/>
        <v>10000958.846999999</v>
      </c>
      <c r="T23" s="84">
        <f t="shared" si="27"/>
        <v>14365114.194000006</v>
      </c>
      <c r="U23" s="45"/>
      <c r="V23" s="169">
        <f t="shared" si="8"/>
        <v>9267750</v>
      </c>
      <c r="W23" s="165">
        <f t="shared" si="9"/>
        <v>1537444.7552277001</v>
      </c>
      <c r="X23" s="165">
        <f t="shared" si="16"/>
        <v>7730305.2447723001</v>
      </c>
      <c r="Y23" s="178">
        <f t="shared" si="17"/>
        <v>17</v>
      </c>
      <c r="Z23" s="45"/>
      <c r="AA23" s="169">
        <f t="shared" si="18"/>
        <v>7017732.9035861231</v>
      </c>
      <c r="AB23" s="165">
        <f t="shared" si="19"/>
        <v>1537485.3678078</v>
      </c>
      <c r="AC23" s="170">
        <f t="shared" si="11"/>
        <v>5480247.5357783232</v>
      </c>
      <c r="AD23" s="45"/>
      <c r="AE23" s="83">
        <f t="shared" si="20"/>
        <v>7730288.2447723001</v>
      </c>
      <c r="AF23" s="84">
        <f t="shared" si="28"/>
        <v>-9797383.9386053979</v>
      </c>
    </row>
    <row r="24" spans="1:32" ht="13.5" customHeight="1" x14ac:dyDescent="0.3">
      <c r="A24" s="85">
        <v>18</v>
      </c>
      <c r="B24" s="86">
        <v>3</v>
      </c>
      <c r="C24" s="87">
        <v>0</v>
      </c>
      <c r="D24" s="87">
        <v>0</v>
      </c>
      <c r="E24" s="88">
        <f t="shared" si="13"/>
        <v>3</v>
      </c>
      <c r="F24" s="77">
        <f t="shared" ref="F24:H24" si="44">B24*$G$2</f>
        <v>11250000</v>
      </c>
      <c r="G24" s="77">
        <f t="shared" si="44"/>
        <v>0</v>
      </c>
      <c r="H24" s="77">
        <f t="shared" si="44"/>
        <v>0</v>
      </c>
      <c r="I24" s="77">
        <f t="shared" si="15"/>
        <v>11250000</v>
      </c>
      <c r="J24" s="89">
        <v>1</v>
      </c>
      <c r="K24" s="77">
        <f t="shared" si="22"/>
        <v>0</v>
      </c>
      <c r="L24" s="90">
        <v>0.08</v>
      </c>
      <c r="M24" s="77">
        <f t="shared" si="23"/>
        <v>2498082.3059999999</v>
      </c>
      <c r="N24" s="90">
        <v>0</v>
      </c>
      <c r="O24" s="77">
        <f t="shared" si="24"/>
        <v>0</v>
      </c>
      <c r="P24" s="84">
        <f t="shared" si="3"/>
        <v>2498082.3059999999</v>
      </c>
      <c r="Q24" s="91">
        <f t="shared" si="25"/>
        <v>78750000</v>
      </c>
      <c r="R24" s="77">
        <f t="shared" si="26"/>
        <v>55632968.111999989</v>
      </c>
      <c r="S24" s="92">
        <f t="shared" si="6"/>
        <v>8751917.6940000001</v>
      </c>
      <c r="T24" s="84">
        <f t="shared" si="27"/>
        <v>23117031.888000004</v>
      </c>
      <c r="U24" s="45"/>
      <c r="V24" s="169">
        <f t="shared" si="8"/>
        <v>9267750</v>
      </c>
      <c r="W24" s="165">
        <f t="shared" si="9"/>
        <v>3074889.5104554002</v>
      </c>
      <c r="X24" s="165">
        <f t="shared" si="16"/>
        <v>6192860.4895446002</v>
      </c>
      <c r="Y24" s="178">
        <f t="shared" si="17"/>
        <v>18</v>
      </c>
      <c r="Z24" s="45"/>
      <c r="AA24" s="169">
        <f t="shared" si="18"/>
        <v>7017732.9035861231</v>
      </c>
      <c r="AB24" s="165">
        <f t="shared" si="19"/>
        <v>3074970.7356155999</v>
      </c>
      <c r="AC24" s="170">
        <f t="shared" si="11"/>
        <v>3942762.1679705232</v>
      </c>
      <c r="AD24" s="45"/>
      <c r="AE24" s="83">
        <f t="shared" si="20"/>
        <v>6192842.4895446002</v>
      </c>
      <c r="AF24" s="84">
        <f t="shared" si="28"/>
        <v>-3604541.4490607977</v>
      </c>
    </row>
    <row r="25" spans="1:32" ht="13.5" customHeight="1" x14ac:dyDescent="0.3">
      <c r="A25" s="85">
        <v>19</v>
      </c>
      <c r="B25" s="86">
        <v>3</v>
      </c>
      <c r="C25" s="87">
        <v>0</v>
      </c>
      <c r="D25" s="87">
        <v>0</v>
      </c>
      <c r="E25" s="88">
        <f t="shared" si="13"/>
        <v>3</v>
      </c>
      <c r="F25" s="77">
        <f t="shared" ref="F25:H25" si="45">B25*$G$2</f>
        <v>11250000</v>
      </c>
      <c r="G25" s="77">
        <f t="shared" si="45"/>
        <v>0</v>
      </c>
      <c r="H25" s="77">
        <f t="shared" si="45"/>
        <v>0</v>
      </c>
      <c r="I25" s="77">
        <f t="shared" si="15"/>
        <v>11250000</v>
      </c>
      <c r="J25" s="89">
        <v>1</v>
      </c>
      <c r="K25" s="77">
        <f t="shared" si="22"/>
        <v>0</v>
      </c>
      <c r="L25" s="90">
        <v>0.12</v>
      </c>
      <c r="M25" s="77">
        <f t="shared" si="23"/>
        <v>2498082.3059999994</v>
      </c>
      <c r="N25" s="90">
        <v>0</v>
      </c>
      <c r="O25" s="77">
        <f t="shared" si="24"/>
        <v>0</v>
      </c>
      <c r="P25" s="84">
        <f t="shared" si="3"/>
        <v>2498082.3059999994</v>
      </c>
      <c r="Q25" s="91">
        <f t="shared" si="25"/>
        <v>90000000</v>
      </c>
      <c r="R25" s="77">
        <f t="shared" si="26"/>
        <v>58131050.41799999</v>
      </c>
      <c r="S25" s="92">
        <f t="shared" si="6"/>
        <v>8751917.6940000001</v>
      </c>
      <c r="T25" s="84">
        <f t="shared" si="27"/>
        <v>31868949.582000002</v>
      </c>
      <c r="U25" s="45"/>
      <c r="V25" s="169">
        <f t="shared" si="8"/>
        <v>9267750</v>
      </c>
      <c r="W25" s="165">
        <f t="shared" si="9"/>
        <v>3074889.5104553998</v>
      </c>
      <c r="X25" s="165">
        <f t="shared" si="16"/>
        <v>6192860.4895446002</v>
      </c>
      <c r="Y25" s="178">
        <f t="shared" si="17"/>
        <v>19</v>
      </c>
      <c r="AA25" s="169">
        <f t="shared" si="18"/>
        <v>7017732.9035861231</v>
      </c>
      <c r="AB25" s="165">
        <f t="shared" si="19"/>
        <v>3074970.7356155994</v>
      </c>
      <c r="AC25" s="170">
        <f t="shared" si="11"/>
        <v>3942762.1679705237</v>
      </c>
      <c r="AE25" s="83">
        <f t="shared" si="20"/>
        <v>6192841.4895446002</v>
      </c>
      <c r="AF25" s="84">
        <f t="shared" si="28"/>
        <v>2588300.0404838026</v>
      </c>
    </row>
    <row r="26" spans="1:32" ht="13.5" customHeight="1" x14ac:dyDescent="0.3">
      <c r="A26" s="85">
        <v>20</v>
      </c>
      <c r="B26" s="86">
        <v>3</v>
      </c>
      <c r="C26" s="87">
        <v>0</v>
      </c>
      <c r="D26" s="87">
        <v>0</v>
      </c>
      <c r="E26" s="88">
        <f t="shared" si="13"/>
        <v>3</v>
      </c>
      <c r="F26" s="77">
        <f t="shared" ref="F26:H26" si="46">B26*$G$2</f>
        <v>11250000</v>
      </c>
      <c r="G26" s="77">
        <f t="shared" si="46"/>
        <v>0</v>
      </c>
      <c r="H26" s="77">
        <f t="shared" si="46"/>
        <v>0</v>
      </c>
      <c r="I26" s="77">
        <f t="shared" si="15"/>
        <v>11250000</v>
      </c>
      <c r="J26" s="89">
        <v>1</v>
      </c>
      <c r="K26" s="77">
        <f t="shared" si="22"/>
        <v>0</v>
      </c>
      <c r="L26" s="90">
        <v>0.16</v>
      </c>
      <c r="M26" s="77">
        <f t="shared" si="23"/>
        <v>2498082.3060000003</v>
      </c>
      <c r="N26" s="90">
        <v>0</v>
      </c>
      <c r="O26" s="77">
        <f t="shared" si="24"/>
        <v>0</v>
      </c>
      <c r="P26" s="84">
        <f t="shared" si="3"/>
        <v>2498082.3060000003</v>
      </c>
      <c r="Q26" s="91">
        <f t="shared" si="25"/>
        <v>101250000</v>
      </c>
      <c r="R26" s="77">
        <f t="shared" si="26"/>
        <v>60629132.723999992</v>
      </c>
      <c r="S26" s="92">
        <f t="shared" si="6"/>
        <v>8751917.6940000001</v>
      </c>
      <c r="T26" s="84">
        <f t="shared" si="27"/>
        <v>40620867.276000001</v>
      </c>
      <c r="U26" s="45"/>
      <c r="V26" s="169">
        <f t="shared" si="8"/>
        <v>9267750</v>
      </c>
      <c r="W26" s="165">
        <f t="shared" si="9"/>
        <v>3074889.5104554007</v>
      </c>
      <c r="X26" s="165">
        <f t="shared" si="16"/>
        <v>6192860.4895445993</v>
      </c>
      <c r="Y26" s="178">
        <f t="shared" si="17"/>
        <v>20</v>
      </c>
      <c r="AA26" s="169">
        <f t="shared" si="18"/>
        <v>7017732.9035861231</v>
      </c>
      <c r="AB26" s="165">
        <f t="shared" si="19"/>
        <v>3074970.7356156004</v>
      </c>
      <c r="AC26" s="170">
        <f t="shared" si="11"/>
        <v>3942762.1679705228</v>
      </c>
      <c r="AE26" s="83">
        <f t="shared" si="20"/>
        <v>6192840.4895445993</v>
      </c>
      <c r="AF26" s="84">
        <f t="shared" si="28"/>
        <v>8781140.5300284028</v>
      </c>
    </row>
    <row r="27" spans="1:32" ht="13.5" customHeight="1" x14ac:dyDescent="0.3">
      <c r="A27" s="85">
        <v>21</v>
      </c>
      <c r="B27" s="86">
        <v>3</v>
      </c>
      <c r="C27" s="87">
        <v>0</v>
      </c>
      <c r="D27" s="87">
        <v>0</v>
      </c>
      <c r="E27" s="88">
        <f t="shared" si="13"/>
        <v>3</v>
      </c>
      <c r="F27" s="77">
        <f t="shared" ref="F27:H27" si="47">B27*$G$2</f>
        <v>11250000</v>
      </c>
      <c r="G27" s="77">
        <f t="shared" si="47"/>
        <v>0</v>
      </c>
      <c r="H27" s="77">
        <f t="shared" si="47"/>
        <v>0</v>
      </c>
      <c r="I27" s="77">
        <f t="shared" si="15"/>
        <v>11250000</v>
      </c>
      <c r="J27" s="89">
        <v>1</v>
      </c>
      <c r="K27" s="77">
        <f t="shared" si="22"/>
        <v>0</v>
      </c>
      <c r="L27" s="90">
        <v>0.2</v>
      </c>
      <c r="M27" s="77">
        <f t="shared" si="23"/>
        <v>2498082.3060000003</v>
      </c>
      <c r="N27" s="90">
        <v>0</v>
      </c>
      <c r="O27" s="77">
        <f t="shared" si="24"/>
        <v>0</v>
      </c>
      <c r="P27" s="84">
        <f t="shared" si="3"/>
        <v>2498082.3060000003</v>
      </c>
      <c r="Q27" s="91">
        <f t="shared" si="25"/>
        <v>112500000</v>
      </c>
      <c r="R27" s="77">
        <f t="shared" si="26"/>
        <v>63127215.029999994</v>
      </c>
      <c r="S27" s="92">
        <f t="shared" si="6"/>
        <v>8751917.6940000001</v>
      </c>
      <c r="T27" s="84">
        <f t="shared" si="27"/>
        <v>49372784.969999999</v>
      </c>
      <c r="U27" s="45"/>
      <c r="V27" s="169">
        <f t="shared" si="8"/>
        <v>9267750</v>
      </c>
      <c r="W27" s="165">
        <f t="shared" si="9"/>
        <v>3074889.5104554007</v>
      </c>
      <c r="X27" s="165">
        <f t="shared" si="16"/>
        <v>6192860.4895445993</v>
      </c>
      <c r="Y27" s="178">
        <f t="shared" si="17"/>
        <v>21</v>
      </c>
      <c r="AA27" s="169">
        <f t="shared" si="18"/>
        <v>7017732.9035861231</v>
      </c>
      <c r="AB27" s="165">
        <f t="shared" si="19"/>
        <v>3074970.7356156004</v>
      </c>
      <c r="AC27" s="170">
        <f t="shared" si="11"/>
        <v>3942762.1679705228</v>
      </c>
      <c r="AE27" s="83">
        <f t="shared" si="20"/>
        <v>6192839.4895445993</v>
      </c>
      <c r="AF27" s="84">
        <f t="shared" si="28"/>
        <v>14973980.019573003</v>
      </c>
    </row>
    <row r="28" spans="1:32" ht="13.5" customHeight="1" x14ac:dyDescent="0.3">
      <c r="A28" s="85">
        <v>22</v>
      </c>
      <c r="B28" s="86">
        <v>3</v>
      </c>
      <c r="C28" s="87">
        <v>0</v>
      </c>
      <c r="D28" s="87">
        <v>0</v>
      </c>
      <c r="E28" s="88">
        <f t="shared" si="13"/>
        <v>3</v>
      </c>
      <c r="F28" s="77">
        <f t="shared" ref="F28:H28" si="48">B28*$G$2</f>
        <v>11250000</v>
      </c>
      <c r="G28" s="77">
        <f t="shared" si="48"/>
        <v>0</v>
      </c>
      <c r="H28" s="77">
        <f t="shared" si="48"/>
        <v>0</v>
      </c>
      <c r="I28" s="77">
        <f t="shared" si="15"/>
        <v>11250000</v>
      </c>
      <c r="J28" s="89">
        <v>1</v>
      </c>
      <c r="K28" s="77">
        <f t="shared" si="22"/>
        <v>0</v>
      </c>
      <c r="L28" s="90">
        <v>0.25</v>
      </c>
      <c r="M28" s="77">
        <f t="shared" si="23"/>
        <v>3122602.8824999989</v>
      </c>
      <c r="N28" s="90">
        <v>0</v>
      </c>
      <c r="O28" s="77">
        <f t="shared" si="24"/>
        <v>0</v>
      </c>
      <c r="P28" s="84">
        <f t="shared" si="3"/>
        <v>3122602.8824999989</v>
      </c>
      <c r="Q28" s="91">
        <f t="shared" si="25"/>
        <v>123750000</v>
      </c>
      <c r="R28" s="77">
        <f t="shared" si="26"/>
        <v>66249817.912499994</v>
      </c>
      <c r="S28" s="92">
        <f t="shared" si="6"/>
        <v>8127397.1175000016</v>
      </c>
      <c r="T28" s="84">
        <f t="shared" si="27"/>
        <v>57500182.087499999</v>
      </c>
      <c r="U28" s="45"/>
      <c r="V28" s="169">
        <f t="shared" si="8"/>
        <v>9267750</v>
      </c>
      <c r="W28" s="165">
        <f t="shared" si="9"/>
        <v>3843611.8880692488</v>
      </c>
      <c r="X28" s="165">
        <f t="shared" si="16"/>
        <v>5424138.1119307512</v>
      </c>
      <c r="Y28" s="178">
        <f t="shared" si="17"/>
        <v>22</v>
      </c>
      <c r="AA28" s="169">
        <f t="shared" si="18"/>
        <v>7017732.9035861231</v>
      </c>
      <c r="AB28" s="165">
        <f t="shared" si="19"/>
        <v>3843713.4195194989</v>
      </c>
      <c r="AC28" s="170">
        <f t="shared" si="11"/>
        <v>3174019.4840666242</v>
      </c>
      <c r="AE28" s="83">
        <f t="shared" si="20"/>
        <v>5424116.1119307512</v>
      </c>
      <c r="AF28" s="84">
        <f t="shared" si="28"/>
        <v>20398096.131503753</v>
      </c>
    </row>
    <row r="29" spans="1:32" ht="13.5" customHeight="1" x14ac:dyDescent="0.3">
      <c r="A29" s="85">
        <v>23</v>
      </c>
      <c r="B29" s="86">
        <v>3</v>
      </c>
      <c r="C29" s="87">
        <v>0</v>
      </c>
      <c r="D29" s="87">
        <v>0</v>
      </c>
      <c r="E29" s="88">
        <f t="shared" si="13"/>
        <v>3</v>
      </c>
      <c r="F29" s="77">
        <f t="shared" ref="F29:H29" si="49">B29*$G$2</f>
        <v>11250000</v>
      </c>
      <c r="G29" s="77">
        <f t="shared" si="49"/>
        <v>0</v>
      </c>
      <c r="H29" s="77">
        <f t="shared" si="49"/>
        <v>0</v>
      </c>
      <c r="I29" s="77">
        <f t="shared" si="15"/>
        <v>11250000</v>
      </c>
      <c r="J29" s="89">
        <v>1</v>
      </c>
      <c r="K29" s="77">
        <f t="shared" si="22"/>
        <v>0</v>
      </c>
      <c r="L29" s="90">
        <v>0.3</v>
      </c>
      <c r="M29" s="77">
        <f t="shared" si="23"/>
        <v>3122602.8824999989</v>
      </c>
      <c r="N29" s="90">
        <v>0</v>
      </c>
      <c r="O29" s="77">
        <f t="shared" si="24"/>
        <v>0</v>
      </c>
      <c r="P29" s="84">
        <f t="shared" si="3"/>
        <v>3122602.8824999989</v>
      </c>
      <c r="Q29" s="91">
        <f t="shared" si="25"/>
        <v>135000000</v>
      </c>
      <c r="R29" s="77">
        <f t="shared" si="26"/>
        <v>69372420.794999987</v>
      </c>
      <c r="S29" s="92">
        <f t="shared" si="6"/>
        <v>8127397.1175000016</v>
      </c>
      <c r="T29" s="84">
        <f t="shared" si="27"/>
        <v>65627579.204999998</v>
      </c>
      <c r="U29" s="45"/>
      <c r="V29" s="169">
        <f t="shared" si="8"/>
        <v>9267750</v>
      </c>
      <c r="W29" s="165">
        <f t="shared" si="9"/>
        <v>3843611.8880692488</v>
      </c>
      <c r="X29" s="165">
        <f t="shared" si="16"/>
        <v>5424138.1119307512</v>
      </c>
      <c r="Y29" s="178">
        <f t="shared" si="17"/>
        <v>23</v>
      </c>
      <c r="AA29" s="169">
        <f t="shared" si="18"/>
        <v>7017732.9035861231</v>
      </c>
      <c r="AB29" s="165">
        <f t="shared" si="19"/>
        <v>3843713.4195194989</v>
      </c>
      <c r="AC29" s="170">
        <f t="shared" si="11"/>
        <v>3174019.4840666242</v>
      </c>
      <c r="AE29" s="83">
        <f t="shared" si="20"/>
        <v>5424115.1119307512</v>
      </c>
      <c r="AF29" s="84">
        <f t="shared" si="28"/>
        <v>25822211.243434504</v>
      </c>
    </row>
    <row r="30" spans="1:32" ht="13.5" customHeight="1" x14ac:dyDescent="0.3">
      <c r="A30" s="85">
        <v>24</v>
      </c>
      <c r="B30" s="86">
        <v>3</v>
      </c>
      <c r="C30" s="87">
        <v>0</v>
      </c>
      <c r="D30" s="87">
        <v>0</v>
      </c>
      <c r="E30" s="88">
        <f t="shared" si="13"/>
        <v>3</v>
      </c>
      <c r="F30" s="77">
        <f t="shared" ref="F30:H30" si="50">B30*$G$2</f>
        <v>11250000</v>
      </c>
      <c r="G30" s="77">
        <f t="shared" si="50"/>
        <v>0</v>
      </c>
      <c r="H30" s="77">
        <f t="shared" si="50"/>
        <v>0</v>
      </c>
      <c r="I30" s="77">
        <f t="shared" si="15"/>
        <v>11250000</v>
      </c>
      <c r="J30" s="89">
        <v>1</v>
      </c>
      <c r="K30" s="77">
        <f t="shared" si="22"/>
        <v>0</v>
      </c>
      <c r="L30" s="90">
        <v>0.36</v>
      </c>
      <c r="M30" s="77">
        <f t="shared" si="23"/>
        <v>3747123.4589999993</v>
      </c>
      <c r="N30" s="90">
        <v>0</v>
      </c>
      <c r="O30" s="77">
        <f t="shared" si="24"/>
        <v>0</v>
      </c>
      <c r="P30" s="84">
        <f t="shared" si="3"/>
        <v>3747123.4589999993</v>
      </c>
      <c r="Q30" s="91">
        <f t="shared" si="25"/>
        <v>146250000</v>
      </c>
      <c r="R30" s="77">
        <f t="shared" si="26"/>
        <v>73119544.253999993</v>
      </c>
      <c r="S30" s="92">
        <f t="shared" si="6"/>
        <v>7502876.5410000011</v>
      </c>
      <c r="T30" s="84">
        <f t="shared" si="27"/>
        <v>73130455.745999992</v>
      </c>
      <c r="U30" s="45"/>
      <c r="V30" s="169">
        <f t="shared" si="8"/>
        <v>9267750</v>
      </c>
      <c r="W30" s="165">
        <f t="shared" si="9"/>
        <v>4612334.2656830996</v>
      </c>
      <c r="X30" s="165">
        <f t="shared" si="16"/>
        <v>4655415.7343169004</v>
      </c>
      <c r="Y30" s="178">
        <f t="shared" si="17"/>
        <v>24</v>
      </c>
      <c r="AA30" s="169">
        <f t="shared" si="18"/>
        <v>7017732.9035861231</v>
      </c>
      <c r="AB30" s="165">
        <f t="shared" si="19"/>
        <v>4612456.1034233989</v>
      </c>
      <c r="AC30" s="170">
        <f t="shared" si="11"/>
        <v>2405276.8001627242</v>
      </c>
      <c r="AE30" s="83">
        <f t="shared" si="20"/>
        <v>4655391.7343169004</v>
      </c>
      <c r="AF30" s="84">
        <f t="shared" si="28"/>
        <v>30477602.977751404</v>
      </c>
    </row>
    <row r="31" spans="1:32" ht="13.5" customHeight="1" x14ac:dyDescent="0.3">
      <c r="A31" s="85">
        <v>25</v>
      </c>
      <c r="B31" s="86">
        <v>3</v>
      </c>
      <c r="C31" s="87">
        <v>0</v>
      </c>
      <c r="D31" s="87">
        <v>0</v>
      </c>
      <c r="E31" s="88">
        <f t="shared" si="13"/>
        <v>3</v>
      </c>
      <c r="F31" s="77">
        <f t="shared" ref="F31:H31" si="51">B31*$G$2</f>
        <v>11250000</v>
      </c>
      <c r="G31" s="77">
        <f t="shared" si="51"/>
        <v>0</v>
      </c>
      <c r="H31" s="77">
        <f t="shared" si="51"/>
        <v>0</v>
      </c>
      <c r="I31" s="77">
        <f t="shared" si="15"/>
        <v>11250000</v>
      </c>
      <c r="J31" s="89">
        <v>1</v>
      </c>
      <c r="K31" s="77">
        <f t="shared" si="22"/>
        <v>0</v>
      </c>
      <c r="L31" s="90">
        <v>0.42</v>
      </c>
      <c r="M31" s="77">
        <f t="shared" si="23"/>
        <v>3747123.4589999993</v>
      </c>
      <c r="N31" s="90">
        <v>0</v>
      </c>
      <c r="O31" s="77">
        <f t="shared" si="24"/>
        <v>0</v>
      </c>
      <c r="P31" s="84">
        <f t="shared" si="3"/>
        <v>3747123.4589999993</v>
      </c>
      <c r="Q31" s="91">
        <f t="shared" si="25"/>
        <v>157500000</v>
      </c>
      <c r="R31" s="77">
        <f t="shared" si="26"/>
        <v>76866667.713</v>
      </c>
      <c r="S31" s="92">
        <f t="shared" si="6"/>
        <v>7502876.5410000011</v>
      </c>
      <c r="T31" s="84">
        <f t="shared" si="27"/>
        <v>80633332.287</v>
      </c>
      <c r="U31" s="45"/>
      <c r="V31" s="169">
        <f t="shared" si="8"/>
        <v>9267750</v>
      </c>
      <c r="W31" s="165">
        <f t="shared" si="9"/>
        <v>4612334.2656830996</v>
      </c>
      <c r="X31" s="165">
        <f t="shared" si="16"/>
        <v>4655415.7343169004</v>
      </c>
      <c r="Y31" s="178">
        <f t="shared" si="17"/>
        <v>25</v>
      </c>
      <c r="AA31" s="169">
        <f t="shared" si="18"/>
        <v>7017732.9035861231</v>
      </c>
      <c r="AB31" s="165">
        <f t="shared" si="19"/>
        <v>4612456.1034233989</v>
      </c>
      <c r="AC31" s="170">
        <f t="shared" si="11"/>
        <v>2405276.8001627242</v>
      </c>
      <c r="AE31" s="83">
        <f t="shared" si="20"/>
        <v>4655390.7343169004</v>
      </c>
      <c r="AF31" s="84">
        <f t="shared" si="28"/>
        <v>35132993.712068304</v>
      </c>
    </row>
    <row r="32" spans="1:32" ht="13.5" customHeight="1" x14ac:dyDescent="0.3">
      <c r="A32" s="85">
        <v>26</v>
      </c>
      <c r="B32" s="86">
        <v>3</v>
      </c>
      <c r="C32" s="87">
        <v>0</v>
      </c>
      <c r="D32" s="87">
        <v>0</v>
      </c>
      <c r="E32" s="88">
        <f t="shared" si="13"/>
        <v>3</v>
      </c>
      <c r="F32" s="77">
        <f t="shared" ref="F32:H32" si="52">B32*$G$2</f>
        <v>11250000</v>
      </c>
      <c r="G32" s="77">
        <f t="shared" si="52"/>
        <v>0</v>
      </c>
      <c r="H32" s="77">
        <f t="shared" si="52"/>
        <v>0</v>
      </c>
      <c r="I32" s="77">
        <f t="shared" si="15"/>
        <v>11250000</v>
      </c>
      <c r="J32" s="89">
        <v>1</v>
      </c>
      <c r="K32" s="77">
        <f t="shared" si="22"/>
        <v>0</v>
      </c>
      <c r="L32" s="90">
        <v>0.5</v>
      </c>
      <c r="M32" s="77">
        <f t="shared" si="23"/>
        <v>4996164.6120000007</v>
      </c>
      <c r="N32" s="90">
        <v>0</v>
      </c>
      <c r="O32" s="77">
        <f t="shared" si="24"/>
        <v>0</v>
      </c>
      <c r="P32" s="84">
        <f t="shared" si="3"/>
        <v>4996164.6120000007</v>
      </c>
      <c r="Q32" s="91">
        <f t="shared" si="25"/>
        <v>168750000</v>
      </c>
      <c r="R32" s="77">
        <f t="shared" si="26"/>
        <v>81862832.325000003</v>
      </c>
      <c r="S32" s="92">
        <f t="shared" si="6"/>
        <v>6253835.3879999993</v>
      </c>
      <c r="T32" s="84">
        <f t="shared" si="27"/>
        <v>86887167.674999997</v>
      </c>
      <c r="U32" s="45"/>
      <c r="V32" s="169">
        <f t="shared" si="8"/>
        <v>9267750</v>
      </c>
      <c r="W32" s="165">
        <f t="shared" si="9"/>
        <v>6149779.0209108014</v>
      </c>
      <c r="X32" s="165">
        <f t="shared" si="16"/>
        <v>3117970.9790891986</v>
      </c>
      <c r="Y32" s="178">
        <f t="shared" si="17"/>
        <v>26</v>
      </c>
      <c r="AA32" s="169">
        <f t="shared" si="18"/>
        <v>7017732.9035861231</v>
      </c>
      <c r="AB32" s="165">
        <f t="shared" si="19"/>
        <v>6149941.4712312007</v>
      </c>
      <c r="AC32" s="170">
        <f t="shared" si="11"/>
        <v>867791.43235492241</v>
      </c>
      <c r="AE32" s="83">
        <f t="shared" si="20"/>
        <v>3117944.9790891986</v>
      </c>
      <c r="AF32" s="84">
        <f t="shared" si="28"/>
        <v>38250938.691157505</v>
      </c>
    </row>
    <row r="33" spans="1:32" ht="13.5" customHeight="1" x14ac:dyDescent="0.3">
      <c r="A33" s="85">
        <v>27</v>
      </c>
      <c r="B33" s="86">
        <v>3</v>
      </c>
      <c r="C33" s="87">
        <v>0</v>
      </c>
      <c r="D33" s="87">
        <v>0</v>
      </c>
      <c r="E33" s="88">
        <f t="shared" si="13"/>
        <v>3</v>
      </c>
      <c r="F33" s="77">
        <f t="shared" ref="F33:H33" si="53">B33*$G$2</f>
        <v>11250000</v>
      </c>
      <c r="G33" s="77">
        <f t="shared" si="53"/>
        <v>0</v>
      </c>
      <c r="H33" s="77">
        <f t="shared" si="53"/>
        <v>0</v>
      </c>
      <c r="I33" s="77">
        <f t="shared" si="15"/>
        <v>11250000</v>
      </c>
      <c r="J33" s="89">
        <v>1</v>
      </c>
      <c r="K33" s="77">
        <f t="shared" si="22"/>
        <v>0</v>
      </c>
      <c r="L33" s="90">
        <v>0.6</v>
      </c>
      <c r="M33" s="77">
        <f t="shared" si="23"/>
        <v>6245205.7649999978</v>
      </c>
      <c r="N33" s="90">
        <v>0</v>
      </c>
      <c r="O33" s="77">
        <f t="shared" si="24"/>
        <v>0</v>
      </c>
      <c r="P33" s="84">
        <f t="shared" si="3"/>
        <v>6245205.7649999978</v>
      </c>
      <c r="Q33" s="91">
        <f t="shared" si="25"/>
        <v>180000000</v>
      </c>
      <c r="R33" s="77">
        <f t="shared" si="26"/>
        <v>88108038.090000004</v>
      </c>
      <c r="S33" s="92">
        <f t="shared" si="6"/>
        <v>5004794.2350000022</v>
      </c>
      <c r="T33" s="84">
        <f t="shared" si="27"/>
        <v>91891961.909999996</v>
      </c>
      <c r="U33" s="45"/>
      <c r="V33" s="169">
        <f t="shared" si="8"/>
        <v>9267750</v>
      </c>
      <c r="W33" s="165">
        <f t="shared" si="9"/>
        <v>7687223.7761384975</v>
      </c>
      <c r="X33" s="165">
        <f t="shared" si="16"/>
        <v>1580526.2238615025</v>
      </c>
      <c r="Y33" s="178">
        <f t="shared" si="17"/>
        <v>27</v>
      </c>
      <c r="AA33" s="169">
        <f t="shared" si="18"/>
        <v>7017732.9035861231</v>
      </c>
      <c r="AB33" s="165">
        <f t="shared" si="19"/>
        <v>7687426.8390389979</v>
      </c>
      <c r="AC33" s="170">
        <f t="shared" si="11"/>
        <v>-669693.93545287475</v>
      </c>
      <c r="AE33" s="83">
        <f t="shared" si="20"/>
        <v>1580499.2238615025</v>
      </c>
      <c r="AF33" s="84">
        <f t="shared" si="28"/>
        <v>39831437.915019006</v>
      </c>
    </row>
    <row r="34" spans="1:32" ht="13.5" customHeight="1" x14ac:dyDescent="0.3">
      <c r="A34" s="85">
        <v>28</v>
      </c>
      <c r="B34" s="86">
        <v>2</v>
      </c>
      <c r="C34" s="87">
        <v>1</v>
      </c>
      <c r="D34" s="87">
        <v>0</v>
      </c>
      <c r="E34" s="88">
        <f t="shared" si="13"/>
        <v>3</v>
      </c>
      <c r="F34" s="77">
        <f t="shared" ref="F34:H34" si="54">B34*$G$2</f>
        <v>7500000</v>
      </c>
      <c r="G34" s="77">
        <f t="shared" si="54"/>
        <v>3750000</v>
      </c>
      <c r="H34" s="77">
        <f t="shared" si="54"/>
        <v>0</v>
      </c>
      <c r="I34" s="77">
        <f t="shared" si="15"/>
        <v>11250000</v>
      </c>
      <c r="J34" s="89">
        <v>1</v>
      </c>
      <c r="K34" s="77">
        <f t="shared" si="22"/>
        <v>0</v>
      </c>
      <c r="L34" s="90">
        <v>0.75</v>
      </c>
      <c r="M34" s="77">
        <f t="shared" si="23"/>
        <v>9367808.6475000009</v>
      </c>
      <c r="N34" s="90">
        <v>0</v>
      </c>
      <c r="O34" s="77">
        <f t="shared" si="24"/>
        <v>0</v>
      </c>
      <c r="P34" s="84">
        <f t="shared" si="3"/>
        <v>9367808.6475000009</v>
      </c>
      <c r="Q34" s="91">
        <f t="shared" si="25"/>
        <v>191250000</v>
      </c>
      <c r="R34" s="77">
        <f t="shared" si="26"/>
        <v>97475846.737500012</v>
      </c>
      <c r="S34" s="92">
        <f t="shared" si="6"/>
        <v>1882191.3524999991</v>
      </c>
      <c r="T34" s="84">
        <f t="shared" si="27"/>
        <v>93774153.262499988</v>
      </c>
      <c r="U34" s="45"/>
      <c r="V34" s="169">
        <f t="shared" si="8"/>
        <v>9267750</v>
      </c>
      <c r="W34" s="165">
        <f t="shared" si="9"/>
        <v>11530835.664207753</v>
      </c>
      <c r="X34" s="165">
        <f t="shared" si="16"/>
        <v>-2263085.6642077528</v>
      </c>
      <c r="Y34" s="178">
        <f t="shared" si="17"/>
        <v>28</v>
      </c>
      <c r="AA34" s="169">
        <f t="shared" si="18"/>
        <v>7017732.9035861231</v>
      </c>
      <c r="AB34" s="165">
        <f t="shared" si="19"/>
        <v>11531140.258558502</v>
      </c>
      <c r="AC34" s="170">
        <f t="shared" si="11"/>
        <v>-4513407.3549723793</v>
      </c>
      <c r="AE34" s="83">
        <f t="shared" si="20"/>
        <v>-2263113.6642077528</v>
      </c>
      <c r="AF34" s="84">
        <f t="shared" si="28"/>
        <v>37568324.250811249</v>
      </c>
    </row>
    <row r="35" spans="1:32" ht="13.5" customHeight="1" x14ac:dyDescent="0.3">
      <c r="A35" s="85">
        <v>29</v>
      </c>
      <c r="B35" s="86">
        <v>0</v>
      </c>
      <c r="C35" s="87">
        <v>3</v>
      </c>
      <c r="D35" s="87">
        <v>0</v>
      </c>
      <c r="E35" s="88">
        <f t="shared" si="13"/>
        <v>3</v>
      </c>
      <c r="F35" s="77">
        <f t="shared" ref="F35:H35" si="55">B35*$G$2</f>
        <v>0</v>
      </c>
      <c r="G35" s="77">
        <f t="shared" si="55"/>
        <v>11250000</v>
      </c>
      <c r="H35" s="77">
        <f t="shared" si="55"/>
        <v>0</v>
      </c>
      <c r="I35" s="77">
        <f t="shared" si="15"/>
        <v>11250000</v>
      </c>
      <c r="J35" s="89">
        <v>1</v>
      </c>
      <c r="K35" s="77">
        <f t="shared" si="22"/>
        <v>0</v>
      </c>
      <c r="L35" s="90">
        <v>0.85</v>
      </c>
      <c r="M35" s="77">
        <f t="shared" si="23"/>
        <v>6245205.7649999978</v>
      </c>
      <c r="N35" s="90">
        <v>0</v>
      </c>
      <c r="O35" s="77">
        <f t="shared" si="24"/>
        <v>0</v>
      </c>
      <c r="P35" s="84">
        <f t="shared" si="3"/>
        <v>6245205.7649999978</v>
      </c>
      <c r="Q35" s="91">
        <f t="shared" si="25"/>
        <v>202500000</v>
      </c>
      <c r="R35" s="77">
        <f t="shared" si="26"/>
        <v>103721052.50250001</v>
      </c>
      <c r="S35" s="92">
        <f t="shared" si="6"/>
        <v>5004794.2350000022</v>
      </c>
      <c r="T35" s="84">
        <f t="shared" si="27"/>
        <v>98778947.497499987</v>
      </c>
      <c r="U35" s="45"/>
      <c r="V35" s="169">
        <f t="shared" si="8"/>
        <v>9267750</v>
      </c>
      <c r="W35" s="165">
        <f t="shared" si="9"/>
        <v>7687223.7761384975</v>
      </c>
      <c r="X35" s="165">
        <f t="shared" si="16"/>
        <v>1580526.2238615025</v>
      </c>
      <c r="Y35" s="178">
        <f t="shared" si="17"/>
        <v>29</v>
      </c>
      <c r="AA35" s="169">
        <f t="shared" si="18"/>
        <v>7017732.9035861231</v>
      </c>
      <c r="AB35" s="165">
        <f t="shared" si="19"/>
        <v>7687426.8390389979</v>
      </c>
      <c r="AC35" s="170">
        <f t="shared" si="11"/>
        <v>-669693.93545287475</v>
      </c>
      <c r="AE35" s="83">
        <f t="shared" si="20"/>
        <v>1580497.2238615025</v>
      </c>
      <c r="AF35" s="84">
        <f t="shared" si="28"/>
        <v>39148821.47467275</v>
      </c>
    </row>
    <row r="36" spans="1:32" ht="13.5" customHeight="1" x14ac:dyDescent="0.3">
      <c r="A36" s="85">
        <v>30</v>
      </c>
      <c r="B36" s="86">
        <v>0</v>
      </c>
      <c r="C36" s="87">
        <v>3</v>
      </c>
      <c r="D36" s="87">
        <v>0</v>
      </c>
      <c r="E36" s="88">
        <f t="shared" si="13"/>
        <v>3</v>
      </c>
      <c r="F36" s="77">
        <f t="shared" ref="F36:H36" si="56">B36*$G$2</f>
        <v>0</v>
      </c>
      <c r="G36" s="77">
        <f t="shared" si="56"/>
        <v>11250000</v>
      </c>
      <c r="H36" s="77">
        <f t="shared" si="56"/>
        <v>0</v>
      </c>
      <c r="I36" s="77">
        <f t="shared" si="15"/>
        <v>11250000</v>
      </c>
      <c r="J36" s="89">
        <v>1</v>
      </c>
      <c r="K36" s="77">
        <f t="shared" si="22"/>
        <v>0</v>
      </c>
      <c r="L36" s="90">
        <v>0.9</v>
      </c>
      <c r="M36" s="77">
        <f t="shared" si="23"/>
        <v>3122602.8825000022</v>
      </c>
      <c r="N36" s="90">
        <v>0</v>
      </c>
      <c r="O36" s="77">
        <f t="shared" si="24"/>
        <v>0</v>
      </c>
      <c r="P36" s="84">
        <f t="shared" si="3"/>
        <v>3122602.8825000022</v>
      </c>
      <c r="Q36" s="91">
        <f t="shared" si="25"/>
        <v>213750000</v>
      </c>
      <c r="R36" s="77">
        <f t="shared" si="26"/>
        <v>106843655.38500002</v>
      </c>
      <c r="S36" s="92">
        <f t="shared" si="6"/>
        <v>8127397.1174999978</v>
      </c>
      <c r="T36" s="84">
        <f t="shared" si="27"/>
        <v>106906344.61499998</v>
      </c>
      <c r="U36" s="45"/>
      <c r="V36" s="169">
        <f t="shared" si="8"/>
        <v>9267750</v>
      </c>
      <c r="W36" s="165">
        <f t="shared" si="9"/>
        <v>3843611.8880692529</v>
      </c>
      <c r="X36" s="165">
        <f t="shared" si="16"/>
        <v>5424138.1119307466</v>
      </c>
      <c r="Y36" s="178">
        <f t="shared" si="17"/>
        <v>30</v>
      </c>
      <c r="AA36" s="169">
        <f t="shared" si="18"/>
        <v>7017732.9035861231</v>
      </c>
      <c r="AB36" s="165">
        <f t="shared" si="19"/>
        <v>3843713.4195195027</v>
      </c>
      <c r="AC36" s="170">
        <f t="shared" si="11"/>
        <v>3174019.4840666205</v>
      </c>
      <c r="AE36" s="83">
        <f t="shared" si="20"/>
        <v>5424108.1119307466</v>
      </c>
      <c r="AF36" s="84">
        <f t="shared" si="28"/>
        <v>44572929.586603492</v>
      </c>
    </row>
    <row r="37" spans="1:32" ht="13.5" customHeight="1" x14ac:dyDescent="0.3">
      <c r="A37" s="85">
        <v>31</v>
      </c>
      <c r="B37" s="86">
        <v>0</v>
      </c>
      <c r="C37" s="87">
        <v>3</v>
      </c>
      <c r="D37" s="87">
        <v>0</v>
      </c>
      <c r="E37" s="88">
        <f t="shared" si="13"/>
        <v>3</v>
      </c>
      <c r="F37" s="77">
        <f t="shared" ref="F37:H37" si="57">B37*$G$2</f>
        <v>0</v>
      </c>
      <c r="G37" s="77">
        <f t="shared" si="57"/>
        <v>11250000</v>
      </c>
      <c r="H37" s="77">
        <f t="shared" si="57"/>
        <v>0</v>
      </c>
      <c r="I37" s="77">
        <f t="shared" si="15"/>
        <v>11250000</v>
      </c>
      <c r="J37" s="89">
        <v>1</v>
      </c>
      <c r="K37" s="77">
        <f t="shared" si="22"/>
        <v>0</v>
      </c>
      <c r="L37" s="90">
        <v>0.95</v>
      </c>
      <c r="M37" s="77">
        <f t="shared" si="23"/>
        <v>3122602.8824999952</v>
      </c>
      <c r="N37" s="90">
        <v>0</v>
      </c>
      <c r="O37" s="77">
        <f t="shared" si="24"/>
        <v>0</v>
      </c>
      <c r="P37" s="84">
        <f t="shared" si="3"/>
        <v>3122602.8824999952</v>
      </c>
      <c r="Q37" s="91">
        <f t="shared" si="25"/>
        <v>225000000</v>
      </c>
      <c r="R37" s="77">
        <f t="shared" si="26"/>
        <v>109966258.26750001</v>
      </c>
      <c r="S37" s="92">
        <f t="shared" si="6"/>
        <v>8127397.1175000053</v>
      </c>
      <c r="T37" s="84">
        <f t="shared" si="27"/>
        <v>115033741.73249999</v>
      </c>
      <c r="U37" s="45"/>
      <c r="V37" s="169">
        <f t="shared" si="8"/>
        <v>9267750</v>
      </c>
      <c r="W37" s="165">
        <f t="shared" si="9"/>
        <v>3843611.8880692446</v>
      </c>
      <c r="X37" s="165">
        <f t="shared" si="16"/>
        <v>5424138.1119307559</v>
      </c>
      <c r="Y37" s="178">
        <f t="shared" si="17"/>
        <v>31</v>
      </c>
      <c r="AA37" s="169">
        <f t="shared" si="18"/>
        <v>7017732.9035861231</v>
      </c>
      <c r="AB37" s="165">
        <f t="shared" si="19"/>
        <v>3843713.4195194943</v>
      </c>
      <c r="AC37" s="170">
        <f t="shared" si="11"/>
        <v>3174019.4840666289</v>
      </c>
      <c r="AE37" s="83">
        <f t="shared" si="20"/>
        <v>5424107.1119307559</v>
      </c>
      <c r="AF37" s="84">
        <f t="shared" si="28"/>
        <v>49997036.69853425</v>
      </c>
    </row>
    <row r="38" spans="1:32" ht="13.5" customHeight="1" x14ac:dyDescent="0.3">
      <c r="A38" s="85">
        <v>32</v>
      </c>
      <c r="B38" s="86">
        <v>0</v>
      </c>
      <c r="C38" s="87">
        <v>3</v>
      </c>
      <c r="D38" s="87">
        <v>0</v>
      </c>
      <c r="E38" s="88">
        <f t="shared" si="13"/>
        <v>3</v>
      </c>
      <c r="F38" s="77">
        <f t="shared" ref="F38:H38" si="58">B38*$G$2</f>
        <v>0</v>
      </c>
      <c r="G38" s="77">
        <f t="shared" si="58"/>
        <v>11250000</v>
      </c>
      <c r="H38" s="77">
        <f t="shared" si="58"/>
        <v>0</v>
      </c>
      <c r="I38" s="77">
        <f t="shared" si="15"/>
        <v>11250000</v>
      </c>
      <c r="J38" s="89">
        <v>1</v>
      </c>
      <c r="K38" s="77">
        <f t="shared" si="22"/>
        <v>0</v>
      </c>
      <c r="L38" s="90">
        <v>1</v>
      </c>
      <c r="M38" s="77">
        <f t="shared" si="23"/>
        <v>3122602.8825000022</v>
      </c>
      <c r="N38" s="90">
        <v>0</v>
      </c>
      <c r="O38" s="77">
        <f t="shared" si="24"/>
        <v>0</v>
      </c>
      <c r="P38" s="84">
        <f t="shared" si="3"/>
        <v>3122602.8825000022</v>
      </c>
      <c r="Q38" s="91">
        <f t="shared" si="25"/>
        <v>236250000</v>
      </c>
      <c r="R38" s="77">
        <f t="shared" si="26"/>
        <v>113088861.15000002</v>
      </c>
      <c r="S38" s="92">
        <f t="shared" si="6"/>
        <v>8127397.1174999978</v>
      </c>
      <c r="T38" s="84">
        <f t="shared" si="27"/>
        <v>123161138.84999998</v>
      </c>
      <c r="U38" s="45"/>
      <c r="V38" s="169">
        <f t="shared" ref="V38:V65" si="59">I38*(1-$W$66)</f>
        <v>9267750</v>
      </c>
      <c r="W38" s="165">
        <f t="shared" ref="W38:W65" si="60">P38*(1+$W$67)</f>
        <v>3843611.8880692529</v>
      </c>
      <c r="X38" s="165">
        <f t="shared" si="16"/>
        <v>5424138.1119307466</v>
      </c>
      <c r="Y38" s="178">
        <f t="shared" si="17"/>
        <v>32</v>
      </c>
      <c r="AA38" s="169">
        <f t="shared" si="18"/>
        <v>7017732.9035861231</v>
      </c>
      <c r="AB38" s="165">
        <f t="shared" si="19"/>
        <v>3843713.4195195027</v>
      </c>
      <c r="AC38" s="170">
        <f t="shared" si="11"/>
        <v>3174019.4840666205</v>
      </c>
      <c r="AE38" s="83">
        <f t="shared" si="20"/>
        <v>5424106.1119307466</v>
      </c>
      <c r="AF38" s="84">
        <f t="shared" si="28"/>
        <v>55421142.810464993</v>
      </c>
    </row>
    <row r="39" spans="1:32" ht="13.5" customHeight="1" x14ac:dyDescent="0.3">
      <c r="A39" s="85">
        <v>33</v>
      </c>
      <c r="B39" s="86">
        <v>0</v>
      </c>
      <c r="C39" s="87">
        <v>3</v>
      </c>
      <c r="D39" s="87">
        <v>0</v>
      </c>
      <c r="E39" s="88">
        <f t="shared" si="13"/>
        <v>3</v>
      </c>
      <c r="F39" s="77">
        <f t="shared" ref="F39:H39" si="61">B39*$G$2</f>
        <v>0</v>
      </c>
      <c r="G39" s="77">
        <f t="shared" si="61"/>
        <v>11250000</v>
      </c>
      <c r="H39" s="77">
        <f t="shared" si="61"/>
        <v>0</v>
      </c>
      <c r="I39" s="77">
        <f t="shared" si="15"/>
        <v>11250000</v>
      </c>
      <c r="J39" s="89">
        <v>1</v>
      </c>
      <c r="K39" s="77">
        <f t="shared" si="22"/>
        <v>0</v>
      </c>
      <c r="L39" s="90">
        <v>1</v>
      </c>
      <c r="M39" s="77">
        <f t="shared" si="23"/>
        <v>0</v>
      </c>
      <c r="N39" s="90">
        <v>0.01</v>
      </c>
      <c r="O39" s="77">
        <f t="shared" si="24"/>
        <v>286941.88649999996</v>
      </c>
      <c r="P39" s="84">
        <f t="shared" si="3"/>
        <v>286941.88649999996</v>
      </c>
      <c r="Q39" s="91">
        <f t="shared" si="25"/>
        <v>247500000</v>
      </c>
      <c r="R39" s="77">
        <f t="shared" si="26"/>
        <v>113375803.03650002</v>
      </c>
      <c r="S39" s="92">
        <f t="shared" si="6"/>
        <v>10963058.113500001</v>
      </c>
      <c r="T39" s="84">
        <f t="shared" si="27"/>
        <v>134124196.96349998</v>
      </c>
      <c r="U39" s="45"/>
      <c r="V39" s="169">
        <f t="shared" si="59"/>
        <v>9267750</v>
      </c>
      <c r="W39" s="165">
        <f t="shared" si="60"/>
        <v>353196.76809284999</v>
      </c>
      <c r="X39" s="165">
        <f t="shared" si="16"/>
        <v>8914553.2319071498</v>
      </c>
      <c r="Y39" s="178">
        <f t="shared" si="17"/>
        <v>33</v>
      </c>
      <c r="AA39" s="169">
        <f t="shared" si="18"/>
        <v>7017732.9035861231</v>
      </c>
      <c r="AB39" s="165">
        <f t="shared" si="19"/>
        <v>353206.09800989996</v>
      </c>
      <c r="AC39" s="170">
        <f t="shared" si="11"/>
        <v>6664526.8055762229</v>
      </c>
      <c r="AE39" s="83">
        <f t="shared" si="20"/>
        <v>8914520.2319071498</v>
      </c>
      <c r="AF39" s="84">
        <f t="shared" si="28"/>
        <v>64335663.042372145</v>
      </c>
    </row>
    <row r="40" spans="1:32" ht="13.5" customHeight="1" x14ac:dyDescent="0.3">
      <c r="A40" s="85">
        <v>34</v>
      </c>
      <c r="B40" s="86">
        <v>0</v>
      </c>
      <c r="C40" s="87">
        <v>3</v>
      </c>
      <c r="D40" s="87">
        <v>0</v>
      </c>
      <c r="E40" s="88">
        <f t="shared" si="13"/>
        <v>3</v>
      </c>
      <c r="F40" s="77">
        <f t="shared" ref="F40:H40" si="62">B40*$G$2</f>
        <v>0</v>
      </c>
      <c r="G40" s="77">
        <f t="shared" si="62"/>
        <v>11250000</v>
      </c>
      <c r="H40" s="77">
        <f t="shared" si="62"/>
        <v>0</v>
      </c>
      <c r="I40" s="77">
        <f t="shared" si="15"/>
        <v>11250000</v>
      </c>
      <c r="J40" s="89">
        <v>1</v>
      </c>
      <c r="K40" s="77">
        <f t="shared" si="22"/>
        <v>0</v>
      </c>
      <c r="L40" s="90">
        <v>1</v>
      </c>
      <c r="M40" s="77">
        <f t="shared" si="23"/>
        <v>0</v>
      </c>
      <c r="N40" s="90">
        <v>0.02</v>
      </c>
      <c r="O40" s="77">
        <f t="shared" si="24"/>
        <v>286941.88649999996</v>
      </c>
      <c r="P40" s="84">
        <f t="shared" si="3"/>
        <v>286941.88649999996</v>
      </c>
      <c r="Q40" s="91">
        <f t="shared" si="25"/>
        <v>258750000</v>
      </c>
      <c r="R40" s="77">
        <f t="shared" si="26"/>
        <v>113662744.92300002</v>
      </c>
      <c r="S40" s="92">
        <f t="shared" si="6"/>
        <v>10963058.113500001</v>
      </c>
      <c r="T40" s="84">
        <f t="shared" si="27"/>
        <v>145087255.07699999</v>
      </c>
      <c r="U40" s="45"/>
      <c r="V40" s="169">
        <f t="shared" si="59"/>
        <v>9267750</v>
      </c>
      <c r="W40" s="165">
        <f t="shared" si="60"/>
        <v>353196.76809284999</v>
      </c>
      <c r="X40" s="165">
        <f t="shared" si="16"/>
        <v>8914553.2319071498</v>
      </c>
      <c r="Y40" s="178">
        <f t="shared" si="17"/>
        <v>34</v>
      </c>
      <c r="AA40" s="169">
        <f t="shared" si="18"/>
        <v>7017732.9035861231</v>
      </c>
      <c r="AB40" s="165">
        <f t="shared" si="19"/>
        <v>353206.09800989996</v>
      </c>
      <c r="AC40" s="170">
        <f t="shared" si="11"/>
        <v>6664526.8055762229</v>
      </c>
      <c r="AE40" s="83">
        <f t="shared" si="20"/>
        <v>8914519.2319071498</v>
      </c>
      <c r="AF40" s="84">
        <f t="shared" si="28"/>
        <v>73250182.274279296</v>
      </c>
    </row>
    <row r="41" spans="1:32" ht="13.5" customHeight="1" x14ac:dyDescent="0.3">
      <c r="A41" s="85">
        <v>35</v>
      </c>
      <c r="B41" s="86">
        <v>0</v>
      </c>
      <c r="C41" s="87">
        <v>3</v>
      </c>
      <c r="D41" s="87">
        <v>0</v>
      </c>
      <c r="E41" s="88">
        <f t="shared" si="13"/>
        <v>3</v>
      </c>
      <c r="F41" s="77">
        <f t="shared" ref="F41:H41" si="63">B41*$G$2</f>
        <v>0</v>
      </c>
      <c r="G41" s="77">
        <f t="shared" si="63"/>
        <v>11250000</v>
      </c>
      <c r="H41" s="77">
        <f t="shared" si="63"/>
        <v>0</v>
      </c>
      <c r="I41" s="77">
        <f t="shared" si="15"/>
        <v>11250000</v>
      </c>
      <c r="J41" s="89">
        <v>1</v>
      </c>
      <c r="K41" s="77">
        <f t="shared" si="22"/>
        <v>0</v>
      </c>
      <c r="L41" s="90">
        <v>1</v>
      </c>
      <c r="M41" s="77">
        <f t="shared" si="23"/>
        <v>0</v>
      </c>
      <c r="N41" s="90">
        <v>0.04</v>
      </c>
      <c r="O41" s="77">
        <f t="shared" si="24"/>
        <v>573883.77299999993</v>
      </c>
      <c r="P41" s="84">
        <f t="shared" si="3"/>
        <v>573883.77299999993</v>
      </c>
      <c r="Q41" s="91">
        <f t="shared" si="25"/>
        <v>270000000</v>
      </c>
      <c r="R41" s="77">
        <f t="shared" si="26"/>
        <v>114236628.69600002</v>
      </c>
      <c r="S41" s="92">
        <f t="shared" si="6"/>
        <v>10676116.227</v>
      </c>
      <c r="T41" s="84">
        <f t="shared" si="27"/>
        <v>155763371.30399999</v>
      </c>
      <c r="U41" s="45"/>
      <c r="V41" s="169">
        <f t="shared" si="59"/>
        <v>9267750</v>
      </c>
      <c r="W41" s="165">
        <f t="shared" si="60"/>
        <v>706393.53618569998</v>
      </c>
      <c r="X41" s="165">
        <f t="shared" si="16"/>
        <v>8561356.4638142996</v>
      </c>
      <c r="Y41" s="178">
        <f t="shared" si="17"/>
        <v>35</v>
      </c>
      <c r="AA41" s="169">
        <f t="shared" si="18"/>
        <v>7017732.9035861231</v>
      </c>
      <c r="AB41" s="165">
        <f t="shared" si="19"/>
        <v>706412.19601979991</v>
      </c>
      <c r="AC41" s="170">
        <f t="shared" si="11"/>
        <v>6311320.7075663228</v>
      </c>
      <c r="AE41" s="83">
        <f t="shared" si="20"/>
        <v>8561321.4638142996</v>
      </c>
      <c r="AF41" s="84">
        <f t="shared" si="28"/>
        <v>81811503.7380936</v>
      </c>
    </row>
    <row r="42" spans="1:32" ht="13.5" customHeight="1" x14ac:dyDescent="0.3">
      <c r="A42" s="85">
        <v>36</v>
      </c>
      <c r="B42" s="86">
        <v>0</v>
      </c>
      <c r="C42" s="87">
        <v>3</v>
      </c>
      <c r="D42" s="87">
        <v>0</v>
      </c>
      <c r="E42" s="88">
        <f t="shared" si="13"/>
        <v>3</v>
      </c>
      <c r="F42" s="77">
        <f t="shared" ref="F42:H42" si="64">B42*$G$2</f>
        <v>0</v>
      </c>
      <c r="G42" s="77">
        <f t="shared" si="64"/>
        <v>11250000</v>
      </c>
      <c r="H42" s="77">
        <f t="shared" si="64"/>
        <v>0</v>
      </c>
      <c r="I42" s="77">
        <f t="shared" si="15"/>
        <v>11250000</v>
      </c>
      <c r="J42" s="89">
        <v>1</v>
      </c>
      <c r="K42" s="77">
        <f t="shared" si="22"/>
        <v>0</v>
      </c>
      <c r="L42" s="90">
        <v>1</v>
      </c>
      <c r="M42" s="77">
        <f t="shared" si="23"/>
        <v>0</v>
      </c>
      <c r="N42" s="90">
        <v>0.06</v>
      </c>
      <c r="O42" s="77">
        <f t="shared" si="24"/>
        <v>573883.77299999981</v>
      </c>
      <c r="P42" s="84">
        <f t="shared" si="3"/>
        <v>573883.77299999981</v>
      </c>
      <c r="Q42" s="91">
        <f t="shared" si="25"/>
        <v>281250000</v>
      </c>
      <c r="R42" s="77">
        <f t="shared" si="26"/>
        <v>114810512.46900003</v>
      </c>
      <c r="S42" s="92">
        <f t="shared" si="6"/>
        <v>10676116.227</v>
      </c>
      <c r="T42" s="84">
        <f t="shared" si="27"/>
        <v>166439487.53099999</v>
      </c>
      <c r="U42" s="45"/>
      <c r="V42" s="169">
        <f t="shared" si="59"/>
        <v>9267750</v>
      </c>
      <c r="W42" s="165">
        <f t="shared" si="60"/>
        <v>706393.53618569986</v>
      </c>
      <c r="X42" s="165">
        <f t="shared" si="16"/>
        <v>8561356.4638142996</v>
      </c>
      <c r="Y42" s="178">
        <f t="shared" si="17"/>
        <v>36</v>
      </c>
      <c r="AA42" s="169">
        <f t="shared" si="18"/>
        <v>7017732.9035861231</v>
      </c>
      <c r="AB42" s="165">
        <f t="shared" si="19"/>
        <v>706412.1960197998</v>
      </c>
      <c r="AC42" s="170">
        <f t="shared" si="11"/>
        <v>6311320.7075663237</v>
      </c>
      <c r="AE42" s="83">
        <f t="shared" si="20"/>
        <v>8561320.4638142996</v>
      </c>
      <c r="AF42" s="84">
        <f t="shared" si="28"/>
        <v>90372824.201907903</v>
      </c>
    </row>
    <row r="43" spans="1:32" ht="13.5" customHeight="1" x14ac:dyDescent="0.3">
      <c r="A43" s="85">
        <v>37</v>
      </c>
      <c r="B43" s="86">
        <v>0</v>
      </c>
      <c r="C43" s="87">
        <v>3</v>
      </c>
      <c r="D43" s="87">
        <v>0</v>
      </c>
      <c r="E43" s="88">
        <f t="shared" si="13"/>
        <v>3</v>
      </c>
      <c r="F43" s="77">
        <f t="shared" ref="F43:H43" si="65">B43*$G$2</f>
        <v>0</v>
      </c>
      <c r="G43" s="77">
        <f t="shared" si="65"/>
        <v>11250000</v>
      </c>
      <c r="H43" s="77">
        <f t="shared" si="65"/>
        <v>0</v>
      </c>
      <c r="I43" s="77">
        <f t="shared" si="15"/>
        <v>11250000</v>
      </c>
      <c r="J43" s="89">
        <v>1</v>
      </c>
      <c r="K43" s="77">
        <f t="shared" si="22"/>
        <v>0</v>
      </c>
      <c r="L43" s="90">
        <v>1</v>
      </c>
      <c r="M43" s="77">
        <f t="shared" si="23"/>
        <v>0</v>
      </c>
      <c r="N43" s="90">
        <v>0.08</v>
      </c>
      <c r="O43" s="77">
        <f t="shared" si="24"/>
        <v>573883.77300000004</v>
      </c>
      <c r="P43" s="84">
        <f t="shared" si="3"/>
        <v>573883.77300000004</v>
      </c>
      <c r="Q43" s="91">
        <f t="shared" si="25"/>
        <v>292500000</v>
      </c>
      <c r="R43" s="77">
        <f t="shared" si="26"/>
        <v>115384396.24200003</v>
      </c>
      <c r="S43" s="92">
        <f t="shared" si="6"/>
        <v>10676116.227</v>
      </c>
      <c r="T43" s="84">
        <f t="shared" si="27"/>
        <v>177115603.75799999</v>
      </c>
      <c r="U43" s="45"/>
      <c r="V43" s="169">
        <f t="shared" si="59"/>
        <v>9267750</v>
      </c>
      <c r="W43" s="165">
        <f t="shared" si="60"/>
        <v>706393.5361857001</v>
      </c>
      <c r="X43" s="165">
        <f t="shared" si="16"/>
        <v>8561356.4638142996</v>
      </c>
      <c r="Y43" s="178">
        <f t="shared" si="17"/>
        <v>37</v>
      </c>
      <c r="AA43" s="169">
        <f t="shared" si="18"/>
        <v>7017732.9035861231</v>
      </c>
      <c r="AB43" s="165">
        <f t="shared" si="19"/>
        <v>706412.19601980003</v>
      </c>
      <c r="AC43" s="170">
        <f t="shared" si="11"/>
        <v>6311320.7075663228</v>
      </c>
      <c r="AE43" s="83">
        <f t="shared" si="20"/>
        <v>8561319.4638142996</v>
      </c>
      <c r="AF43" s="84">
        <f t="shared" si="28"/>
        <v>98934143.665722206</v>
      </c>
    </row>
    <row r="44" spans="1:32" ht="13.5" customHeight="1" x14ac:dyDescent="0.3">
      <c r="A44" s="85">
        <v>38</v>
      </c>
      <c r="B44" s="86">
        <v>0</v>
      </c>
      <c r="C44" s="87">
        <v>3</v>
      </c>
      <c r="D44" s="87">
        <v>0</v>
      </c>
      <c r="E44" s="88">
        <f t="shared" si="13"/>
        <v>3</v>
      </c>
      <c r="F44" s="77">
        <f t="shared" ref="F44:H44" si="66">B44*$G$2</f>
        <v>0</v>
      </c>
      <c r="G44" s="77">
        <f t="shared" si="66"/>
        <v>11250000</v>
      </c>
      <c r="H44" s="77">
        <f t="shared" si="66"/>
        <v>0</v>
      </c>
      <c r="I44" s="77">
        <f t="shared" si="15"/>
        <v>11250000</v>
      </c>
      <c r="J44" s="89">
        <v>1</v>
      </c>
      <c r="K44" s="77">
        <f t="shared" si="22"/>
        <v>0</v>
      </c>
      <c r="L44" s="90">
        <v>1</v>
      </c>
      <c r="M44" s="77">
        <f t="shared" si="23"/>
        <v>0</v>
      </c>
      <c r="N44" s="90">
        <v>0.12</v>
      </c>
      <c r="O44" s="77">
        <f t="shared" si="24"/>
        <v>1147767.5459999996</v>
      </c>
      <c r="P44" s="84">
        <f t="shared" si="3"/>
        <v>1147767.5459999996</v>
      </c>
      <c r="Q44" s="91">
        <f t="shared" si="25"/>
        <v>303750000</v>
      </c>
      <c r="R44" s="77">
        <f t="shared" si="26"/>
        <v>116532163.78800003</v>
      </c>
      <c r="S44" s="92">
        <f t="shared" si="6"/>
        <v>10102232.454</v>
      </c>
      <c r="T44" s="84">
        <f t="shared" si="27"/>
        <v>187217836.21199998</v>
      </c>
      <c r="U44" s="45"/>
      <c r="V44" s="169">
        <f t="shared" si="59"/>
        <v>9267750</v>
      </c>
      <c r="W44" s="165">
        <f t="shared" si="60"/>
        <v>1412787.0723713997</v>
      </c>
      <c r="X44" s="165">
        <f t="shared" si="16"/>
        <v>7854962.9276286</v>
      </c>
      <c r="Y44" s="178">
        <f t="shared" si="17"/>
        <v>38</v>
      </c>
      <c r="AA44" s="169">
        <f t="shared" si="18"/>
        <v>7017732.9035861231</v>
      </c>
      <c r="AB44" s="165">
        <f t="shared" si="19"/>
        <v>1412824.3920395996</v>
      </c>
      <c r="AC44" s="170">
        <f t="shared" si="11"/>
        <v>5604908.5115465233</v>
      </c>
      <c r="AE44" s="83">
        <f t="shared" si="20"/>
        <v>7854924.9276286</v>
      </c>
      <c r="AF44" s="84">
        <f t="shared" si="28"/>
        <v>106789068.59335081</v>
      </c>
    </row>
    <row r="45" spans="1:32" ht="13.5" customHeight="1" x14ac:dyDescent="0.3">
      <c r="A45" s="85">
        <v>39</v>
      </c>
      <c r="B45" s="86">
        <v>0</v>
      </c>
      <c r="C45" s="87">
        <v>3</v>
      </c>
      <c r="D45" s="87">
        <v>0</v>
      </c>
      <c r="E45" s="88">
        <f t="shared" si="13"/>
        <v>3</v>
      </c>
      <c r="F45" s="77">
        <f t="shared" ref="F45:H45" si="67">B45*$G$2</f>
        <v>0</v>
      </c>
      <c r="G45" s="77">
        <f t="shared" si="67"/>
        <v>11250000</v>
      </c>
      <c r="H45" s="77">
        <f t="shared" si="67"/>
        <v>0</v>
      </c>
      <c r="I45" s="77">
        <f t="shared" si="15"/>
        <v>11250000</v>
      </c>
      <c r="J45" s="89">
        <v>1</v>
      </c>
      <c r="K45" s="77">
        <f t="shared" si="22"/>
        <v>0</v>
      </c>
      <c r="L45" s="90">
        <v>1</v>
      </c>
      <c r="M45" s="77">
        <f t="shared" si="23"/>
        <v>0</v>
      </c>
      <c r="N45" s="90">
        <v>0.16</v>
      </c>
      <c r="O45" s="77">
        <f t="shared" si="24"/>
        <v>1147767.5460000001</v>
      </c>
      <c r="P45" s="84">
        <f t="shared" si="3"/>
        <v>1147767.5460000001</v>
      </c>
      <c r="Q45" s="91">
        <f t="shared" si="25"/>
        <v>315000000</v>
      </c>
      <c r="R45" s="77">
        <f t="shared" si="26"/>
        <v>117679931.33400004</v>
      </c>
      <c r="S45" s="92">
        <f t="shared" si="6"/>
        <v>10102232.454</v>
      </c>
      <c r="T45" s="84">
        <f t="shared" si="27"/>
        <v>197320068.66599998</v>
      </c>
      <c r="U45" s="45"/>
      <c r="V45" s="169">
        <f t="shared" si="59"/>
        <v>9267750</v>
      </c>
      <c r="W45" s="165">
        <f t="shared" si="60"/>
        <v>1412787.0723714002</v>
      </c>
      <c r="X45" s="165">
        <f t="shared" si="16"/>
        <v>7854962.9276286</v>
      </c>
      <c r="Y45" s="178">
        <f t="shared" si="17"/>
        <v>39</v>
      </c>
      <c r="AA45" s="169">
        <f t="shared" si="18"/>
        <v>7017732.9035861231</v>
      </c>
      <c r="AB45" s="165">
        <f t="shared" si="19"/>
        <v>1412824.3920396001</v>
      </c>
      <c r="AC45" s="170">
        <f t="shared" si="11"/>
        <v>5604908.5115465233</v>
      </c>
      <c r="AE45" s="83">
        <f t="shared" si="20"/>
        <v>7854923.9276286</v>
      </c>
      <c r="AF45" s="84">
        <f t="shared" si="28"/>
        <v>114643992.52097942</v>
      </c>
    </row>
    <row r="46" spans="1:32" ht="13.5" customHeight="1" x14ac:dyDescent="0.3">
      <c r="A46" s="85">
        <v>40</v>
      </c>
      <c r="B46" s="86">
        <v>0</v>
      </c>
      <c r="C46" s="87">
        <v>3</v>
      </c>
      <c r="D46" s="87">
        <v>0</v>
      </c>
      <c r="E46" s="88">
        <f t="shared" si="13"/>
        <v>3</v>
      </c>
      <c r="F46" s="77">
        <f t="shared" ref="F46:H46" si="68">B46*$G$2</f>
        <v>0</v>
      </c>
      <c r="G46" s="77">
        <f t="shared" si="68"/>
        <v>11250000</v>
      </c>
      <c r="H46" s="77">
        <f t="shared" si="68"/>
        <v>0</v>
      </c>
      <c r="I46" s="77">
        <f t="shared" si="15"/>
        <v>11250000</v>
      </c>
      <c r="J46" s="89">
        <v>1</v>
      </c>
      <c r="K46" s="77">
        <f t="shared" si="22"/>
        <v>0</v>
      </c>
      <c r="L46" s="90">
        <v>1</v>
      </c>
      <c r="M46" s="77">
        <f t="shared" si="23"/>
        <v>0</v>
      </c>
      <c r="N46" s="90">
        <v>0.2</v>
      </c>
      <c r="O46" s="77">
        <f t="shared" si="24"/>
        <v>1147767.5460000001</v>
      </c>
      <c r="P46" s="84">
        <f t="shared" si="3"/>
        <v>1147767.5460000001</v>
      </c>
      <c r="Q46" s="91">
        <f t="shared" si="25"/>
        <v>326250000</v>
      </c>
      <c r="R46" s="77">
        <f t="shared" si="26"/>
        <v>118827698.88000004</v>
      </c>
      <c r="S46" s="92">
        <f t="shared" si="6"/>
        <v>10102232.454</v>
      </c>
      <c r="T46" s="84">
        <f t="shared" si="27"/>
        <v>207422301.11999997</v>
      </c>
      <c r="U46" s="45"/>
      <c r="V46" s="169">
        <f t="shared" si="59"/>
        <v>9267750</v>
      </c>
      <c r="W46" s="165">
        <f t="shared" si="60"/>
        <v>1412787.0723714002</v>
      </c>
      <c r="X46" s="165">
        <f t="shared" si="16"/>
        <v>7854962.9276286</v>
      </c>
      <c r="Y46" s="178">
        <f t="shared" si="17"/>
        <v>40</v>
      </c>
      <c r="AA46" s="169">
        <f t="shared" si="18"/>
        <v>7017732.9035861231</v>
      </c>
      <c r="AB46" s="165">
        <f t="shared" si="19"/>
        <v>1412824.3920396001</v>
      </c>
      <c r="AC46" s="170">
        <f t="shared" si="11"/>
        <v>5604908.5115465233</v>
      </c>
      <c r="AE46" s="83">
        <f t="shared" si="20"/>
        <v>7854922.9276286</v>
      </c>
      <c r="AF46" s="84">
        <f t="shared" si="28"/>
        <v>122498915.44860803</v>
      </c>
    </row>
    <row r="47" spans="1:32" ht="13.5" customHeight="1" x14ac:dyDescent="0.3">
      <c r="A47" s="85">
        <v>41</v>
      </c>
      <c r="B47" s="86">
        <v>0</v>
      </c>
      <c r="C47" s="87">
        <v>3</v>
      </c>
      <c r="D47" s="87">
        <v>0</v>
      </c>
      <c r="E47" s="88">
        <f t="shared" si="13"/>
        <v>3</v>
      </c>
      <c r="F47" s="77">
        <f t="shared" ref="F47:H47" si="69">B47*$G$2</f>
        <v>0</v>
      </c>
      <c r="G47" s="77">
        <f t="shared" si="69"/>
        <v>11250000</v>
      </c>
      <c r="H47" s="77">
        <f t="shared" si="69"/>
        <v>0</v>
      </c>
      <c r="I47" s="77">
        <f t="shared" si="15"/>
        <v>11250000</v>
      </c>
      <c r="J47" s="89">
        <v>1</v>
      </c>
      <c r="K47" s="77">
        <f t="shared" si="22"/>
        <v>0</v>
      </c>
      <c r="L47" s="90">
        <v>1</v>
      </c>
      <c r="M47" s="77">
        <f t="shared" si="23"/>
        <v>0</v>
      </c>
      <c r="N47" s="90">
        <v>0.24</v>
      </c>
      <c r="O47" s="77">
        <f t="shared" si="24"/>
        <v>1147767.5459999992</v>
      </c>
      <c r="P47" s="84">
        <f t="shared" si="3"/>
        <v>1147767.5459999992</v>
      </c>
      <c r="Q47" s="91">
        <f t="shared" si="25"/>
        <v>337500000</v>
      </c>
      <c r="R47" s="77">
        <f t="shared" si="26"/>
        <v>119975466.42600004</v>
      </c>
      <c r="S47" s="92">
        <f t="shared" si="6"/>
        <v>10102232.454</v>
      </c>
      <c r="T47" s="84">
        <f t="shared" si="27"/>
        <v>217524533.57399997</v>
      </c>
      <c r="U47" s="45"/>
      <c r="V47" s="169">
        <f t="shared" si="59"/>
        <v>9267750</v>
      </c>
      <c r="W47" s="165">
        <f t="shared" si="60"/>
        <v>1412787.072371399</v>
      </c>
      <c r="X47" s="165">
        <f t="shared" si="16"/>
        <v>7854962.927628601</v>
      </c>
      <c r="Y47" s="178">
        <f t="shared" si="17"/>
        <v>41</v>
      </c>
      <c r="AA47" s="169">
        <f t="shared" si="18"/>
        <v>7017732.9035861231</v>
      </c>
      <c r="AB47" s="165">
        <f t="shared" si="19"/>
        <v>1412824.3920395991</v>
      </c>
      <c r="AC47" s="170">
        <f t="shared" si="11"/>
        <v>5604908.5115465242</v>
      </c>
      <c r="AE47" s="83">
        <f t="shared" si="20"/>
        <v>7854921.927628601</v>
      </c>
      <c r="AF47" s="84">
        <f t="shared" si="28"/>
        <v>130353837.37623663</v>
      </c>
    </row>
    <row r="48" spans="1:32" ht="13.5" customHeight="1" x14ac:dyDescent="0.3">
      <c r="A48" s="85">
        <v>42</v>
      </c>
      <c r="B48" s="86">
        <v>0</v>
      </c>
      <c r="C48" s="87">
        <v>3</v>
      </c>
      <c r="D48" s="87">
        <v>0</v>
      </c>
      <c r="E48" s="88">
        <f t="shared" si="13"/>
        <v>3</v>
      </c>
      <c r="F48" s="77">
        <f t="shared" ref="F48:H48" si="70">B48*$G$2</f>
        <v>0</v>
      </c>
      <c r="G48" s="77">
        <f t="shared" si="70"/>
        <v>11250000</v>
      </c>
      <c r="H48" s="77">
        <f t="shared" si="70"/>
        <v>0</v>
      </c>
      <c r="I48" s="77">
        <f t="shared" si="15"/>
        <v>11250000</v>
      </c>
      <c r="J48" s="89">
        <v>1</v>
      </c>
      <c r="K48" s="77">
        <f t="shared" si="22"/>
        <v>0</v>
      </c>
      <c r="L48" s="90">
        <v>1</v>
      </c>
      <c r="M48" s="77">
        <f t="shared" si="23"/>
        <v>0</v>
      </c>
      <c r="N48" s="90">
        <v>0.3</v>
      </c>
      <c r="O48" s="77">
        <f t="shared" si="24"/>
        <v>1721651.3189999997</v>
      </c>
      <c r="P48" s="84">
        <f t="shared" si="3"/>
        <v>1721651.3189999997</v>
      </c>
      <c r="Q48" s="91">
        <f t="shared" si="25"/>
        <v>348750000</v>
      </c>
      <c r="R48" s="77">
        <f t="shared" si="26"/>
        <v>121697117.74500005</v>
      </c>
      <c r="S48" s="92">
        <f t="shared" si="6"/>
        <v>9528348.6809999999</v>
      </c>
      <c r="T48" s="84">
        <f t="shared" si="27"/>
        <v>227052882.25499997</v>
      </c>
      <c r="U48" s="45"/>
      <c r="V48" s="169">
        <f t="shared" si="59"/>
        <v>9267750</v>
      </c>
      <c r="W48" s="165">
        <f t="shared" si="60"/>
        <v>2119180.6085570999</v>
      </c>
      <c r="X48" s="165">
        <f t="shared" si="16"/>
        <v>7148569.3914429005</v>
      </c>
      <c r="Y48" s="178">
        <f t="shared" si="17"/>
        <v>42</v>
      </c>
      <c r="AA48" s="169">
        <f t="shared" si="18"/>
        <v>7017732.9035861231</v>
      </c>
      <c r="AB48" s="165">
        <f t="shared" si="19"/>
        <v>2119236.5880593997</v>
      </c>
      <c r="AC48" s="170">
        <f t="shared" si="11"/>
        <v>4898496.3155267239</v>
      </c>
      <c r="AE48" s="83">
        <f t="shared" si="20"/>
        <v>7148527.3914429005</v>
      </c>
      <c r="AF48" s="84">
        <f t="shared" si="28"/>
        <v>137502364.76767954</v>
      </c>
    </row>
    <row r="49" spans="1:32" ht="13.5" customHeight="1" x14ac:dyDescent="0.3">
      <c r="A49" s="85">
        <v>43</v>
      </c>
      <c r="B49" s="86">
        <v>0</v>
      </c>
      <c r="C49" s="87">
        <v>3</v>
      </c>
      <c r="D49" s="87">
        <v>0</v>
      </c>
      <c r="E49" s="88">
        <f t="shared" si="13"/>
        <v>3</v>
      </c>
      <c r="F49" s="77">
        <f t="shared" ref="F49:H49" si="71">B49*$G$2</f>
        <v>0</v>
      </c>
      <c r="G49" s="77">
        <f t="shared" si="71"/>
        <v>11250000</v>
      </c>
      <c r="H49" s="77">
        <f t="shared" si="71"/>
        <v>0</v>
      </c>
      <c r="I49" s="77">
        <f t="shared" si="15"/>
        <v>11250000</v>
      </c>
      <c r="J49" s="89">
        <v>1</v>
      </c>
      <c r="K49" s="77">
        <f t="shared" si="22"/>
        <v>0</v>
      </c>
      <c r="L49" s="90">
        <v>1</v>
      </c>
      <c r="M49" s="77">
        <f t="shared" si="23"/>
        <v>0</v>
      </c>
      <c r="N49" s="90">
        <v>0.36</v>
      </c>
      <c r="O49" s="77">
        <f t="shared" si="24"/>
        <v>1721651.3189999997</v>
      </c>
      <c r="P49" s="84">
        <f t="shared" si="3"/>
        <v>1721651.3189999997</v>
      </c>
      <c r="Q49" s="91">
        <f t="shared" si="25"/>
        <v>360000000</v>
      </c>
      <c r="R49" s="77">
        <f t="shared" si="26"/>
        <v>123418769.06400006</v>
      </c>
      <c r="S49" s="92">
        <f t="shared" si="6"/>
        <v>9528348.6809999999</v>
      </c>
      <c r="T49" s="84">
        <f t="shared" si="27"/>
        <v>236581230.93599996</v>
      </c>
      <c r="U49" s="45"/>
      <c r="V49" s="169">
        <f t="shared" si="59"/>
        <v>9267750</v>
      </c>
      <c r="W49" s="165">
        <f t="shared" si="60"/>
        <v>2119180.6085570999</v>
      </c>
      <c r="X49" s="165">
        <f t="shared" si="16"/>
        <v>7148569.3914429005</v>
      </c>
      <c r="Y49" s="178">
        <f t="shared" si="17"/>
        <v>43</v>
      </c>
      <c r="AA49" s="169">
        <f t="shared" si="18"/>
        <v>7017732.9035861231</v>
      </c>
      <c r="AB49" s="165">
        <f t="shared" si="19"/>
        <v>2119236.5880593997</v>
      </c>
      <c r="AC49" s="170">
        <f t="shared" si="11"/>
        <v>4898496.3155267239</v>
      </c>
      <c r="AE49" s="83">
        <f t="shared" si="20"/>
        <v>7148526.3914429005</v>
      </c>
      <c r="AF49" s="84">
        <f t="shared" si="28"/>
        <v>144650891.15912244</v>
      </c>
    </row>
    <row r="50" spans="1:32" ht="13.5" customHeight="1" x14ac:dyDescent="0.3">
      <c r="A50" s="85">
        <v>44</v>
      </c>
      <c r="B50" s="86">
        <v>0</v>
      </c>
      <c r="C50" s="87">
        <v>3</v>
      </c>
      <c r="D50" s="87">
        <v>0</v>
      </c>
      <c r="E50" s="88">
        <f t="shared" si="13"/>
        <v>3</v>
      </c>
      <c r="F50" s="77">
        <f t="shared" ref="F50:H50" si="72">B50*$G$2</f>
        <v>0</v>
      </c>
      <c r="G50" s="77">
        <f t="shared" si="72"/>
        <v>11250000</v>
      </c>
      <c r="H50" s="77">
        <f t="shared" si="72"/>
        <v>0</v>
      </c>
      <c r="I50" s="77">
        <f t="shared" si="15"/>
        <v>11250000</v>
      </c>
      <c r="J50" s="89">
        <v>1</v>
      </c>
      <c r="K50" s="77">
        <f t="shared" si="22"/>
        <v>0</v>
      </c>
      <c r="L50" s="90">
        <v>1</v>
      </c>
      <c r="M50" s="77">
        <f t="shared" si="23"/>
        <v>0</v>
      </c>
      <c r="N50" s="90">
        <v>0.42</v>
      </c>
      <c r="O50" s="77">
        <f t="shared" si="24"/>
        <v>1721651.3189999997</v>
      </c>
      <c r="P50" s="84">
        <f t="shared" si="3"/>
        <v>1721651.3189999997</v>
      </c>
      <c r="Q50" s="91">
        <f t="shared" si="25"/>
        <v>371250000</v>
      </c>
      <c r="R50" s="77">
        <f t="shared" si="26"/>
        <v>125140420.38300006</v>
      </c>
      <c r="S50" s="92">
        <f t="shared" si="6"/>
        <v>9528348.6809999999</v>
      </c>
      <c r="T50" s="84">
        <f t="shared" si="27"/>
        <v>246109579.61699995</v>
      </c>
      <c r="U50" s="45"/>
      <c r="V50" s="169">
        <f t="shared" si="59"/>
        <v>9267750</v>
      </c>
      <c r="W50" s="165">
        <f t="shared" si="60"/>
        <v>2119180.6085570999</v>
      </c>
      <c r="X50" s="165">
        <f t="shared" si="16"/>
        <v>7148569.3914429005</v>
      </c>
      <c r="Y50" s="178">
        <f t="shared" si="17"/>
        <v>44</v>
      </c>
      <c r="AA50" s="169">
        <f t="shared" si="18"/>
        <v>7017732.9035861231</v>
      </c>
      <c r="AB50" s="165">
        <f t="shared" si="19"/>
        <v>2119236.5880593997</v>
      </c>
      <c r="AC50" s="170">
        <f t="shared" si="11"/>
        <v>4898496.3155267239</v>
      </c>
      <c r="AE50" s="83">
        <f t="shared" si="20"/>
        <v>7148525.3914429005</v>
      </c>
      <c r="AF50" s="84">
        <f t="shared" si="28"/>
        <v>151799416.55056533</v>
      </c>
    </row>
    <row r="51" spans="1:32" ht="13.5" customHeight="1" x14ac:dyDescent="0.3">
      <c r="A51" s="85">
        <v>45</v>
      </c>
      <c r="B51" s="86">
        <v>0</v>
      </c>
      <c r="C51" s="87">
        <v>1</v>
      </c>
      <c r="D51" s="87">
        <v>2</v>
      </c>
      <c r="E51" s="88">
        <f t="shared" si="13"/>
        <v>3</v>
      </c>
      <c r="F51" s="77">
        <f t="shared" ref="F51:H51" si="73">B51*$G$2</f>
        <v>0</v>
      </c>
      <c r="G51" s="77">
        <f t="shared" si="73"/>
        <v>3750000</v>
      </c>
      <c r="H51" s="77">
        <f t="shared" si="73"/>
        <v>7500000</v>
      </c>
      <c r="I51" s="77">
        <f t="shared" si="15"/>
        <v>11250000</v>
      </c>
      <c r="J51" s="89">
        <v>1</v>
      </c>
      <c r="K51" s="77">
        <f t="shared" si="22"/>
        <v>0</v>
      </c>
      <c r="L51" s="90">
        <v>1</v>
      </c>
      <c r="M51" s="77">
        <f t="shared" si="23"/>
        <v>0</v>
      </c>
      <c r="N51" s="90">
        <v>0.5</v>
      </c>
      <c r="O51" s="77">
        <f t="shared" si="24"/>
        <v>2295535.0920000002</v>
      </c>
      <c r="P51" s="84">
        <f t="shared" si="3"/>
        <v>2295535.0920000002</v>
      </c>
      <c r="Q51" s="91">
        <f t="shared" si="25"/>
        <v>382500000</v>
      </c>
      <c r="R51" s="77">
        <f t="shared" si="26"/>
        <v>127435955.47500005</v>
      </c>
      <c r="S51" s="92">
        <f t="shared" si="6"/>
        <v>8954464.9079999998</v>
      </c>
      <c r="T51" s="84">
        <f t="shared" si="27"/>
        <v>255064044.52499995</v>
      </c>
      <c r="U51" s="45"/>
      <c r="V51" s="169">
        <f t="shared" si="59"/>
        <v>9267750</v>
      </c>
      <c r="W51" s="165">
        <f t="shared" si="60"/>
        <v>2825574.1447428004</v>
      </c>
      <c r="X51" s="165">
        <f t="shared" si="16"/>
        <v>6442175.8552572001</v>
      </c>
      <c r="Y51" s="178">
        <f t="shared" si="17"/>
        <v>45</v>
      </c>
      <c r="AA51" s="169">
        <f t="shared" si="18"/>
        <v>7017732.9035861231</v>
      </c>
      <c r="AB51" s="165">
        <f t="shared" si="19"/>
        <v>2825648.7840792001</v>
      </c>
      <c r="AC51" s="170">
        <f t="shared" si="11"/>
        <v>4192084.119506923</v>
      </c>
      <c r="AE51" s="83">
        <f t="shared" si="20"/>
        <v>6442130.8552572001</v>
      </c>
      <c r="AF51" s="84">
        <f t="shared" si="28"/>
        <v>158241547.40582255</v>
      </c>
    </row>
    <row r="52" spans="1:32" ht="13.5" customHeight="1" x14ac:dyDescent="0.3">
      <c r="A52" s="85">
        <v>46</v>
      </c>
      <c r="B52" s="86">
        <v>0</v>
      </c>
      <c r="C52" s="87">
        <v>0</v>
      </c>
      <c r="D52" s="87">
        <v>3</v>
      </c>
      <c r="E52" s="88">
        <f t="shared" si="13"/>
        <v>3</v>
      </c>
      <c r="F52" s="77">
        <f t="shared" ref="F52:H52" si="74">B52*$G$2</f>
        <v>0</v>
      </c>
      <c r="G52" s="77">
        <f t="shared" si="74"/>
        <v>0</v>
      </c>
      <c r="H52" s="77">
        <f t="shared" si="74"/>
        <v>11250000</v>
      </c>
      <c r="I52" s="77">
        <f t="shared" si="15"/>
        <v>11250000</v>
      </c>
      <c r="J52" s="89">
        <v>1</v>
      </c>
      <c r="K52" s="77">
        <f t="shared" si="22"/>
        <v>0</v>
      </c>
      <c r="L52" s="90">
        <v>1</v>
      </c>
      <c r="M52" s="77">
        <f t="shared" si="23"/>
        <v>0</v>
      </c>
      <c r="N52" s="90">
        <v>0.57999999999999996</v>
      </c>
      <c r="O52" s="77">
        <f t="shared" si="24"/>
        <v>2295535.0919999983</v>
      </c>
      <c r="P52" s="84">
        <f t="shared" si="3"/>
        <v>2295535.0919999983</v>
      </c>
      <c r="Q52" s="91">
        <f t="shared" si="25"/>
        <v>393750000</v>
      </c>
      <c r="R52" s="77">
        <f t="shared" si="26"/>
        <v>129731490.56700005</v>
      </c>
      <c r="S52" s="92">
        <f t="shared" si="6"/>
        <v>8954464.9080000017</v>
      </c>
      <c r="T52" s="84">
        <f t="shared" si="27"/>
        <v>264018509.43299994</v>
      </c>
      <c r="U52" s="45"/>
      <c r="V52" s="169">
        <f t="shared" si="59"/>
        <v>9267750</v>
      </c>
      <c r="W52" s="165">
        <f t="shared" si="60"/>
        <v>2825574.1447427981</v>
      </c>
      <c r="X52" s="165">
        <f t="shared" si="16"/>
        <v>6442175.8552572019</v>
      </c>
      <c r="Y52" s="178">
        <f t="shared" si="17"/>
        <v>46</v>
      </c>
      <c r="AA52" s="169">
        <f t="shared" si="18"/>
        <v>7017732.9035861231</v>
      </c>
      <c r="AB52" s="165">
        <f t="shared" si="19"/>
        <v>2825648.7840791983</v>
      </c>
      <c r="AC52" s="170">
        <f t="shared" si="11"/>
        <v>4192084.1195069249</v>
      </c>
      <c r="AE52" s="83">
        <f t="shared" si="20"/>
        <v>6442129.8552572019</v>
      </c>
      <c r="AF52" s="84">
        <f t="shared" si="28"/>
        <v>164683677.26107976</v>
      </c>
    </row>
    <row r="53" spans="1:32" ht="13.5" customHeight="1" x14ac:dyDescent="0.3">
      <c r="A53" s="85">
        <v>47</v>
      </c>
      <c r="B53" s="86">
        <v>0</v>
      </c>
      <c r="C53" s="87">
        <v>0</v>
      </c>
      <c r="D53" s="87">
        <v>3</v>
      </c>
      <c r="E53" s="88">
        <f t="shared" si="13"/>
        <v>3</v>
      </c>
      <c r="F53" s="77">
        <f t="shared" ref="F53:H53" si="75">B53*$G$2</f>
        <v>0</v>
      </c>
      <c r="G53" s="77">
        <f t="shared" si="75"/>
        <v>0</v>
      </c>
      <c r="H53" s="77">
        <f t="shared" si="75"/>
        <v>11250000</v>
      </c>
      <c r="I53" s="77">
        <f t="shared" si="15"/>
        <v>11250000</v>
      </c>
      <c r="J53" s="89">
        <v>1</v>
      </c>
      <c r="K53" s="77">
        <f t="shared" si="22"/>
        <v>0</v>
      </c>
      <c r="L53" s="90">
        <v>1</v>
      </c>
      <c r="M53" s="77">
        <f t="shared" si="23"/>
        <v>0</v>
      </c>
      <c r="N53" s="90">
        <v>0.66</v>
      </c>
      <c r="O53" s="77">
        <f t="shared" si="24"/>
        <v>2295535.0920000016</v>
      </c>
      <c r="P53" s="84">
        <f t="shared" si="3"/>
        <v>2295535.0920000016</v>
      </c>
      <c r="Q53" s="91">
        <f t="shared" si="25"/>
        <v>405000000</v>
      </c>
      <c r="R53" s="77">
        <f t="shared" si="26"/>
        <v>132027025.65900005</v>
      </c>
      <c r="S53" s="92">
        <f t="shared" si="6"/>
        <v>8954464.907999998</v>
      </c>
      <c r="T53" s="84">
        <f t="shared" si="27"/>
        <v>272972974.34099996</v>
      </c>
      <c r="U53" s="45"/>
      <c r="V53" s="169">
        <f t="shared" si="59"/>
        <v>9267750</v>
      </c>
      <c r="W53" s="165">
        <f t="shared" si="60"/>
        <v>2825574.1447428023</v>
      </c>
      <c r="X53" s="165">
        <f t="shared" si="16"/>
        <v>6442175.8552571982</v>
      </c>
      <c r="Y53" s="178">
        <f t="shared" si="17"/>
        <v>47</v>
      </c>
      <c r="AA53" s="169">
        <f t="shared" si="18"/>
        <v>7017732.9035861231</v>
      </c>
      <c r="AB53" s="165">
        <f t="shared" si="19"/>
        <v>2825648.784079202</v>
      </c>
      <c r="AC53" s="170">
        <f t="shared" si="11"/>
        <v>4192084.1195069212</v>
      </c>
      <c r="AE53" s="83">
        <f t="shared" si="20"/>
        <v>6442128.8552571982</v>
      </c>
      <c r="AF53" s="84">
        <f t="shared" si="28"/>
        <v>171125806.11633694</v>
      </c>
    </row>
    <row r="54" spans="1:32" ht="13.5" customHeight="1" x14ac:dyDescent="0.3">
      <c r="A54" s="85">
        <v>48</v>
      </c>
      <c r="B54" s="86">
        <v>0</v>
      </c>
      <c r="C54" s="87">
        <v>0</v>
      </c>
      <c r="D54" s="87">
        <v>3</v>
      </c>
      <c r="E54" s="88">
        <f t="shared" si="13"/>
        <v>3</v>
      </c>
      <c r="F54" s="77">
        <f t="shared" ref="F54:H54" si="76">B54*$G$2</f>
        <v>0</v>
      </c>
      <c r="G54" s="77">
        <f t="shared" si="76"/>
        <v>0</v>
      </c>
      <c r="H54" s="77">
        <f t="shared" si="76"/>
        <v>11250000</v>
      </c>
      <c r="I54" s="77">
        <f t="shared" si="15"/>
        <v>11250000</v>
      </c>
      <c r="J54" s="89">
        <v>1</v>
      </c>
      <c r="K54" s="77">
        <f t="shared" si="22"/>
        <v>0</v>
      </c>
      <c r="L54" s="90">
        <v>1</v>
      </c>
      <c r="M54" s="77">
        <f t="shared" si="23"/>
        <v>0</v>
      </c>
      <c r="N54" s="90">
        <v>0.72</v>
      </c>
      <c r="O54" s="77">
        <f t="shared" si="24"/>
        <v>1721651.318999998</v>
      </c>
      <c r="P54" s="84">
        <f t="shared" si="3"/>
        <v>1721651.318999998</v>
      </c>
      <c r="Q54" s="91">
        <f t="shared" si="25"/>
        <v>416250000</v>
      </c>
      <c r="R54" s="77">
        <f t="shared" si="26"/>
        <v>133748676.97800004</v>
      </c>
      <c r="S54" s="92">
        <f t="shared" si="6"/>
        <v>9528348.6810000017</v>
      </c>
      <c r="T54" s="84">
        <f t="shared" si="27"/>
        <v>282501323.02199996</v>
      </c>
      <c r="U54" s="45"/>
      <c r="V54" s="169">
        <f t="shared" si="59"/>
        <v>9267750</v>
      </c>
      <c r="W54" s="165">
        <f t="shared" si="60"/>
        <v>2119180.6085570976</v>
      </c>
      <c r="X54" s="165">
        <f t="shared" si="16"/>
        <v>7148569.3914429024</v>
      </c>
      <c r="Y54" s="178">
        <f t="shared" si="17"/>
        <v>48</v>
      </c>
      <c r="AA54" s="169">
        <f t="shared" si="18"/>
        <v>7017732.9035861231</v>
      </c>
      <c r="AB54" s="165">
        <f t="shared" si="19"/>
        <v>2119236.5880593979</v>
      </c>
      <c r="AC54" s="170">
        <f t="shared" si="11"/>
        <v>4898496.3155267257</v>
      </c>
      <c r="AE54" s="83">
        <f t="shared" si="20"/>
        <v>7148521.3914429024</v>
      </c>
      <c r="AF54" s="84">
        <f t="shared" si="28"/>
        <v>178274327.50777984</v>
      </c>
    </row>
    <row r="55" spans="1:32" ht="13.5" customHeight="1" x14ac:dyDescent="0.3">
      <c r="A55" s="85">
        <v>49</v>
      </c>
      <c r="B55" s="86">
        <v>0</v>
      </c>
      <c r="C55" s="87">
        <v>0</v>
      </c>
      <c r="D55" s="87">
        <v>3</v>
      </c>
      <c r="E55" s="88">
        <f t="shared" si="13"/>
        <v>3</v>
      </c>
      <c r="F55" s="77">
        <f t="shared" ref="F55:H55" si="77">B55*$G$2</f>
        <v>0</v>
      </c>
      <c r="G55" s="77">
        <f t="shared" si="77"/>
        <v>0</v>
      </c>
      <c r="H55" s="77">
        <f t="shared" si="77"/>
        <v>11250000</v>
      </c>
      <c r="I55" s="77">
        <f t="shared" si="15"/>
        <v>11250000</v>
      </c>
      <c r="J55" s="89">
        <v>1</v>
      </c>
      <c r="K55" s="77">
        <f t="shared" si="22"/>
        <v>0</v>
      </c>
      <c r="L55" s="90">
        <v>1</v>
      </c>
      <c r="M55" s="77">
        <f t="shared" si="23"/>
        <v>0</v>
      </c>
      <c r="N55" s="90">
        <v>0.8</v>
      </c>
      <c r="O55" s="77">
        <f t="shared" si="24"/>
        <v>2295535.0920000016</v>
      </c>
      <c r="P55" s="84">
        <f t="shared" si="3"/>
        <v>2295535.0920000016</v>
      </c>
      <c r="Q55" s="91">
        <f t="shared" si="25"/>
        <v>427500000</v>
      </c>
      <c r="R55" s="77">
        <f t="shared" si="26"/>
        <v>136044212.07000005</v>
      </c>
      <c r="S55" s="92">
        <f t="shared" si="6"/>
        <v>8954464.907999998</v>
      </c>
      <c r="T55" s="84">
        <f t="shared" si="27"/>
        <v>291455787.92999995</v>
      </c>
      <c r="U55" s="45"/>
      <c r="V55" s="169">
        <f t="shared" si="59"/>
        <v>9267750</v>
      </c>
      <c r="W55" s="165">
        <f t="shared" si="60"/>
        <v>2825574.1447428023</v>
      </c>
      <c r="X55" s="165">
        <f t="shared" si="16"/>
        <v>6442175.8552571982</v>
      </c>
      <c r="Y55" s="178">
        <f t="shared" si="17"/>
        <v>49</v>
      </c>
      <c r="AA55" s="169">
        <f t="shared" si="18"/>
        <v>7017732.9035861231</v>
      </c>
      <c r="AB55" s="165">
        <f t="shared" si="19"/>
        <v>2825648.784079202</v>
      </c>
      <c r="AC55" s="170">
        <f t="shared" si="11"/>
        <v>4192084.1195069212</v>
      </c>
      <c r="AE55" s="83">
        <f t="shared" si="20"/>
        <v>6442126.8552571982</v>
      </c>
      <c r="AF55" s="84">
        <f t="shared" si="28"/>
        <v>184716454.36303705</v>
      </c>
    </row>
    <row r="56" spans="1:32" ht="13.5" customHeight="1" x14ac:dyDescent="0.3">
      <c r="A56" s="85">
        <v>50</v>
      </c>
      <c r="B56" s="86">
        <v>0</v>
      </c>
      <c r="C56" s="87">
        <v>0</v>
      </c>
      <c r="D56" s="87">
        <v>3</v>
      </c>
      <c r="E56" s="88">
        <f t="shared" si="13"/>
        <v>3</v>
      </c>
      <c r="F56" s="77">
        <f t="shared" ref="F56:H56" si="78">B56*$G$2</f>
        <v>0</v>
      </c>
      <c r="G56" s="77">
        <f t="shared" si="78"/>
        <v>0</v>
      </c>
      <c r="H56" s="77">
        <f t="shared" si="78"/>
        <v>11250000</v>
      </c>
      <c r="I56" s="77">
        <f t="shared" si="15"/>
        <v>11250000</v>
      </c>
      <c r="J56" s="89">
        <v>1</v>
      </c>
      <c r="K56" s="77">
        <f t="shared" si="22"/>
        <v>0</v>
      </c>
      <c r="L56" s="90">
        <v>1</v>
      </c>
      <c r="M56" s="77">
        <f t="shared" si="23"/>
        <v>0</v>
      </c>
      <c r="N56" s="90">
        <v>0.85</v>
      </c>
      <c r="O56" s="77">
        <f t="shared" si="24"/>
        <v>1434709.4324999978</v>
      </c>
      <c r="P56" s="84">
        <f t="shared" si="3"/>
        <v>1434709.4324999978</v>
      </c>
      <c r="Q56" s="91">
        <f t="shared" si="25"/>
        <v>438750000</v>
      </c>
      <c r="R56" s="77">
        <f t="shared" si="26"/>
        <v>137478921.50250006</v>
      </c>
      <c r="S56" s="92">
        <f t="shared" si="6"/>
        <v>9815290.5675000027</v>
      </c>
      <c r="T56" s="84">
        <f t="shared" si="27"/>
        <v>301271078.49749994</v>
      </c>
      <c r="U56" s="45"/>
      <c r="V56" s="169">
        <f t="shared" si="59"/>
        <v>9267750</v>
      </c>
      <c r="W56" s="165">
        <f t="shared" si="60"/>
        <v>1765983.8404642474</v>
      </c>
      <c r="X56" s="165">
        <f t="shared" si="16"/>
        <v>7501766.1595357526</v>
      </c>
      <c r="Y56" s="178">
        <f t="shared" si="17"/>
        <v>50</v>
      </c>
      <c r="AA56" s="169">
        <f t="shared" si="18"/>
        <v>7017732.9035861231</v>
      </c>
      <c r="AB56" s="165">
        <f t="shared" si="19"/>
        <v>1766030.4900494972</v>
      </c>
      <c r="AC56" s="170">
        <f t="shared" si="11"/>
        <v>5251702.4135366259</v>
      </c>
      <c r="AE56" s="83">
        <f t="shared" si="20"/>
        <v>7501716.1595357526</v>
      </c>
      <c r="AF56" s="84">
        <f t="shared" si="28"/>
        <v>192218170.52257282</v>
      </c>
    </row>
    <row r="57" spans="1:32" ht="13.5" customHeight="1" x14ac:dyDescent="0.3">
      <c r="A57" s="85">
        <v>51</v>
      </c>
      <c r="B57" s="86">
        <v>0</v>
      </c>
      <c r="C57" s="87">
        <v>0</v>
      </c>
      <c r="D57" s="87">
        <v>3</v>
      </c>
      <c r="E57" s="88">
        <f t="shared" si="13"/>
        <v>3</v>
      </c>
      <c r="F57" s="77">
        <f t="shared" ref="F57:H57" si="79">B57*$G$2</f>
        <v>0</v>
      </c>
      <c r="G57" s="77">
        <f t="shared" si="79"/>
        <v>0</v>
      </c>
      <c r="H57" s="77">
        <f t="shared" si="79"/>
        <v>11250000</v>
      </c>
      <c r="I57" s="77">
        <f t="shared" si="15"/>
        <v>11250000</v>
      </c>
      <c r="J57" s="89">
        <v>1</v>
      </c>
      <c r="K57" s="77">
        <f t="shared" si="22"/>
        <v>0</v>
      </c>
      <c r="L57" s="90">
        <v>1</v>
      </c>
      <c r="M57" s="77">
        <f t="shared" si="23"/>
        <v>0</v>
      </c>
      <c r="N57" s="90">
        <v>0.88</v>
      </c>
      <c r="O57" s="77">
        <f t="shared" si="24"/>
        <v>860825.65950000065</v>
      </c>
      <c r="P57" s="84">
        <f t="shared" si="3"/>
        <v>860825.65950000065</v>
      </c>
      <c r="Q57" s="91">
        <f t="shared" si="25"/>
        <v>450000000</v>
      </c>
      <c r="R57" s="77">
        <f t="shared" si="26"/>
        <v>138339747.16200006</v>
      </c>
      <c r="S57" s="92">
        <f t="shared" si="6"/>
        <v>10389174.340499999</v>
      </c>
      <c r="T57" s="84">
        <f t="shared" si="27"/>
        <v>311660252.83799994</v>
      </c>
      <c r="U57" s="45"/>
      <c r="V57" s="169">
        <f t="shared" si="59"/>
        <v>9267750</v>
      </c>
      <c r="W57" s="165">
        <f t="shared" si="60"/>
        <v>1059590.3042785509</v>
      </c>
      <c r="X57" s="165">
        <f t="shared" si="16"/>
        <v>8208159.6957214493</v>
      </c>
      <c r="Y57" s="178">
        <f t="shared" si="17"/>
        <v>51</v>
      </c>
      <c r="AA57" s="169">
        <f t="shared" si="18"/>
        <v>7017732.9035861231</v>
      </c>
      <c r="AB57" s="165">
        <f t="shared" si="19"/>
        <v>1059618.2940297008</v>
      </c>
      <c r="AC57" s="170">
        <f t="shared" si="11"/>
        <v>5958114.6095564226</v>
      </c>
      <c r="AE57" s="83">
        <f t="shared" si="20"/>
        <v>8208108.6957214493</v>
      </c>
      <c r="AF57" s="84">
        <f t="shared" si="28"/>
        <v>200426279.21829426</v>
      </c>
    </row>
    <row r="58" spans="1:32" ht="13.5" customHeight="1" x14ac:dyDescent="0.3">
      <c r="A58" s="85">
        <v>52</v>
      </c>
      <c r="B58" s="86">
        <v>0</v>
      </c>
      <c r="C58" s="87">
        <v>0</v>
      </c>
      <c r="D58" s="87">
        <v>3</v>
      </c>
      <c r="E58" s="88">
        <f t="shared" si="13"/>
        <v>3</v>
      </c>
      <c r="F58" s="77">
        <f t="shared" ref="F58:H58" si="80">B58*$G$2</f>
        <v>0</v>
      </c>
      <c r="G58" s="77">
        <f t="shared" si="80"/>
        <v>0</v>
      </c>
      <c r="H58" s="77">
        <f t="shared" si="80"/>
        <v>11250000</v>
      </c>
      <c r="I58" s="77">
        <f t="shared" si="15"/>
        <v>11250000</v>
      </c>
      <c r="J58" s="89">
        <v>1</v>
      </c>
      <c r="K58" s="77">
        <f t="shared" si="22"/>
        <v>0</v>
      </c>
      <c r="L58" s="90">
        <v>1</v>
      </c>
      <c r="M58" s="77">
        <f t="shared" si="23"/>
        <v>0</v>
      </c>
      <c r="N58" s="90">
        <v>0.9</v>
      </c>
      <c r="O58" s="77">
        <f t="shared" si="24"/>
        <v>573883.77300000039</v>
      </c>
      <c r="P58" s="84">
        <f t="shared" si="3"/>
        <v>573883.77300000039</v>
      </c>
      <c r="Q58" s="91">
        <f t="shared" si="25"/>
        <v>461250000</v>
      </c>
      <c r="R58" s="77">
        <f t="shared" si="26"/>
        <v>138913630.93500006</v>
      </c>
      <c r="S58" s="92">
        <f t="shared" si="6"/>
        <v>10676116.227</v>
      </c>
      <c r="T58" s="84">
        <f t="shared" si="27"/>
        <v>322336369.06499994</v>
      </c>
      <c r="U58" s="45"/>
      <c r="V58" s="169">
        <f t="shared" si="59"/>
        <v>9267750</v>
      </c>
      <c r="W58" s="165">
        <f t="shared" si="60"/>
        <v>706393.53618570056</v>
      </c>
      <c r="X58" s="165">
        <f t="shared" si="16"/>
        <v>8561356.4638142996</v>
      </c>
      <c r="Y58" s="178">
        <f t="shared" si="17"/>
        <v>52</v>
      </c>
      <c r="AA58" s="169">
        <f t="shared" si="18"/>
        <v>7017732.9035861231</v>
      </c>
      <c r="AB58" s="165">
        <f t="shared" si="19"/>
        <v>706412.1960198005</v>
      </c>
      <c r="AC58" s="170">
        <f t="shared" si="11"/>
        <v>6311320.7075663228</v>
      </c>
      <c r="AE58" s="83">
        <f t="shared" si="20"/>
        <v>8561304.4638142996</v>
      </c>
      <c r="AF58" s="84">
        <f t="shared" si="28"/>
        <v>208987583.68210855</v>
      </c>
    </row>
    <row r="59" spans="1:32" ht="13.5" customHeight="1" x14ac:dyDescent="0.3">
      <c r="A59" s="85">
        <v>53</v>
      </c>
      <c r="B59" s="86">
        <v>0</v>
      </c>
      <c r="C59" s="87">
        <v>0</v>
      </c>
      <c r="D59" s="87">
        <v>3</v>
      </c>
      <c r="E59" s="88">
        <f t="shared" si="13"/>
        <v>3</v>
      </c>
      <c r="F59" s="77">
        <f t="shared" ref="F59:H59" si="81">B59*$G$2</f>
        <v>0</v>
      </c>
      <c r="G59" s="77">
        <f t="shared" si="81"/>
        <v>0</v>
      </c>
      <c r="H59" s="77">
        <f t="shared" si="81"/>
        <v>11250000</v>
      </c>
      <c r="I59" s="77">
        <f t="shared" si="15"/>
        <v>11250000</v>
      </c>
      <c r="J59" s="89">
        <v>1</v>
      </c>
      <c r="K59" s="77">
        <f t="shared" si="22"/>
        <v>0</v>
      </c>
      <c r="L59" s="90">
        <v>1</v>
      </c>
      <c r="M59" s="77">
        <f t="shared" si="23"/>
        <v>0</v>
      </c>
      <c r="N59" s="90">
        <v>0.92</v>
      </c>
      <c r="O59" s="77">
        <f t="shared" si="24"/>
        <v>573883.77300000039</v>
      </c>
      <c r="P59" s="84">
        <f t="shared" si="3"/>
        <v>573883.77300000039</v>
      </c>
      <c r="Q59" s="91">
        <f t="shared" si="25"/>
        <v>472500000</v>
      </c>
      <c r="R59" s="77">
        <f t="shared" si="26"/>
        <v>139487514.70800006</v>
      </c>
      <c r="S59" s="92">
        <f t="shared" si="6"/>
        <v>10676116.227</v>
      </c>
      <c r="T59" s="84">
        <f t="shared" si="27"/>
        <v>333012485.29199994</v>
      </c>
      <c r="U59" s="45"/>
      <c r="V59" s="169">
        <f t="shared" si="59"/>
        <v>9267750</v>
      </c>
      <c r="W59" s="165">
        <f t="shared" si="60"/>
        <v>706393.53618570056</v>
      </c>
      <c r="X59" s="165">
        <f t="shared" si="16"/>
        <v>8561356.4638142996</v>
      </c>
      <c r="Y59" s="178">
        <f t="shared" si="17"/>
        <v>53</v>
      </c>
      <c r="AA59" s="169">
        <f t="shared" si="18"/>
        <v>7017732.9035861231</v>
      </c>
      <c r="AB59" s="165">
        <f t="shared" si="19"/>
        <v>706412.1960198005</v>
      </c>
      <c r="AC59" s="170">
        <f t="shared" si="11"/>
        <v>6311320.7075663228</v>
      </c>
      <c r="AE59" s="83">
        <f t="shared" si="20"/>
        <v>8561303.4638142996</v>
      </c>
      <c r="AF59" s="84">
        <f t="shared" si="28"/>
        <v>217548887.14592284</v>
      </c>
    </row>
    <row r="60" spans="1:32" ht="13.5" customHeight="1" x14ac:dyDescent="0.3">
      <c r="A60" s="85">
        <v>54</v>
      </c>
      <c r="B60" s="86">
        <v>0</v>
      </c>
      <c r="C60" s="87">
        <v>0</v>
      </c>
      <c r="D60" s="87">
        <v>3</v>
      </c>
      <c r="E60" s="88">
        <f t="shared" si="13"/>
        <v>3</v>
      </c>
      <c r="F60" s="77">
        <f t="shared" ref="F60:H60" si="82">B60*$G$2</f>
        <v>0</v>
      </c>
      <c r="G60" s="77">
        <f t="shared" si="82"/>
        <v>0</v>
      </c>
      <c r="H60" s="77">
        <f t="shared" si="82"/>
        <v>11250000</v>
      </c>
      <c r="I60" s="77">
        <f t="shared" si="15"/>
        <v>11250000</v>
      </c>
      <c r="J60" s="89">
        <v>1</v>
      </c>
      <c r="K60" s="77">
        <f t="shared" si="22"/>
        <v>0</v>
      </c>
      <c r="L60" s="90">
        <v>1</v>
      </c>
      <c r="M60" s="77">
        <f t="shared" si="23"/>
        <v>0</v>
      </c>
      <c r="N60" s="90">
        <v>0.94</v>
      </c>
      <c r="O60" s="77">
        <f t="shared" si="24"/>
        <v>573883.77299999725</v>
      </c>
      <c r="P60" s="84">
        <f t="shared" si="3"/>
        <v>573883.77299999725</v>
      </c>
      <c r="Q60" s="91">
        <f t="shared" si="25"/>
        <v>483750000</v>
      </c>
      <c r="R60" s="77">
        <f t="shared" si="26"/>
        <v>140061398.48100007</v>
      </c>
      <c r="S60" s="92">
        <f t="shared" si="6"/>
        <v>10676116.227000002</v>
      </c>
      <c r="T60" s="84">
        <f t="shared" si="27"/>
        <v>343688601.51899993</v>
      </c>
      <c r="U60" s="45"/>
      <c r="V60" s="169">
        <f t="shared" si="59"/>
        <v>9267750</v>
      </c>
      <c r="W60" s="165">
        <f t="shared" si="60"/>
        <v>706393.53618569672</v>
      </c>
      <c r="X60" s="165">
        <f t="shared" si="16"/>
        <v>8561356.4638143033</v>
      </c>
      <c r="Y60" s="178">
        <f t="shared" si="17"/>
        <v>54</v>
      </c>
      <c r="AA60" s="169">
        <f t="shared" si="18"/>
        <v>7017732.9035861231</v>
      </c>
      <c r="AB60" s="165">
        <f t="shared" si="19"/>
        <v>706412.19601979665</v>
      </c>
      <c r="AC60" s="170">
        <f t="shared" si="11"/>
        <v>6311320.7075663265</v>
      </c>
      <c r="AE60" s="83">
        <f t="shared" si="20"/>
        <v>8561302.4638143033</v>
      </c>
      <c r="AF60" s="84">
        <f t="shared" si="28"/>
        <v>226110189.60973716</v>
      </c>
    </row>
    <row r="61" spans="1:32" ht="13.5" customHeight="1" x14ac:dyDescent="0.3">
      <c r="A61" s="85">
        <v>55</v>
      </c>
      <c r="B61" s="86">
        <v>0</v>
      </c>
      <c r="C61" s="87">
        <v>0</v>
      </c>
      <c r="D61" s="87">
        <v>3</v>
      </c>
      <c r="E61" s="88">
        <f t="shared" si="13"/>
        <v>3</v>
      </c>
      <c r="F61" s="77">
        <f t="shared" ref="F61:H61" si="83">B61*$G$2</f>
        <v>0</v>
      </c>
      <c r="G61" s="77">
        <f t="shared" si="83"/>
        <v>0</v>
      </c>
      <c r="H61" s="77">
        <f t="shared" si="83"/>
        <v>11250000</v>
      </c>
      <c r="I61" s="77">
        <f t="shared" si="15"/>
        <v>11250000</v>
      </c>
      <c r="J61" s="89">
        <v>1</v>
      </c>
      <c r="K61" s="77">
        <f t="shared" si="22"/>
        <v>0</v>
      </c>
      <c r="L61" s="90">
        <v>1</v>
      </c>
      <c r="M61" s="77">
        <f t="shared" si="23"/>
        <v>0</v>
      </c>
      <c r="N61" s="90">
        <v>0.96</v>
      </c>
      <c r="O61" s="77">
        <f t="shared" si="24"/>
        <v>573883.77300000039</v>
      </c>
      <c r="P61" s="84">
        <f t="shared" si="3"/>
        <v>573883.77300000039</v>
      </c>
      <c r="Q61" s="91">
        <f t="shared" si="25"/>
        <v>495000000</v>
      </c>
      <c r="R61" s="77">
        <f t="shared" si="26"/>
        <v>140635282.25400007</v>
      </c>
      <c r="S61" s="92">
        <f t="shared" si="6"/>
        <v>10676116.227</v>
      </c>
      <c r="T61" s="84">
        <f t="shared" si="27"/>
        <v>354364717.74599993</v>
      </c>
      <c r="U61" s="45"/>
      <c r="V61" s="169">
        <f t="shared" si="59"/>
        <v>9267750</v>
      </c>
      <c r="W61" s="165">
        <f t="shared" si="60"/>
        <v>706393.53618570056</v>
      </c>
      <c r="X61" s="165">
        <f t="shared" si="16"/>
        <v>8561356.4638142996</v>
      </c>
      <c r="Y61" s="178">
        <f t="shared" si="17"/>
        <v>55</v>
      </c>
      <c r="AA61" s="169">
        <f t="shared" si="18"/>
        <v>7017732.9035861231</v>
      </c>
      <c r="AB61" s="165">
        <f t="shared" si="19"/>
        <v>706412.1960198005</v>
      </c>
      <c r="AC61" s="170">
        <f t="shared" si="11"/>
        <v>6311320.7075663228</v>
      </c>
      <c r="AE61" s="83">
        <f t="shared" si="20"/>
        <v>8561301.4638142996</v>
      </c>
      <c r="AF61" s="84">
        <f t="shared" si="28"/>
        <v>234671491.07355145</v>
      </c>
    </row>
    <row r="62" spans="1:32" ht="13.5" customHeight="1" x14ac:dyDescent="0.3">
      <c r="A62" s="85">
        <v>56</v>
      </c>
      <c r="B62" s="86">
        <v>0</v>
      </c>
      <c r="C62" s="87">
        <v>0</v>
      </c>
      <c r="D62" s="87">
        <v>3</v>
      </c>
      <c r="E62" s="88">
        <f t="shared" si="13"/>
        <v>3</v>
      </c>
      <c r="F62" s="77">
        <f t="shared" ref="F62:H62" si="84">B62*$G$2</f>
        <v>0</v>
      </c>
      <c r="G62" s="77">
        <f t="shared" si="84"/>
        <v>0</v>
      </c>
      <c r="H62" s="77">
        <f t="shared" si="84"/>
        <v>11250000</v>
      </c>
      <c r="I62" s="77">
        <f t="shared" si="15"/>
        <v>11250000</v>
      </c>
      <c r="J62" s="89">
        <v>1</v>
      </c>
      <c r="K62" s="77">
        <f t="shared" si="22"/>
        <v>0</v>
      </c>
      <c r="L62" s="90">
        <v>1</v>
      </c>
      <c r="M62" s="77">
        <f t="shared" si="23"/>
        <v>0</v>
      </c>
      <c r="N62" s="90">
        <v>0.98</v>
      </c>
      <c r="O62" s="77">
        <f t="shared" si="24"/>
        <v>573883.77300000039</v>
      </c>
      <c r="P62" s="84">
        <f t="shared" si="3"/>
        <v>573883.77300000039</v>
      </c>
      <c r="Q62" s="91">
        <f t="shared" si="25"/>
        <v>506250000</v>
      </c>
      <c r="R62" s="77">
        <f t="shared" si="26"/>
        <v>141209166.02700007</v>
      </c>
      <c r="S62" s="92">
        <f t="shared" si="6"/>
        <v>10676116.227</v>
      </c>
      <c r="T62" s="84">
        <f t="shared" si="27"/>
        <v>365040833.97299993</v>
      </c>
      <c r="U62" s="45"/>
      <c r="V62" s="169">
        <f t="shared" si="59"/>
        <v>9267750</v>
      </c>
      <c r="W62" s="165">
        <f t="shared" si="60"/>
        <v>706393.53618570056</v>
      </c>
      <c r="X62" s="165">
        <f t="shared" si="16"/>
        <v>8561356.4638142996</v>
      </c>
      <c r="Y62" s="178">
        <f t="shared" si="17"/>
        <v>56</v>
      </c>
      <c r="AA62" s="169">
        <f t="shared" si="18"/>
        <v>7017732.9035861231</v>
      </c>
      <c r="AB62" s="165">
        <f t="shared" si="19"/>
        <v>706412.1960198005</v>
      </c>
      <c r="AC62" s="170">
        <f t="shared" si="11"/>
        <v>6311320.7075663228</v>
      </c>
      <c r="AE62" s="83">
        <f t="shared" si="20"/>
        <v>8561300.4638142996</v>
      </c>
      <c r="AF62" s="84">
        <f t="shared" si="28"/>
        <v>243232791.53736573</v>
      </c>
    </row>
    <row r="63" spans="1:32" ht="13.5" customHeight="1" x14ac:dyDescent="0.3">
      <c r="A63" s="85">
        <v>57</v>
      </c>
      <c r="B63" s="86">
        <v>0</v>
      </c>
      <c r="C63" s="87">
        <v>0</v>
      </c>
      <c r="D63" s="87">
        <v>3</v>
      </c>
      <c r="E63" s="88">
        <f t="shared" si="13"/>
        <v>3</v>
      </c>
      <c r="F63" s="77">
        <f t="shared" ref="F63:H63" si="85">B63*$G$2</f>
        <v>0</v>
      </c>
      <c r="G63" s="77">
        <f t="shared" si="85"/>
        <v>0</v>
      </c>
      <c r="H63" s="77">
        <f t="shared" si="85"/>
        <v>11250000</v>
      </c>
      <c r="I63" s="77">
        <f t="shared" si="15"/>
        <v>11250000</v>
      </c>
      <c r="J63" s="89">
        <v>1</v>
      </c>
      <c r="K63" s="77">
        <f t="shared" si="22"/>
        <v>0</v>
      </c>
      <c r="L63" s="90">
        <v>1</v>
      </c>
      <c r="M63" s="77">
        <f t="shared" si="23"/>
        <v>0</v>
      </c>
      <c r="N63" s="90">
        <v>0.99</v>
      </c>
      <c r="O63" s="77">
        <f t="shared" si="24"/>
        <v>286941.8865000002</v>
      </c>
      <c r="P63" s="84">
        <f t="shared" si="3"/>
        <v>286941.8865000002</v>
      </c>
      <c r="Q63" s="91">
        <f t="shared" si="25"/>
        <v>517500000</v>
      </c>
      <c r="R63" s="77">
        <f t="shared" si="26"/>
        <v>141496107.91350007</v>
      </c>
      <c r="S63" s="92">
        <f t="shared" si="6"/>
        <v>10963058.113499999</v>
      </c>
      <c r="T63" s="84">
        <f t="shared" si="27"/>
        <v>376003892.08649993</v>
      </c>
      <c r="U63" s="45"/>
      <c r="V63" s="169">
        <f t="shared" si="59"/>
        <v>9267750</v>
      </c>
      <c r="W63" s="165">
        <f t="shared" si="60"/>
        <v>353196.76809285028</v>
      </c>
      <c r="X63" s="165">
        <f t="shared" si="16"/>
        <v>8914553.2319071498</v>
      </c>
      <c r="Y63" s="178">
        <f t="shared" si="17"/>
        <v>57</v>
      </c>
      <c r="AA63" s="169">
        <f t="shared" si="18"/>
        <v>7017732.9035861231</v>
      </c>
      <c r="AB63" s="165">
        <f t="shared" si="19"/>
        <v>353206.09800990025</v>
      </c>
      <c r="AC63" s="170">
        <f t="shared" si="11"/>
        <v>6664526.8055762229</v>
      </c>
      <c r="AE63" s="83">
        <f t="shared" si="20"/>
        <v>8914496.2319071498</v>
      </c>
      <c r="AF63" s="84">
        <f t="shared" si="28"/>
        <v>252147287.76927289</v>
      </c>
    </row>
    <row r="64" spans="1:32" ht="13.5" customHeight="1" x14ac:dyDescent="0.3">
      <c r="A64" s="85">
        <v>58</v>
      </c>
      <c r="B64" s="86">
        <v>0</v>
      </c>
      <c r="C64" s="87">
        <v>0</v>
      </c>
      <c r="D64" s="87">
        <v>3</v>
      </c>
      <c r="E64" s="88">
        <f t="shared" si="13"/>
        <v>3</v>
      </c>
      <c r="F64" s="77">
        <f t="shared" ref="F64:H65" si="86">B64*$G$2</f>
        <v>0</v>
      </c>
      <c r="G64" s="77">
        <f t="shared" si="86"/>
        <v>0</v>
      </c>
      <c r="H64" s="77">
        <f t="shared" si="86"/>
        <v>11250000</v>
      </c>
      <c r="I64" s="77">
        <f t="shared" si="15"/>
        <v>11250000</v>
      </c>
      <c r="J64" s="89">
        <v>1</v>
      </c>
      <c r="K64" s="77">
        <f t="shared" si="22"/>
        <v>0</v>
      </c>
      <c r="L64" s="90">
        <v>1</v>
      </c>
      <c r="M64" s="77">
        <f t="shared" si="23"/>
        <v>0</v>
      </c>
      <c r="N64" s="90">
        <v>1</v>
      </c>
      <c r="O64" s="77">
        <f t="shared" si="24"/>
        <v>286941.8865000002</v>
      </c>
      <c r="P64" s="84">
        <f t="shared" si="3"/>
        <v>286941.8865000002</v>
      </c>
      <c r="Q64" s="91">
        <f t="shared" si="25"/>
        <v>528750000</v>
      </c>
      <c r="R64" s="77">
        <f t="shared" si="26"/>
        <v>141783049.80000007</v>
      </c>
      <c r="S64" s="92">
        <f t="shared" si="6"/>
        <v>10963058.113499999</v>
      </c>
      <c r="T64" s="84">
        <f t="shared" si="27"/>
        <v>386966950.19999993</v>
      </c>
      <c r="U64" s="45"/>
      <c r="V64" s="169">
        <f t="shared" si="59"/>
        <v>9267750</v>
      </c>
      <c r="W64" s="165">
        <f t="shared" si="60"/>
        <v>353196.76809285028</v>
      </c>
      <c r="X64" s="165">
        <f t="shared" si="16"/>
        <v>8914553.2319071498</v>
      </c>
      <c r="Y64" s="178">
        <f t="shared" si="17"/>
        <v>58</v>
      </c>
      <c r="AA64" s="169">
        <f t="shared" si="18"/>
        <v>7017732.9035861231</v>
      </c>
      <c r="AB64" s="165">
        <f t="shared" si="19"/>
        <v>353206.09800990025</v>
      </c>
      <c r="AC64" s="170">
        <f t="shared" si="11"/>
        <v>6664526.8055762229</v>
      </c>
      <c r="AE64" s="83">
        <f t="shared" si="20"/>
        <v>8914495.2319071498</v>
      </c>
      <c r="AF64" s="84">
        <f t="shared" si="28"/>
        <v>261061783.00118005</v>
      </c>
    </row>
    <row r="65" spans="1:32" ht="13.5" customHeight="1" thickBot="1" x14ac:dyDescent="0.35">
      <c r="A65" s="85">
        <v>59</v>
      </c>
      <c r="B65" s="86">
        <v>0</v>
      </c>
      <c r="C65" s="87">
        <v>0</v>
      </c>
      <c r="D65" s="87">
        <v>1</v>
      </c>
      <c r="E65" s="88">
        <f t="shared" si="13"/>
        <v>1</v>
      </c>
      <c r="F65" s="77">
        <f t="shared" si="86"/>
        <v>0</v>
      </c>
      <c r="G65" s="77">
        <f t="shared" si="86"/>
        <v>0</v>
      </c>
      <c r="H65" s="77">
        <f t="shared" si="86"/>
        <v>3750000</v>
      </c>
      <c r="I65" s="77">
        <f t="shared" si="15"/>
        <v>3750000</v>
      </c>
      <c r="J65" s="89">
        <v>1</v>
      </c>
      <c r="K65" s="77">
        <f t="shared" si="22"/>
        <v>0</v>
      </c>
      <c r="L65" s="90">
        <v>1</v>
      </c>
      <c r="M65" s="77">
        <f t="shared" si="23"/>
        <v>0</v>
      </c>
      <c r="N65" s="90">
        <v>1</v>
      </c>
      <c r="O65" s="77">
        <f t="shared" si="24"/>
        <v>0</v>
      </c>
      <c r="P65" s="84">
        <f t="shared" si="3"/>
        <v>0</v>
      </c>
      <c r="Q65" s="91">
        <f t="shared" ref="Q65" si="87">I65+Q64</f>
        <v>532500000</v>
      </c>
      <c r="R65" s="77">
        <f t="shared" ref="R65" si="88">P65+R64</f>
        <v>141783049.80000007</v>
      </c>
      <c r="S65" s="92">
        <f t="shared" ref="S65" si="89">I65-P65</f>
        <v>3750000</v>
      </c>
      <c r="T65" s="84">
        <f t="shared" ref="T65" si="90">S65+T64</f>
        <v>390716950.19999993</v>
      </c>
      <c r="U65" s="45"/>
      <c r="V65" s="171">
        <f t="shared" si="59"/>
        <v>3089250</v>
      </c>
      <c r="W65" s="172">
        <f t="shared" si="60"/>
        <v>0</v>
      </c>
      <c r="X65" s="172">
        <f t="shared" si="16"/>
        <v>3089250</v>
      </c>
      <c r="Y65" s="179">
        <f t="shared" si="17"/>
        <v>59</v>
      </c>
      <c r="AA65" s="171">
        <f t="shared" si="18"/>
        <v>2339244.3011953742</v>
      </c>
      <c r="AB65" s="172">
        <f t="shared" si="19"/>
        <v>0</v>
      </c>
      <c r="AC65" s="173">
        <f t="shared" si="11"/>
        <v>2339244.3011953742</v>
      </c>
      <c r="AE65" s="83">
        <f t="shared" ref="AE65" si="91">X65-Y65</f>
        <v>3089191</v>
      </c>
      <c r="AF65" s="84">
        <f t="shared" ref="AF65" si="92">AF64+AE65</f>
        <v>264150974.00118005</v>
      </c>
    </row>
    <row r="66" spans="1:32" ht="13.5" customHeight="1" x14ac:dyDescent="0.3">
      <c r="A66" s="36" t="s">
        <v>89</v>
      </c>
      <c r="B66" s="93">
        <f>SUM(B6:B65)</f>
        <v>50</v>
      </c>
      <c r="C66" s="93">
        <f>SUM(C6:C65)</f>
        <v>50</v>
      </c>
      <c r="D66" s="93">
        <f>SUM(D6:D65)</f>
        <v>42</v>
      </c>
      <c r="E66" s="93"/>
      <c r="F66" s="93">
        <f>SUM(F7:F65)</f>
        <v>187500000</v>
      </c>
      <c r="G66" s="93">
        <f>SUM(G7:G65)</f>
        <v>187500000</v>
      </c>
      <c r="H66" s="93">
        <f>SUM(H7:H65)</f>
        <v>157500000</v>
      </c>
      <c r="I66" s="93">
        <f>SUM(I7:I65)</f>
        <v>532500000</v>
      </c>
      <c r="J66" s="36"/>
      <c r="K66" s="94">
        <f>SUM(K7:K64)</f>
        <v>50636803.499999993</v>
      </c>
      <c r="L66" s="36"/>
      <c r="M66" s="94">
        <f>SUM(M7:M64)</f>
        <v>62452057.649999991</v>
      </c>
      <c r="N66" s="36"/>
      <c r="O66" s="94">
        <f>SUM(O7:O64)</f>
        <v>28694188.650000002</v>
      </c>
      <c r="P66" s="94">
        <f>SUM(P7:P64)</f>
        <v>141783049.80000007</v>
      </c>
      <c r="Q66" s="36"/>
      <c r="R66" s="36"/>
      <c r="S66" s="36"/>
      <c r="T66" s="36"/>
      <c r="U66" s="36"/>
      <c r="V66" s="36" t="s">
        <v>38</v>
      </c>
      <c r="W66" s="60">
        <f>TRUNC(ANÁLISES!B6,4)</f>
        <v>0.1762</v>
      </c>
      <c r="X66" s="36"/>
      <c r="Y66" s="34"/>
      <c r="Z66" s="36"/>
      <c r="AA66" s="36" t="s">
        <v>38</v>
      </c>
      <c r="AB66" s="60">
        <f>ANÁLISES!B5</f>
        <v>0.3762015196812335</v>
      </c>
      <c r="AC66" s="36"/>
      <c r="AD66" s="36"/>
      <c r="AE66" s="36"/>
      <c r="AF66" s="36"/>
    </row>
    <row r="67" spans="1:32" ht="13.5" customHeight="1" x14ac:dyDescent="0.3">
      <c r="V67" s="36" t="s">
        <v>90</v>
      </c>
      <c r="W67" s="60">
        <f>TRUNC(ANÁLISES!B3,4)</f>
        <v>0.23089999999999999</v>
      </c>
      <c r="Y67" s="34"/>
      <c r="AA67" s="36" t="s">
        <v>90</v>
      </c>
      <c r="AB67" s="60">
        <f>ANÁLISES!B3</f>
        <v>0.23093251500561246</v>
      </c>
      <c r="AE67" s="36" t="s">
        <v>91</v>
      </c>
      <c r="AF67" s="95">
        <f>IRR(AE6:AE65)</f>
        <v>1.104925521703426E-2</v>
      </c>
    </row>
    <row r="68" spans="1:32" ht="13.5" customHeight="1" x14ac:dyDescent="0.3">
      <c r="W68" s="36" t="s">
        <v>92</v>
      </c>
      <c r="X68" s="96">
        <f>NPV(W2,X7:X65)+X6</f>
        <v>165784898.4786348</v>
      </c>
      <c r="Y68" s="34"/>
      <c r="AB68" s="36" t="s">
        <v>92</v>
      </c>
      <c r="AC68" s="96">
        <f>NPV(AB2,AC7:AC65)+AC6</f>
        <v>111489801.61480089</v>
      </c>
    </row>
    <row r="69" spans="1:32" ht="13.5" customHeight="1" x14ac:dyDescent="0.3">
      <c r="AE69" s="136" t="s">
        <v>92</v>
      </c>
      <c r="AF69" s="138">
        <f>NPV(W2,AE7:AE64)+AE6</f>
        <v>-1616536.1469461024</v>
      </c>
    </row>
    <row r="70" spans="1:32" ht="13.5" customHeight="1" x14ac:dyDescent="0.3"/>
    <row r="71" spans="1:32" ht="13.5" customHeight="1" x14ac:dyDescent="0.3"/>
    <row r="72" spans="1:32" ht="13.5" customHeight="1" x14ac:dyDescent="0.3"/>
    <row r="73" spans="1:32" ht="13.5" customHeight="1" x14ac:dyDescent="0.3"/>
    <row r="74" spans="1:32" ht="13.5" customHeight="1" x14ac:dyDescent="0.3"/>
    <row r="75" spans="1:32" ht="13.5" customHeight="1" x14ac:dyDescent="0.3">
      <c r="AE75">
        <f>59-11</f>
        <v>48</v>
      </c>
    </row>
    <row r="76" spans="1:32" ht="13.5" customHeight="1" x14ac:dyDescent="0.3"/>
    <row r="77" spans="1:32" ht="13.5" customHeight="1" x14ac:dyDescent="0.3"/>
    <row r="78" spans="1:32" ht="13.5" customHeight="1" x14ac:dyDescent="0.3"/>
    <row r="79" spans="1:32" ht="13.5" customHeight="1" x14ac:dyDescent="0.3"/>
    <row r="80" spans="1:32" ht="13.5" customHeight="1" x14ac:dyDescent="0.3"/>
    <row r="81" ht="13.5" customHeight="1" x14ac:dyDescent="0.3"/>
    <row r="82" ht="13.5" customHeight="1" x14ac:dyDescent="0.3"/>
    <row r="83" ht="13.5" customHeight="1" x14ac:dyDescent="0.3"/>
    <row r="84" ht="13.5" customHeight="1" x14ac:dyDescent="0.3"/>
    <row r="85" ht="13.5" customHeight="1" x14ac:dyDescent="0.3"/>
    <row r="86" ht="13.5" customHeight="1" x14ac:dyDescent="0.3"/>
    <row r="87" ht="13.5" customHeight="1" x14ac:dyDescent="0.3"/>
    <row r="88" ht="13.5" customHeight="1" x14ac:dyDescent="0.3"/>
    <row r="89" ht="13.5" customHeight="1" x14ac:dyDescent="0.3"/>
    <row r="90" ht="13.5" customHeight="1" x14ac:dyDescent="0.3"/>
    <row r="91" ht="13.5" customHeight="1" x14ac:dyDescent="0.3"/>
    <row r="92" ht="13.5" customHeight="1" x14ac:dyDescent="0.3"/>
    <row r="93" ht="13.5" customHeight="1" x14ac:dyDescent="0.3"/>
    <row r="94" ht="13.5" customHeight="1" x14ac:dyDescent="0.3"/>
    <row r="95" ht="13.5" customHeight="1" x14ac:dyDescent="0.3"/>
    <row r="96" ht="13.5" customHeight="1" x14ac:dyDescent="0.3"/>
    <row r="97" ht="13.5" customHeight="1" x14ac:dyDescent="0.3"/>
    <row r="98" ht="13.5" customHeight="1" x14ac:dyDescent="0.3"/>
    <row r="99" ht="13.5" customHeight="1" x14ac:dyDescent="0.3"/>
    <row r="100" ht="13.5" customHeight="1" x14ac:dyDescent="0.3"/>
    <row r="101" ht="13.5" customHeight="1" x14ac:dyDescent="0.3"/>
    <row r="102" ht="13.5" customHeight="1" x14ac:dyDescent="0.3"/>
    <row r="103" ht="13.5" customHeight="1" x14ac:dyDescent="0.3"/>
    <row r="104" ht="13.5" customHeight="1" x14ac:dyDescent="0.3"/>
    <row r="105" ht="13.5" customHeight="1" x14ac:dyDescent="0.3"/>
    <row r="106" ht="13.5" customHeight="1" x14ac:dyDescent="0.3"/>
    <row r="107" ht="13.5" customHeight="1" x14ac:dyDescent="0.3"/>
    <row r="108" ht="13.5" customHeight="1" x14ac:dyDescent="0.3"/>
    <row r="109" ht="13.5" customHeight="1" x14ac:dyDescent="0.3"/>
    <row r="110" ht="13.5" customHeight="1" x14ac:dyDescent="0.3"/>
    <row r="111" ht="13.5" customHeight="1" x14ac:dyDescent="0.3"/>
    <row r="112" ht="13.5" customHeight="1" x14ac:dyDescent="0.3"/>
    <row r="113" ht="13.5" customHeight="1" x14ac:dyDescent="0.3"/>
    <row r="114" ht="13.5" customHeight="1" x14ac:dyDescent="0.3"/>
    <row r="115" ht="13.5" customHeight="1" x14ac:dyDescent="0.3"/>
    <row r="116" ht="13.5" customHeight="1" x14ac:dyDescent="0.3"/>
    <row r="117" ht="13.5" customHeight="1" x14ac:dyDescent="0.3"/>
    <row r="118" ht="13.5" customHeight="1" x14ac:dyDescent="0.3"/>
    <row r="119" ht="13.5" customHeight="1" x14ac:dyDescent="0.3"/>
    <row r="120" ht="13.5" customHeight="1" x14ac:dyDescent="0.3"/>
    <row r="121" ht="13.5" customHeight="1" x14ac:dyDescent="0.3"/>
    <row r="122" ht="13.5" customHeight="1" x14ac:dyDescent="0.3"/>
    <row r="123" ht="13.5" customHeight="1" x14ac:dyDescent="0.3"/>
    <row r="124" ht="13.5" customHeight="1" x14ac:dyDescent="0.3"/>
    <row r="125" ht="13.5" customHeight="1" x14ac:dyDescent="0.3"/>
    <row r="126" ht="13.5" customHeight="1" x14ac:dyDescent="0.3"/>
    <row r="127" ht="13.5" customHeight="1" x14ac:dyDescent="0.3"/>
    <row r="128" ht="13.5" customHeight="1" x14ac:dyDescent="0.3"/>
    <row r="129" ht="13.5" customHeight="1" x14ac:dyDescent="0.3"/>
    <row r="130" ht="13.5" customHeight="1" x14ac:dyDescent="0.3"/>
    <row r="131" ht="13.5" customHeight="1" x14ac:dyDescent="0.3"/>
    <row r="132" ht="13.5" customHeight="1" x14ac:dyDescent="0.3"/>
    <row r="133" ht="13.5" customHeight="1" x14ac:dyDescent="0.3"/>
    <row r="134" ht="13.5" customHeight="1" x14ac:dyDescent="0.3"/>
    <row r="135" ht="13.5" customHeight="1" x14ac:dyDescent="0.3"/>
    <row r="136" ht="13.5" customHeight="1" x14ac:dyDescent="0.3"/>
    <row r="137" ht="13.5" customHeight="1" x14ac:dyDescent="0.3"/>
    <row r="138" ht="13.5" customHeight="1" x14ac:dyDescent="0.3"/>
    <row r="139" ht="13.5" customHeight="1" x14ac:dyDescent="0.3"/>
    <row r="140" ht="13.5" customHeight="1" x14ac:dyDescent="0.3"/>
    <row r="141" ht="13.5" customHeight="1" x14ac:dyDescent="0.3"/>
    <row r="142" ht="13.5" customHeight="1" x14ac:dyDescent="0.3"/>
    <row r="143" ht="13.5" customHeight="1" x14ac:dyDescent="0.3"/>
    <row r="144" ht="13.5" customHeight="1" x14ac:dyDescent="0.3"/>
    <row r="145" ht="13.5" customHeight="1" x14ac:dyDescent="0.3"/>
    <row r="146" ht="13.5" customHeight="1" x14ac:dyDescent="0.3"/>
    <row r="147" ht="13.5" customHeight="1" x14ac:dyDescent="0.3"/>
    <row r="148" ht="13.5" customHeight="1" x14ac:dyDescent="0.3"/>
    <row r="149" ht="13.5" customHeight="1" x14ac:dyDescent="0.3"/>
    <row r="150" ht="13.5" customHeight="1" x14ac:dyDescent="0.3"/>
    <row r="151" ht="13.5" customHeight="1" x14ac:dyDescent="0.3"/>
    <row r="152" ht="13.5" customHeight="1" x14ac:dyDescent="0.3"/>
    <row r="153" ht="13.5" customHeight="1" x14ac:dyDescent="0.3"/>
    <row r="154" ht="13.5" customHeight="1" x14ac:dyDescent="0.3"/>
    <row r="155" ht="13.5" customHeight="1" x14ac:dyDescent="0.3"/>
    <row r="156" ht="13.5" customHeight="1" x14ac:dyDescent="0.3"/>
    <row r="157" ht="13.5" customHeight="1" x14ac:dyDescent="0.3"/>
    <row r="158" ht="13.5" customHeight="1" x14ac:dyDescent="0.3"/>
    <row r="159" ht="13.5" customHeight="1" x14ac:dyDescent="0.3"/>
    <row r="160" ht="13.5" customHeight="1" x14ac:dyDescent="0.3"/>
    <row r="161" ht="13.5" customHeight="1" x14ac:dyDescent="0.3"/>
    <row r="162" ht="13.5" customHeight="1" x14ac:dyDescent="0.3"/>
    <row r="163" ht="13.5" customHeight="1" x14ac:dyDescent="0.3"/>
    <row r="164" ht="13.5" customHeight="1" x14ac:dyDescent="0.3"/>
    <row r="165" ht="13.5" customHeight="1" x14ac:dyDescent="0.3"/>
    <row r="166" ht="13.5" customHeight="1" x14ac:dyDescent="0.3"/>
    <row r="167" ht="13.5" customHeight="1" x14ac:dyDescent="0.3"/>
    <row r="168" ht="13.5" customHeight="1" x14ac:dyDescent="0.3"/>
    <row r="169" ht="13.5" customHeight="1" x14ac:dyDescent="0.3"/>
    <row r="170" ht="13.5" customHeight="1" x14ac:dyDescent="0.3"/>
    <row r="171" ht="13.5" customHeight="1" x14ac:dyDescent="0.3"/>
    <row r="172" ht="13.5" customHeight="1" x14ac:dyDescent="0.3"/>
    <row r="173" ht="13.5" customHeight="1" x14ac:dyDescent="0.3"/>
    <row r="174" ht="13.5" customHeight="1" x14ac:dyDescent="0.3"/>
    <row r="175" ht="13.5" customHeight="1" x14ac:dyDescent="0.3"/>
    <row r="176" ht="13.5" customHeight="1" x14ac:dyDescent="0.3"/>
    <row r="177" ht="13.5" customHeight="1" x14ac:dyDescent="0.3"/>
    <row r="178" ht="13.5" customHeight="1" x14ac:dyDescent="0.3"/>
    <row r="179" ht="13.5" customHeight="1" x14ac:dyDescent="0.3"/>
    <row r="180" ht="13.5" customHeight="1" x14ac:dyDescent="0.3"/>
    <row r="181" ht="13.5" customHeight="1" x14ac:dyDescent="0.3"/>
    <row r="182" ht="13.5" customHeight="1" x14ac:dyDescent="0.3"/>
    <row r="183" ht="13.5" customHeight="1" x14ac:dyDescent="0.3"/>
    <row r="184" ht="13.5" customHeight="1" x14ac:dyDescent="0.3"/>
    <row r="185" ht="13.5" customHeight="1" x14ac:dyDescent="0.3"/>
    <row r="186" ht="13.5" customHeight="1" x14ac:dyDescent="0.3"/>
    <row r="187" ht="13.5" customHeight="1" x14ac:dyDescent="0.3"/>
    <row r="188" ht="13.5" customHeight="1" x14ac:dyDescent="0.3"/>
    <row r="189" ht="13.5" customHeight="1" x14ac:dyDescent="0.3"/>
    <row r="190" ht="13.5" customHeight="1" x14ac:dyDescent="0.3"/>
    <row r="191" ht="13.5" customHeight="1" x14ac:dyDescent="0.3"/>
    <row r="192" ht="13.5" customHeight="1" x14ac:dyDescent="0.3"/>
    <row r="193" ht="13.5" customHeight="1" x14ac:dyDescent="0.3"/>
    <row r="194" ht="13.5" customHeight="1" x14ac:dyDescent="0.3"/>
    <row r="195" ht="13.5" customHeight="1" x14ac:dyDescent="0.3"/>
    <row r="196" ht="13.5" customHeight="1" x14ac:dyDescent="0.3"/>
    <row r="197" ht="13.5" customHeight="1" x14ac:dyDescent="0.3"/>
    <row r="198" ht="13.5" customHeight="1" x14ac:dyDescent="0.3"/>
    <row r="199" ht="13.5" customHeight="1" x14ac:dyDescent="0.3"/>
    <row r="200" ht="13.5" customHeight="1" x14ac:dyDescent="0.3"/>
    <row r="201" ht="13.5" customHeight="1" x14ac:dyDescent="0.3"/>
    <row r="202" ht="13.5" customHeight="1" x14ac:dyDescent="0.3"/>
    <row r="203" ht="13.5" customHeight="1" x14ac:dyDescent="0.3"/>
    <row r="204" ht="13.5" customHeight="1" x14ac:dyDescent="0.3"/>
    <row r="205" ht="13.5" customHeight="1" x14ac:dyDescent="0.3"/>
    <row r="206" ht="13.5" customHeight="1" x14ac:dyDescent="0.3"/>
    <row r="207" ht="13.5" customHeight="1" x14ac:dyDescent="0.3"/>
    <row r="208" ht="13.5" customHeight="1" x14ac:dyDescent="0.3"/>
    <row r="209" ht="13.5" customHeight="1" x14ac:dyDescent="0.3"/>
    <row r="210" ht="13.5" customHeight="1" x14ac:dyDescent="0.3"/>
    <row r="211" ht="13.5" customHeight="1" x14ac:dyDescent="0.3"/>
    <row r="212" ht="13.5" customHeight="1" x14ac:dyDescent="0.3"/>
    <row r="213" ht="13.5" customHeight="1" x14ac:dyDescent="0.3"/>
    <row r="214" ht="13.5" customHeight="1" x14ac:dyDescent="0.3"/>
    <row r="215" ht="13.5" customHeight="1" x14ac:dyDescent="0.3"/>
    <row r="216" ht="13.5" customHeight="1" x14ac:dyDescent="0.3"/>
    <row r="217" ht="13.5" customHeight="1" x14ac:dyDescent="0.3"/>
    <row r="218" ht="13.5" customHeight="1" x14ac:dyDescent="0.3"/>
    <row r="219" ht="13.5" customHeight="1" x14ac:dyDescent="0.3"/>
    <row r="220" ht="13.5" customHeight="1" x14ac:dyDescent="0.3"/>
    <row r="221" ht="13.5" customHeight="1" x14ac:dyDescent="0.3"/>
    <row r="222" ht="13.5" customHeight="1" x14ac:dyDescent="0.3"/>
    <row r="223" ht="13.5" customHeight="1" x14ac:dyDescent="0.3"/>
    <row r="224" ht="13.5" customHeight="1" x14ac:dyDescent="0.3"/>
    <row r="225" ht="13.5" customHeight="1" x14ac:dyDescent="0.3"/>
    <row r="226" ht="13.5" customHeight="1" x14ac:dyDescent="0.3"/>
    <row r="227" ht="13.5" customHeight="1" x14ac:dyDescent="0.3"/>
    <row r="228" ht="13.5" customHeight="1" x14ac:dyDescent="0.3"/>
    <row r="229" ht="13.5" customHeight="1" x14ac:dyDescent="0.3"/>
    <row r="230" ht="13.5" customHeight="1" x14ac:dyDescent="0.3"/>
    <row r="231" ht="13.5" customHeight="1" x14ac:dyDescent="0.3"/>
    <row r="232" ht="13.5" customHeight="1" x14ac:dyDescent="0.3"/>
    <row r="233" ht="13.5" customHeight="1" x14ac:dyDescent="0.3"/>
    <row r="234" ht="13.5" customHeight="1" x14ac:dyDescent="0.3"/>
    <row r="235" ht="13.5" customHeight="1" x14ac:dyDescent="0.3"/>
    <row r="236" ht="13.5" customHeight="1" x14ac:dyDescent="0.3"/>
    <row r="237" ht="13.5" customHeight="1" x14ac:dyDescent="0.3"/>
    <row r="238" ht="13.5" customHeight="1" x14ac:dyDescent="0.3"/>
    <row r="239" ht="13.5" customHeight="1" x14ac:dyDescent="0.3"/>
    <row r="240" ht="13.5" customHeight="1" x14ac:dyDescent="0.3"/>
    <row r="241" ht="13.5" customHeight="1" x14ac:dyDescent="0.3"/>
    <row r="242" ht="13.5" customHeight="1" x14ac:dyDescent="0.3"/>
    <row r="243" ht="13.5" customHeight="1" x14ac:dyDescent="0.3"/>
    <row r="244" ht="13.5" customHeight="1" x14ac:dyDescent="0.3"/>
    <row r="245" ht="13.5" customHeight="1" x14ac:dyDescent="0.3"/>
    <row r="246" ht="13.5" customHeight="1" x14ac:dyDescent="0.3"/>
    <row r="247" ht="13.5" customHeight="1" x14ac:dyDescent="0.3"/>
    <row r="248" ht="13.5" customHeight="1" x14ac:dyDescent="0.3"/>
    <row r="249" ht="13.5" customHeight="1" x14ac:dyDescent="0.3"/>
    <row r="250" ht="13.5" customHeight="1" x14ac:dyDescent="0.3"/>
    <row r="251" ht="13.5" customHeight="1" x14ac:dyDescent="0.3"/>
    <row r="252" ht="13.5" customHeight="1" x14ac:dyDescent="0.3"/>
    <row r="253" ht="13.5" customHeight="1" x14ac:dyDescent="0.3"/>
    <row r="254" ht="13.5" customHeight="1" x14ac:dyDescent="0.3"/>
    <row r="255" ht="13.5" customHeight="1" x14ac:dyDescent="0.3"/>
    <row r="256" ht="13.5" customHeight="1" x14ac:dyDescent="0.3"/>
    <row r="257" ht="13.5" customHeight="1" x14ac:dyDescent="0.3"/>
    <row r="258" ht="13.5" customHeight="1" x14ac:dyDescent="0.3"/>
    <row r="259" ht="13.5" customHeight="1" x14ac:dyDescent="0.3"/>
    <row r="260" ht="13.5" customHeight="1" x14ac:dyDescent="0.3"/>
    <row r="261" ht="13.5" customHeight="1" x14ac:dyDescent="0.3"/>
    <row r="262" ht="13.5" customHeight="1" x14ac:dyDescent="0.3"/>
    <row r="263" ht="13.5" customHeight="1" x14ac:dyDescent="0.3"/>
    <row r="264" ht="13.5" customHeight="1" x14ac:dyDescent="0.3"/>
    <row r="265" ht="13.5" customHeight="1" x14ac:dyDescent="0.3"/>
    <row r="266" ht="13.5" customHeight="1" x14ac:dyDescent="0.3"/>
    <row r="267" ht="13.5" customHeight="1" x14ac:dyDescent="0.3"/>
    <row r="268" ht="13.5" customHeight="1" x14ac:dyDescent="0.3"/>
    <row r="269" ht="13.5" customHeight="1" x14ac:dyDescent="0.3"/>
    <row r="270" ht="13.5" customHeight="1" x14ac:dyDescent="0.3"/>
    <row r="271" ht="13.5" customHeight="1" x14ac:dyDescent="0.3"/>
    <row r="272" ht="13.5" customHeight="1" x14ac:dyDescent="0.3"/>
    <row r="273" ht="13.5" customHeight="1" x14ac:dyDescent="0.3"/>
    <row r="274" ht="13.5" customHeight="1" x14ac:dyDescent="0.3"/>
    <row r="275" ht="13.5" customHeight="1" x14ac:dyDescent="0.3"/>
    <row r="276" ht="13.5" customHeight="1" x14ac:dyDescent="0.3"/>
    <row r="277" ht="13.5" customHeight="1" x14ac:dyDescent="0.3"/>
    <row r="278" ht="13.5" customHeight="1" x14ac:dyDescent="0.3"/>
    <row r="279" ht="13.5" customHeight="1" x14ac:dyDescent="0.3"/>
    <row r="280" ht="13.5" customHeight="1" x14ac:dyDescent="0.3"/>
    <row r="281" ht="13.5" customHeight="1" x14ac:dyDescent="0.3"/>
    <row r="282" ht="13.5" customHeight="1" x14ac:dyDescent="0.3"/>
    <row r="283" ht="13.5" customHeight="1" x14ac:dyDescent="0.3"/>
    <row r="284" ht="13.5" customHeight="1" x14ac:dyDescent="0.3"/>
    <row r="285" ht="13.5" customHeight="1" x14ac:dyDescent="0.3"/>
    <row r="286" ht="13.5" customHeight="1" x14ac:dyDescent="0.3"/>
    <row r="287" ht="13.5" customHeight="1" x14ac:dyDescent="0.3"/>
    <row r="288" ht="13.5" customHeight="1" x14ac:dyDescent="0.3"/>
    <row r="289" ht="13.5" customHeight="1" x14ac:dyDescent="0.3"/>
    <row r="290" ht="13.5" customHeight="1" x14ac:dyDescent="0.3"/>
    <row r="291" ht="13.5" customHeight="1" x14ac:dyDescent="0.3"/>
    <row r="292" ht="13.5" customHeight="1" x14ac:dyDescent="0.3"/>
    <row r="293" ht="13.5" customHeight="1" x14ac:dyDescent="0.3"/>
    <row r="294" ht="13.5" customHeight="1" x14ac:dyDescent="0.3"/>
    <row r="295" ht="13.5" customHeight="1" x14ac:dyDescent="0.3"/>
    <row r="296" ht="13.5" customHeight="1" x14ac:dyDescent="0.3"/>
    <row r="297" ht="13.5" customHeight="1" x14ac:dyDescent="0.3"/>
    <row r="298" ht="13.5" customHeight="1" x14ac:dyDescent="0.3"/>
    <row r="299" ht="13.5" customHeight="1" x14ac:dyDescent="0.3"/>
    <row r="300" ht="13.5" customHeight="1" x14ac:dyDescent="0.3"/>
    <row r="301" ht="13.5" customHeight="1" x14ac:dyDescent="0.3"/>
    <row r="302" ht="13.5" customHeight="1" x14ac:dyDescent="0.3"/>
    <row r="303" ht="13.5" customHeight="1" x14ac:dyDescent="0.3"/>
    <row r="304" ht="13.5" customHeight="1" x14ac:dyDescent="0.3"/>
    <row r="305" ht="13.5" customHeight="1" x14ac:dyDescent="0.3"/>
    <row r="306" ht="13.5" customHeight="1" x14ac:dyDescent="0.3"/>
    <row r="307" ht="13.5" customHeight="1" x14ac:dyDescent="0.3"/>
    <row r="308" ht="13.5" customHeight="1" x14ac:dyDescent="0.3"/>
    <row r="309" ht="13.5" customHeight="1" x14ac:dyDescent="0.3"/>
    <row r="310" ht="13.5" customHeight="1" x14ac:dyDescent="0.3"/>
    <row r="311" ht="13.5" customHeight="1" x14ac:dyDescent="0.3"/>
    <row r="312" ht="13.5" customHeight="1" x14ac:dyDescent="0.3"/>
    <row r="313" ht="13.5" customHeight="1" x14ac:dyDescent="0.3"/>
    <row r="314" ht="13.5" customHeight="1" x14ac:dyDescent="0.3"/>
    <row r="315" ht="13.5" customHeight="1" x14ac:dyDescent="0.3"/>
    <row r="316" ht="13.5" customHeight="1" x14ac:dyDescent="0.3"/>
    <row r="317" ht="13.5" customHeight="1" x14ac:dyDescent="0.3"/>
    <row r="318" ht="13.5" customHeight="1" x14ac:dyDescent="0.3"/>
    <row r="319" ht="13.5" customHeight="1" x14ac:dyDescent="0.3"/>
    <row r="320" ht="13.5" customHeight="1" x14ac:dyDescent="0.3"/>
    <row r="321" ht="13.5" customHeight="1" x14ac:dyDescent="0.3"/>
    <row r="322" ht="13.5" customHeight="1" x14ac:dyDescent="0.3"/>
    <row r="323" ht="13.5" customHeight="1" x14ac:dyDescent="0.3"/>
    <row r="324" ht="13.5" customHeight="1" x14ac:dyDescent="0.3"/>
    <row r="325" ht="13.5" customHeight="1" x14ac:dyDescent="0.3"/>
    <row r="326" ht="13.5" customHeight="1" x14ac:dyDescent="0.3"/>
    <row r="327" ht="13.5" customHeight="1" x14ac:dyDescent="0.3"/>
    <row r="328" ht="13.5" customHeight="1" x14ac:dyDescent="0.3"/>
    <row r="329" ht="13.5" customHeight="1" x14ac:dyDescent="0.3"/>
    <row r="330" ht="13.5" customHeight="1" x14ac:dyDescent="0.3"/>
    <row r="331" ht="13.5" customHeight="1" x14ac:dyDescent="0.3"/>
    <row r="332" ht="13.5" customHeight="1" x14ac:dyDescent="0.3"/>
    <row r="333" ht="13.5" customHeight="1" x14ac:dyDescent="0.3"/>
    <row r="334" ht="13.5" customHeight="1" x14ac:dyDescent="0.3"/>
    <row r="335" ht="13.5" customHeight="1" x14ac:dyDescent="0.3"/>
    <row r="336" ht="13.5" customHeight="1" x14ac:dyDescent="0.3"/>
    <row r="337" ht="13.5" customHeight="1" x14ac:dyDescent="0.3"/>
    <row r="338" ht="13.5" customHeight="1" x14ac:dyDescent="0.3"/>
    <row r="339" ht="13.5" customHeight="1" x14ac:dyDescent="0.3"/>
    <row r="340" ht="13.5" customHeight="1" x14ac:dyDescent="0.3"/>
    <row r="341" ht="13.5" customHeight="1" x14ac:dyDescent="0.3"/>
    <row r="342" ht="13.5" customHeight="1" x14ac:dyDescent="0.3"/>
    <row r="343" ht="13.5" customHeight="1" x14ac:dyDescent="0.3"/>
    <row r="344" ht="13.5" customHeight="1" x14ac:dyDescent="0.3"/>
    <row r="345" ht="13.5" customHeight="1" x14ac:dyDescent="0.3"/>
    <row r="346" ht="13.5" customHeight="1" x14ac:dyDescent="0.3"/>
    <row r="347" ht="13.5" customHeight="1" x14ac:dyDescent="0.3"/>
    <row r="348" ht="13.5" customHeight="1" x14ac:dyDescent="0.3"/>
    <row r="349" ht="13.5" customHeight="1" x14ac:dyDescent="0.3"/>
    <row r="350" ht="13.5" customHeight="1" x14ac:dyDescent="0.3"/>
    <row r="351" ht="13.5" customHeight="1" x14ac:dyDescent="0.3"/>
    <row r="352" ht="13.5" customHeight="1" x14ac:dyDescent="0.3"/>
    <row r="353" ht="13.5" customHeight="1" x14ac:dyDescent="0.3"/>
    <row r="354" ht="13.5" customHeight="1" x14ac:dyDescent="0.3"/>
    <row r="355" ht="13.5" customHeight="1" x14ac:dyDescent="0.3"/>
    <row r="356" ht="13.5" customHeight="1" x14ac:dyDescent="0.3"/>
    <row r="357" ht="13.5" customHeight="1" x14ac:dyDescent="0.3"/>
    <row r="358" ht="13.5" customHeight="1" x14ac:dyDescent="0.3"/>
    <row r="359" ht="13.5" customHeight="1" x14ac:dyDescent="0.3"/>
    <row r="360" ht="13.5" customHeight="1" x14ac:dyDescent="0.3"/>
    <row r="361" ht="13.5" customHeight="1" x14ac:dyDescent="0.3"/>
    <row r="362" ht="13.5" customHeight="1" x14ac:dyDescent="0.3"/>
    <row r="363" ht="13.5" customHeight="1" x14ac:dyDescent="0.3"/>
    <row r="364" ht="13.5" customHeight="1" x14ac:dyDescent="0.3"/>
    <row r="365" ht="13.5" customHeight="1" x14ac:dyDescent="0.3"/>
    <row r="366" ht="13.5" customHeight="1" x14ac:dyDescent="0.3"/>
    <row r="367" ht="13.5" customHeight="1" x14ac:dyDescent="0.3"/>
    <row r="368" ht="13.5" customHeight="1" x14ac:dyDescent="0.3"/>
    <row r="369" ht="13.5" customHeight="1" x14ac:dyDescent="0.3"/>
    <row r="370" ht="13.5" customHeight="1" x14ac:dyDescent="0.3"/>
    <row r="371" ht="13.5" customHeight="1" x14ac:dyDescent="0.3"/>
    <row r="372" ht="13.5" customHeight="1" x14ac:dyDescent="0.3"/>
    <row r="373" ht="13.5" customHeight="1" x14ac:dyDescent="0.3"/>
    <row r="374" ht="13.5" customHeight="1" x14ac:dyDescent="0.3"/>
    <row r="375" ht="13.5" customHeight="1" x14ac:dyDescent="0.3"/>
    <row r="376" ht="13.5" customHeight="1" x14ac:dyDescent="0.3"/>
    <row r="377" ht="13.5" customHeight="1" x14ac:dyDescent="0.3"/>
    <row r="378" ht="13.5" customHeight="1" x14ac:dyDescent="0.3"/>
    <row r="379" ht="13.5" customHeight="1" x14ac:dyDescent="0.3"/>
    <row r="380" ht="13.5" customHeight="1" x14ac:dyDescent="0.3"/>
    <row r="381" ht="13.5" customHeight="1" x14ac:dyDescent="0.3"/>
    <row r="382" ht="13.5" customHeight="1" x14ac:dyDescent="0.3"/>
    <row r="383" ht="13.5" customHeight="1" x14ac:dyDescent="0.3"/>
    <row r="384" ht="13.5" customHeight="1" x14ac:dyDescent="0.3"/>
    <row r="385" ht="13.5" customHeight="1" x14ac:dyDescent="0.3"/>
    <row r="386" ht="13.5" customHeight="1" x14ac:dyDescent="0.3"/>
    <row r="387" ht="13.5" customHeight="1" x14ac:dyDescent="0.3"/>
    <row r="388" ht="13.5" customHeight="1" x14ac:dyDescent="0.3"/>
    <row r="389" ht="13.5" customHeight="1" x14ac:dyDescent="0.3"/>
    <row r="390" ht="13.5" customHeight="1" x14ac:dyDescent="0.3"/>
    <row r="391" ht="13.5" customHeight="1" x14ac:dyDescent="0.3"/>
    <row r="392" ht="13.5" customHeight="1" x14ac:dyDescent="0.3"/>
    <row r="393" ht="13.5" customHeight="1" x14ac:dyDescent="0.3"/>
    <row r="394" ht="13.5" customHeight="1" x14ac:dyDescent="0.3"/>
    <row r="395" ht="13.5" customHeight="1" x14ac:dyDescent="0.3"/>
    <row r="396" ht="13.5" customHeight="1" x14ac:dyDescent="0.3"/>
    <row r="397" ht="13.5" customHeight="1" x14ac:dyDescent="0.3"/>
    <row r="398" ht="13.5" customHeight="1" x14ac:dyDescent="0.3"/>
    <row r="399" ht="13.5" customHeight="1" x14ac:dyDescent="0.3"/>
    <row r="400" ht="13.5" customHeight="1" x14ac:dyDescent="0.3"/>
    <row r="401" ht="13.5" customHeight="1" x14ac:dyDescent="0.3"/>
    <row r="402" ht="13.5" customHeight="1" x14ac:dyDescent="0.3"/>
    <row r="403" ht="13.5" customHeight="1" x14ac:dyDescent="0.3"/>
    <row r="404" ht="13.5" customHeight="1" x14ac:dyDescent="0.3"/>
    <row r="405" ht="13.5" customHeight="1" x14ac:dyDescent="0.3"/>
    <row r="406" ht="13.5" customHeight="1" x14ac:dyDescent="0.3"/>
    <row r="407" ht="13.5" customHeight="1" x14ac:dyDescent="0.3"/>
    <row r="408" ht="13.5" customHeight="1" x14ac:dyDescent="0.3"/>
    <row r="409" ht="13.5" customHeight="1" x14ac:dyDescent="0.3"/>
    <row r="410" ht="13.5" customHeight="1" x14ac:dyDescent="0.3"/>
    <row r="411" ht="13.5" customHeight="1" x14ac:dyDescent="0.3"/>
    <row r="412" ht="13.5" customHeight="1" x14ac:dyDescent="0.3"/>
    <row r="413" ht="13.5" customHeight="1" x14ac:dyDescent="0.3"/>
    <row r="414" ht="13.5" customHeight="1" x14ac:dyDescent="0.3"/>
    <row r="415" ht="13.5" customHeight="1" x14ac:dyDescent="0.3"/>
    <row r="416" ht="13.5" customHeight="1" x14ac:dyDescent="0.3"/>
    <row r="417" ht="13.5" customHeight="1" x14ac:dyDescent="0.3"/>
    <row r="418" ht="13.5" customHeight="1" x14ac:dyDescent="0.3"/>
    <row r="419" ht="13.5" customHeight="1" x14ac:dyDescent="0.3"/>
    <row r="420" ht="13.5" customHeight="1" x14ac:dyDescent="0.3"/>
    <row r="421" ht="13.5" customHeight="1" x14ac:dyDescent="0.3"/>
    <row r="422" ht="13.5" customHeight="1" x14ac:dyDescent="0.3"/>
    <row r="423" ht="13.5" customHeight="1" x14ac:dyDescent="0.3"/>
    <row r="424" ht="13.5" customHeight="1" x14ac:dyDescent="0.3"/>
    <row r="425" ht="13.5" customHeight="1" x14ac:dyDescent="0.3"/>
    <row r="426" ht="13.5" customHeight="1" x14ac:dyDescent="0.3"/>
    <row r="427" ht="13.5" customHeight="1" x14ac:dyDescent="0.3"/>
    <row r="428" ht="13.5" customHeight="1" x14ac:dyDescent="0.3"/>
    <row r="429" ht="13.5" customHeight="1" x14ac:dyDescent="0.3"/>
    <row r="430" ht="13.5" customHeight="1" x14ac:dyDescent="0.3"/>
    <row r="431" ht="13.5" customHeight="1" x14ac:dyDescent="0.3"/>
    <row r="432" ht="13.5" customHeight="1" x14ac:dyDescent="0.3"/>
    <row r="433" ht="13.5" customHeight="1" x14ac:dyDescent="0.3"/>
    <row r="434" ht="13.5" customHeight="1" x14ac:dyDescent="0.3"/>
    <row r="435" ht="13.5" customHeight="1" x14ac:dyDescent="0.3"/>
    <row r="436" ht="13.5" customHeight="1" x14ac:dyDescent="0.3"/>
    <row r="437" ht="13.5" customHeight="1" x14ac:dyDescent="0.3"/>
    <row r="438" ht="13.5" customHeight="1" x14ac:dyDescent="0.3"/>
    <row r="439" ht="13.5" customHeight="1" x14ac:dyDescent="0.3"/>
    <row r="440" ht="13.5" customHeight="1" x14ac:dyDescent="0.3"/>
    <row r="441" ht="13.5" customHeight="1" x14ac:dyDescent="0.3"/>
    <row r="442" ht="13.5" customHeight="1" x14ac:dyDescent="0.3"/>
    <row r="443" ht="13.5" customHeight="1" x14ac:dyDescent="0.3"/>
    <row r="444" ht="13.5" customHeight="1" x14ac:dyDescent="0.3"/>
    <row r="445" ht="13.5" customHeight="1" x14ac:dyDescent="0.3"/>
    <row r="446" ht="13.5" customHeight="1" x14ac:dyDescent="0.3"/>
    <row r="447" ht="13.5" customHeight="1" x14ac:dyDescent="0.3"/>
    <row r="448" ht="13.5" customHeight="1" x14ac:dyDescent="0.3"/>
    <row r="449" ht="13.5" customHeight="1" x14ac:dyDescent="0.3"/>
    <row r="450" ht="13.5" customHeight="1" x14ac:dyDescent="0.3"/>
    <row r="451" ht="13.5" customHeight="1" x14ac:dyDescent="0.3"/>
    <row r="452" ht="13.5" customHeight="1" x14ac:dyDescent="0.3"/>
    <row r="453" ht="13.5" customHeight="1" x14ac:dyDescent="0.3"/>
    <row r="454" ht="13.5" customHeight="1" x14ac:dyDescent="0.3"/>
    <row r="455" ht="13.5" customHeight="1" x14ac:dyDescent="0.3"/>
    <row r="456" ht="13.5" customHeight="1" x14ac:dyDescent="0.3"/>
    <row r="457" ht="13.5" customHeight="1" x14ac:dyDescent="0.3"/>
    <row r="458" ht="13.5" customHeight="1" x14ac:dyDescent="0.3"/>
    <row r="459" ht="13.5" customHeight="1" x14ac:dyDescent="0.3"/>
    <row r="460" ht="13.5" customHeight="1" x14ac:dyDescent="0.3"/>
    <row r="461" ht="13.5" customHeight="1" x14ac:dyDescent="0.3"/>
    <row r="462" ht="13.5" customHeight="1" x14ac:dyDescent="0.3"/>
    <row r="463" ht="13.5" customHeight="1" x14ac:dyDescent="0.3"/>
    <row r="464" ht="13.5" customHeight="1" x14ac:dyDescent="0.3"/>
    <row r="465" ht="13.5" customHeight="1" x14ac:dyDescent="0.3"/>
    <row r="466" ht="13.5" customHeight="1" x14ac:dyDescent="0.3"/>
    <row r="467" ht="13.5" customHeight="1" x14ac:dyDescent="0.3"/>
    <row r="468" ht="13.5" customHeight="1" x14ac:dyDescent="0.3"/>
    <row r="469" ht="13.5" customHeight="1" x14ac:dyDescent="0.3"/>
    <row r="470" ht="13.5" customHeight="1" x14ac:dyDescent="0.3"/>
    <row r="471" ht="13.5" customHeight="1" x14ac:dyDescent="0.3"/>
    <row r="472" ht="13.5" customHeight="1" x14ac:dyDescent="0.3"/>
    <row r="473" ht="13.5" customHeight="1" x14ac:dyDescent="0.3"/>
    <row r="474" ht="13.5" customHeight="1" x14ac:dyDescent="0.3"/>
    <row r="475" ht="13.5" customHeight="1" x14ac:dyDescent="0.3"/>
    <row r="476" ht="13.5" customHeight="1" x14ac:dyDescent="0.3"/>
    <row r="477" ht="13.5" customHeight="1" x14ac:dyDescent="0.3"/>
    <row r="478" ht="13.5" customHeight="1" x14ac:dyDescent="0.3"/>
    <row r="479" ht="13.5" customHeight="1" x14ac:dyDescent="0.3"/>
    <row r="480" ht="13.5" customHeight="1" x14ac:dyDescent="0.3"/>
    <row r="481" ht="13.5" customHeight="1" x14ac:dyDescent="0.3"/>
    <row r="482" ht="13.5" customHeight="1" x14ac:dyDescent="0.3"/>
    <row r="483" ht="13.5" customHeight="1" x14ac:dyDescent="0.3"/>
    <row r="484" ht="13.5" customHeight="1" x14ac:dyDescent="0.3"/>
    <row r="485" ht="13.5" customHeight="1" x14ac:dyDescent="0.3"/>
    <row r="486" ht="13.5" customHeight="1" x14ac:dyDescent="0.3"/>
    <row r="487" ht="13.5" customHeight="1" x14ac:dyDescent="0.3"/>
    <row r="488" ht="13.5" customHeight="1" x14ac:dyDescent="0.3"/>
    <row r="489" ht="13.5" customHeight="1" x14ac:dyDescent="0.3"/>
    <row r="490" ht="13.5" customHeight="1" x14ac:dyDescent="0.3"/>
    <row r="491" ht="13.5" customHeight="1" x14ac:dyDescent="0.3"/>
    <row r="492" ht="13.5" customHeight="1" x14ac:dyDescent="0.3"/>
    <row r="493" ht="13.5" customHeight="1" x14ac:dyDescent="0.3"/>
    <row r="494" ht="13.5" customHeight="1" x14ac:dyDescent="0.3"/>
    <row r="495" ht="13.5" customHeight="1" x14ac:dyDescent="0.3"/>
    <row r="496" ht="13.5" customHeight="1" x14ac:dyDescent="0.3"/>
    <row r="497" ht="13.5" customHeight="1" x14ac:dyDescent="0.3"/>
    <row r="498" ht="13.5" customHeight="1" x14ac:dyDescent="0.3"/>
    <row r="499" ht="13.5" customHeight="1" x14ac:dyDescent="0.3"/>
    <row r="500" ht="13.5" customHeight="1" x14ac:dyDescent="0.3"/>
    <row r="501" ht="13.5" customHeight="1" x14ac:dyDescent="0.3"/>
    <row r="502" ht="13.5" customHeight="1" x14ac:dyDescent="0.3"/>
    <row r="503" ht="13.5" customHeight="1" x14ac:dyDescent="0.3"/>
    <row r="504" ht="13.5" customHeight="1" x14ac:dyDescent="0.3"/>
    <row r="505" ht="13.5" customHeight="1" x14ac:dyDescent="0.3"/>
    <row r="506" ht="13.5" customHeight="1" x14ac:dyDescent="0.3"/>
    <row r="507" ht="13.5" customHeight="1" x14ac:dyDescent="0.3"/>
    <row r="508" ht="13.5" customHeight="1" x14ac:dyDescent="0.3"/>
    <row r="509" ht="13.5" customHeight="1" x14ac:dyDescent="0.3"/>
    <row r="510" ht="13.5" customHeight="1" x14ac:dyDescent="0.3"/>
    <row r="511" ht="13.5" customHeight="1" x14ac:dyDescent="0.3"/>
    <row r="512" ht="13.5" customHeight="1" x14ac:dyDescent="0.3"/>
    <row r="513" ht="13.5" customHeight="1" x14ac:dyDescent="0.3"/>
    <row r="514" ht="13.5" customHeight="1" x14ac:dyDescent="0.3"/>
    <row r="515" ht="13.5" customHeight="1" x14ac:dyDescent="0.3"/>
    <row r="516" ht="13.5" customHeight="1" x14ac:dyDescent="0.3"/>
    <row r="517" ht="13.5" customHeight="1" x14ac:dyDescent="0.3"/>
    <row r="518" ht="13.5" customHeight="1" x14ac:dyDescent="0.3"/>
    <row r="519" ht="13.5" customHeight="1" x14ac:dyDescent="0.3"/>
    <row r="520" ht="13.5" customHeight="1" x14ac:dyDescent="0.3"/>
    <row r="521" ht="13.5" customHeight="1" x14ac:dyDescent="0.3"/>
    <row r="522" ht="13.5" customHeight="1" x14ac:dyDescent="0.3"/>
    <row r="523" ht="13.5" customHeight="1" x14ac:dyDescent="0.3"/>
    <row r="524" ht="13.5" customHeight="1" x14ac:dyDescent="0.3"/>
    <row r="525" ht="13.5" customHeight="1" x14ac:dyDescent="0.3"/>
    <row r="526" ht="13.5" customHeight="1" x14ac:dyDescent="0.3"/>
    <row r="527" ht="13.5" customHeight="1" x14ac:dyDescent="0.3"/>
    <row r="528" ht="13.5" customHeight="1" x14ac:dyDescent="0.3"/>
    <row r="529" ht="13.5" customHeight="1" x14ac:dyDescent="0.3"/>
    <row r="530" ht="13.5" customHeight="1" x14ac:dyDescent="0.3"/>
    <row r="531" ht="13.5" customHeight="1" x14ac:dyDescent="0.3"/>
    <row r="532" ht="13.5" customHeight="1" x14ac:dyDescent="0.3"/>
    <row r="533" ht="13.5" customHeight="1" x14ac:dyDescent="0.3"/>
    <row r="534" ht="13.5" customHeight="1" x14ac:dyDescent="0.3"/>
    <row r="535" ht="13.5" customHeight="1" x14ac:dyDescent="0.3"/>
    <row r="536" ht="13.5" customHeight="1" x14ac:dyDescent="0.3"/>
    <row r="537" ht="13.5" customHeight="1" x14ac:dyDescent="0.3"/>
    <row r="538" ht="13.5" customHeight="1" x14ac:dyDescent="0.3"/>
    <row r="539" ht="13.5" customHeight="1" x14ac:dyDescent="0.3"/>
    <row r="540" ht="13.5" customHeight="1" x14ac:dyDescent="0.3"/>
    <row r="541" ht="13.5" customHeight="1" x14ac:dyDescent="0.3"/>
    <row r="542" ht="13.5" customHeight="1" x14ac:dyDescent="0.3"/>
    <row r="543" ht="13.5" customHeight="1" x14ac:dyDescent="0.3"/>
    <row r="544" ht="13.5" customHeight="1" x14ac:dyDescent="0.3"/>
    <row r="545" ht="13.5" customHeight="1" x14ac:dyDescent="0.3"/>
    <row r="546" ht="13.5" customHeight="1" x14ac:dyDescent="0.3"/>
    <row r="547" ht="13.5" customHeight="1" x14ac:dyDescent="0.3"/>
    <row r="548" ht="13.5" customHeight="1" x14ac:dyDescent="0.3"/>
    <row r="549" ht="13.5" customHeight="1" x14ac:dyDescent="0.3"/>
    <row r="550" ht="13.5" customHeight="1" x14ac:dyDescent="0.3"/>
    <row r="551" ht="13.5" customHeight="1" x14ac:dyDescent="0.3"/>
    <row r="552" ht="13.5" customHeight="1" x14ac:dyDescent="0.3"/>
    <row r="553" ht="13.5" customHeight="1" x14ac:dyDescent="0.3"/>
    <row r="554" ht="13.5" customHeight="1" x14ac:dyDescent="0.3"/>
    <row r="555" ht="13.5" customHeight="1" x14ac:dyDescent="0.3"/>
    <row r="556" ht="13.5" customHeight="1" x14ac:dyDescent="0.3"/>
    <row r="557" ht="13.5" customHeight="1" x14ac:dyDescent="0.3"/>
    <row r="558" ht="13.5" customHeight="1" x14ac:dyDescent="0.3"/>
    <row r="559" ht="13.5" customHeight="1" x14ac:dyDescent="0.3"/>
    <row r="560" ht="13.5" customHeight="1" x14ac:dyDescent="0.3"/>
    <row r="561" ht="13.5" customHeight="1" x14ac:dyDescent="0.3"/>
    <row r="562" ht="13.5" customHeight="1" x14ac:dyDescent="0.3"/>
    <row r="563" ht="13.5" customHeight="1" x14ac:dyDescent="0.3"/>
    <row r="564" ht="13.5" customHeight="1" x14ac:dyDescent="0.3"/>
    <row r="565" ht="13.5" customHeight="1" x14ac:dyDescent="0.3"/>
    <row r="566" ht="13.5" customHeight="1" x14ac:dyDescent="0.3"/>
    <row r="567" ht="13.5" customHeight="1" x14ac:dyDescent="0.3"/>
    <row r="568" ht="13.5" customHeight="1" x14ac:dyDescent="0.3"/>
    <row r="569" ht="13.5" customHeight="1" x14ac:dyDescent="0.3"/>
    <row r="570" ht="13.5" customHeight="1" x14ac:dyDescent="0.3"/>
    <row r="571" ht="13.5" customHeight="1" x14ac:dyDescent="0.3"/>
    <row r="572" ht="13.5" customHeight="1" x14ac:dyDescent="0.3"/>
    <row r="573" ht="13.5" customHeight="1" x14ac:dyDescent="0.3"/>
    <row r="574" ht="13.5" customHeight="1" x14ac:dyDescent="0.3"/>
    <row r="575" ht="13.5" customHeight="1" x14ac:dyDescent="0.3"/>
    <row r="576" ht="13.5" customHeight="1" x14ac:dyDescent="0.3"/>
    <row r="577" ht="13.5" customHeight="1" x14ac:dyDescent="0.3"/>
    <row r="578" ht="13.5" customHeight="1" x14ac:dyDescent="0.3"/>
    <row r="579" ht="13.5" customHeight="1" x14ac:dyDescent="0.3"/>
    <row r="580" ht="13.5" customHeight="1" x14ac:dyDescent="0.3"/>
    <row r="581" ht="13.5" customHeight="1" x14ac:dyDescent="0.3"/>
    <row r="582" ht="13.5" customHeight="1" x14ac:dyDescent="0.3"/>
    <row r="583" ht="13.5" customHeight="1" x14ac:dyDescent="0.3"/>
    <row r="584" ht="13.5" customHeight="1" x14ac:dyDescent="0.3"/>
    <row r="585" ht="13.5" customHeight="1" x14ac:dyDescent="0.3"/>
    <row r="586" ht="13.5" customHeight="1" x14ac:dyDescent="0.3"/>
    <row r="587" ht="13.5" customHeight="1" x14ac:dyDescent="0.3"/>
    <row r="588" ht="13.5" customHeight="1" x14ac:dyDescent="0.3"/>
    <row r="589" ht="13.5" customHeight="1" x14ac:dyDescent="0.3"/>
    <row r="590" ht="13.5" customHeight="1" x14ac:dyDescent="0.3"/>
    <row r="591" ht="13.5" customHeight="1" x14ac:dyDescent="0.3"/>
    <row r="592" ht="13.5" customHeight="1" x14ac:dyDescent="0.3"/>
    <row r="593" ht="13.5" customHeight="1" x14ac:dyDescent="0.3"/>
    <row r="594" ht="13.5" customHeight="1" x14ac:dyDescent="0.3"/>
    <row r="595" ht="13.5" customHeight="1" x14ac:dyDescent="0.3"/>
    <row r="596" ht="13.5" customHeight="1" x14ac:dyDescent="0.3"/>
    <row r="597" ht="13.5" customHeight="1" x14ac:dyDescent="0.3"/>
    <row r="598" ht="13.5" customHeight="1" x14ac:dyDescent="0.3"/>
    <row r="599" ht="13.5" customHeight="1" x14ac:dyDescent="0.3"/>
    <row r="600" ht="13.5" customHeight="1" x14ac:dyDescent="0.3"/>
    <row r="601" ht="13.5" customHeight="1" x14ac:dyDescent="0.3"/>
    <row r="602" ht="13.5" customHeight="1" x14ac:dyDescent="0.3"/>
    <row r="603" ht="13.5" customHeight="1" x14ac:dyDescent="0.3"/>
    <row r="604" ht="13.5" customHeight="1" x14ac:dyDescent="0.3"/>
    <row r="605" ht="13.5" customHeight="1" x14ac:dyDescent="0.3"/>
    <row r="606" ht="13.5" customHeight="1" x14ac:dyDescent="0.3"/>
    <row r="607" ht="13.5" customHeight="1" x14ac:dyDescent="0.3"/>
    <row r="608" ht="13.5" customHeight="1" x14ac:dyDescent="0.3"/>
    <row r="609" ht="13.5" customHeight="1" x14ac:dyDescent="0.3"/>
    <row r="610" ht="13.5" customHeight="1" x14ac:dyDescent="0.3"/>
    <row r="611" ht="13.5" customHeight="1" x14ac:dyDescent="0.3"/>
    <row r="612" ht="13.5" customHeight="1" x14ac:dyDescent="0.3"/>
    <row r="613" ht="13.5" customHeight="1" x14ac:dyDescent="0.3"/>
    <row r="614" ht="13.5" customHeight="1" x14ac:dyDescent="0.3"/>
    <row r="615" ht="13.5" customHeight="1" x14ac:dyDescent="0.3"/>
    <row r="616" ht="13.5" customHeight="1" x14ac:dyDescent="0.3"/>
    <row r="617" ht="13.5" customHeight="1" x14ac:dyDescent="0.3"/>
    <row r="618" ht="13.5" customHeight="1" x14ac:dyDescent="0.3"/>
    <row r="619" ht="13.5" customHeight="1" x14ac:dyDescent="0.3"/>
    <row r="620" ht="13.5" customHeight="1" x14ac:dyDescent="0.3"/>
    <row r="621" ht="13.5" customHeight="1" x14ac:dyDescent="0.3"/>
    <row r="622" ht="13.5" customHeight="1" x14ac:dyDescent="0.3"/>
    <row r="623" ht="13.5" customHeight="1" x14ac:dyDescent="0.3"/>
    <row r="624" ht="13.5" customHeight="1" x14ac:dyDescent="0.3"/>
    <row r="625" ht="13.5" customHeight="1" x14ac:dyDescent="0.3"/>
    <row r="626" ht="13.5" customHeight="1" x14ac:dyDescent="0.3"/>
    <row r="627" ht="13.5" customHeight="1" x14ac:dyDescent="0.3"/>
    <row r="628" ht="13.5" customHeight="1" x14ac:dyDescent="0.3"/>
    <row r="629" ht="13.5" customHeight="1" x14ac:dyDescent="0.3"/>
    <row r="630" ht="13.5" customHeight="1" x14ac:dyDescent="0.3"/>
    <row r="631" ht="13.5" customHeight="1" x14ac:dyDescent="0.3"/>
    <row r="632" ht="13.5" customHeight="1" x14ac:dyDescent="0.3"/>
    <row r="633" ht="13.5" customHeight="1" x14ac:dyDescent="0.3"/>
    <row r="634" ht="13.5" customHeight="1" x14ac:dyDescent="0.3"/>
    <row r="635" ht="13.5" customHeight="1" x14ac:dyDescent="0.3"/>
    <row r="636" ht="13.5" customHeight="1" x14ac:dyDescent="0.3"/>
    <row r="637" ht="13.5" customHeight="1" x14ac:dyDescent="0.3"/>
    <row r="638" ht="13.5" customHeight="1" x14ac:dyDescent="0.3"/>
    <row r="639" ht="13.5" customHeight="1" x14ac:dyDescent="0.3"/>
    <row r="640" ht="13.5" customHeight="1" x14ac:dyDescent="0.3"/>
    <row r="641" ht="13.5" customHeight="1" x14ac:dyDescent="0.3"/>
    <row r="642" ht="13.5" customHeight="1" x14ac:dyDescent="0.3"/>
    <row r="643" ht="13.5" customHeight="1" x14ac:dyDescent="0.3"/>
    <row r="644" ht="13.5" customHeight="1" x14ac:dyDescent="0.3"/>
    <row r="645" ht="13.5" customHeight="1" x14ac:dyDescent="0.3"/>
    <row r="646" ht="13.5" customHeight="1" x14ac:dyDescent="0.3"/>
    <row r="647" ht="13.5" customHeight="1" x14ac:dyDescent="0.3"/>
    <row r="648" ht="13.5" customHeight="1" x14ac:dyDescent="0.3"/>
    <row r="649" ht="13.5" customHeight="1" x14ac:dyDescent="0.3"/>
    <row r="650" ht="13.5" customHeight="1" x14ac:dyDescent="0.3"/>
    <row r="651" ht="13.5" customHeight="1" x14ac:dyDescent="0.3"/>
    <row r="652" ht="13.5" customHeight="1" x14ac:dyDescent="0.3"/>
    <row r="653" ht="13.5" customHeight="1" x14ac:dyDescent="0.3"/>
    <row r="654" ht="13.5" customHeight="1" x14ac:dyDescent="0.3"/>
    <row r="655" ht="13.5" customHeight="1" x14ac:dyDescent="0.3"/>
    <row r="656" ht="13.5" customHeight="1" x14ac:dyDescent="0.3"/>
    <row r="657" ht="13.5" customHeight="1" x14ac:dyDescent="0.3"/>
    <row r="658" ht="13.5" customHeight="1" x14ac:dyDescent="0.3"/>
    <row r="659" ht="13.5" customHeight="1" x14ac:dyDescent="0.3"/>
    <row r="660" ht="13.5" customHeight="1" x14ac:dyDescent="0.3"/>
    <row r="661" ht="13.5" customHeight="1" x14ac:dyDescent="0.3"/>
    <row r="662" ht="13.5" customHeight="1" x14ac:dyDescent="0.3"/>
    <row r="663" ht="13.5" customHeight="1" x14ac:dyDescent="0.3"/>
    <row r="664" ht="13.5" customHeight="1" x14ac:dyDescent="0.3"/>
    <row r="665" ht="13.5" customHeight="1" x14ac:dyDescent="0.3"/>
    <row r="666" ht="13.5" customHeight="1" x14ac:dyDescent="0.3"/>
    <row r="667" ht="13.5" customHeight="1" x14ac:dyDescent="0.3"/>
    <row r="668" ht="13.5" customHeight="1" x14ac:dyDescent="0.3"/>
    <row r="669" ht="13.5" customHeight="1" x14ac:dyDescent="0.3"/>
    <row r="670" ht="13.5" customHeight="1" x14ac:dyDescent="0.3"/>
    <row r="671" ht="13.5" customHeight="1" x14ac:dyDescent="0.3"/>
    <row r="672" ht="13.5" customHeight="1" x14ac:dyDescent="0.3"/>
    <row r="673" ht="13.5" customHeight="1" x14ac:dyDescent="0.3"/>
    <row r="674" ht="13.5" customHeight="1" x14ac:dyDescent="0.3"/>
    <row r="675" ht="13.5" customHeight="1" x14ac:dyDescent="0.3"/>
    <row r="676" ht="13.5" customHeight="1" x14ac:dyDescent="0.3"/>
    <row r="677" ht="13.5" customHeight="1" x14ac:dyDescent="0.3"/>
    <row r="678" ht="13.5" customHeight="1" x14ac:dyDescent="0.3"/>
    <row r="679" ht="13.5" customHeight="1" x14ac:dyDescent="0.3"/>
    <row r="680" ht="13.5" customHeight="1" x14ac:dyDescent="0.3"/>
    <row r="681" ht="13.5" customHeight="1" x14ac:dyDescent="0.3"/>
    <row r="682" ht="13.5" customHeight="1" x14ac:dyDescent="0.3"/>
    <row r="683" ht="13.5" customHeight="1" x14ac:dyDescent="0.3"/>
    <row r="684" ht="13.5" customHeight="1" x14ac:dyDescent="0.3"/>
    <row r="685" ht="13.5" customHeight="1" x14ac:dyDescent="0.3"/>
    <row r="686" ht="13.5" customHeight="1" x14ac:dyDescent="0.3"/>
    <row r="687" ht="13.5" customHeight="1" x14ac:dyDescent="0.3"/>
    <row r="688" ht="13.5" customHeight="1" x14ac:dyDescent="0.3"/>
    <row r="689" ht="13.5" customHeight="1" x14ac:dyDescent="0.3"/>
    <row r="690" ht="13.5" customHeight="1" x14ac:dyDescent="0.3"/>
    <row r="691" ht="13.5" customHeight="1" x14ac:dyDescent="0.3"/>
    <row r="692" ht="13.5" customHeight="1" x14ac:dyDescent="0.3"/>
    <row r="693" ht="13.5" customHeight="1" x14ac:dyDescent="0.3"/>
    <row r="694" ht="13.5" customHeight="1" x14ac:dyDescent="0.3"/>
    <row r="695" ht="13.5" customHeight="1" x14ac:dyDescent="0.3"/>
    <row r="696" ht="13.5" customHeight="1" x14ac:dyDescent="0.3"/>
    <row r="697" ht="13.5" customHeight="1" x14ac:dyDescent="0.3"/>
    <row r="698" ht="13.5" customHeight="1" x14ac:dyDescent="0.3"/>
    <row r="699" ht="13.5" customHeight="1" x14ac:dyDescent="0.3"/>
    <row r="700" ht="13.5" customHeight="1" x14ac:dyDescent="0.3"/>
    <row r="701" ht="13.5" customHeight="1" x14ac:dyDescent="0.3"/>
    <row r="702" ht="13.5" customHeight="1" x14ac:dyDescent="0.3"/>
    <row r="703" ht="13.5" customHeight="1" x14ac:dyDescent="0.3"/>
    <row r="704" ht="13.5" customHeight="1" x14ac:dyDescent="0.3"/>
    <row r="705" ht="13.5" customHeight="1" x14ac:dyDescent="0.3"/>
    <row r="706" ht="13.5" customHeight="1" x14ac:dyDescent="0.3"/>
    <row r="707" ht="13.5" customHeight="1" x14ac:dyDescent="0.3"/>
    <row r="708" ht="13.5" customHeight="1" x14ac:dyDescent="0.3"/>
    <row r="709" ht="13.5" customHeight="1" x14ac:dyDescent="0.3"/>
    <row r="710" ht="13.5" customHeight="1" x14ac:dyDescent="0.3"/>
    <row r="711" ht="13.5" customHeight="1" x14ac:dyDescent="0.3"/>
    <row r="712" ht="13.5" customHeight="1" x14ac:dyDescent="0.3"/>
    <row r="713" ht="13.5" customHeight="1" x14ac:dyDescent="0.3"/>
    <row r="714" ht="13.5" customHeight="1" x14ac:dyDescent="0.3"/>
    <row r="715" ht="13.5" customHeight="1" x14ac:dyDescent="0.3"/>
    <row r="716" ht="13.5" customHeight="1" x14ac:dyDescent="0.3"/>
    <row r="717" ht="13.5" customHeight="1" x14ac:dyDescent="0.3"/>
    <row r="718" ht="13.5" customHeight="1" x14ac:dyDescent="0.3"/>
    <row r="719" ht="13.5" customHeight="1" x14ac:dyDescent="0.3"/>
    <row r="720" ht="13.5" customHeight="1" x14ac:dyDescent="0.3"/>
    <row r="721" ht="13.5" customHeight="1" x14ac:dyDescent="0.3"/>
    <row r="722" ht="13.5" customHeight="1" x14ac:dyDescent="0.3"/>
    <row r="723" ht="13.5" customHeight="1" x14ac:dyDescent="0.3"/>
    <row r="724" ht="13.5" customHeight="1" x14ac:dyDescent="0.3"/>
    <row r="725" ht="13.5" customHeight="1" x14ac:dyDescent="0.3"/>
    <row r="726" ht="13.5" customHeight="1" x14ac:dyDescent="0.3"/>
    <row r="727" ht="13.5" customHeight="1" x14ac:dyDescent="0.3"/>
    <row r="728" ht="13.5" customHeight="1" x14ac:dyDescent="0.3"/>
    <row r="729" ht="13.5" customHeight="1" x14ac:dyDescent="0.3"/>
    <row r="730" ht="13.5" customHeight="1" x14ac:dyDescent="0.3"/>
    <row r="731" ht="13.5" customHeight="1" x14ac:dyDescent="0.3"/>
    <row r="732" ht="13.5" customHeight="1" x14ac:dyDescent="0.3"/>
    <row r="733" ht="13.5" customHeight="1" x14ac:dyDescent="0.3"/>
    <row r="734" ht="13.5" customHeight="1" x14ac:dyDescent="0.3"/>
    <row r="735" ht="13.5" customHeight="1" x14ac:dyDescent="0.3"/>
    <row r="736" ht="13.5" customHeight="1" x14ac:dyDescent="0.3"/>
    <row r="737" ht="13.5" customHeight="1" x14ac:dyDescent="0.3"/>
    <row r="738" ht="13.5" customHeight="1" x14ac:dyDescent="0.3"/>
    <row r="739" ht="13.5" customHeight="1" x14ac:dyDescent="0.3"/>
    <row r="740" ht="13.5" customHeight="1" x14ac:dyDescent="0.3"/>
    <row r="741" ht="13.5" customHeight="1" x14ac:dyDescent="0.3"/>
    <row r="742" ht="13.5" customHeight="1" x14ac:dyDescent="0.3"/>
    <row r="743" ht="13.5" customHeight="1" x14ac:dyDescent="0.3"/>
    <row r="744" ht="13.5" customHeight="1" x14ac:dyDescent="0.3"/>
    <row r="745" ht="13.5" customHeight="1" x14ac:dyDescent="0.3"/>
    <row r="746" ht="13.5" customHeight="1" x14ac:dyDescent="0.3"/>
    <row r="747" ht="13.5" customHeight="1" x14ac:dyDescent="0.3"/>
    <row r="748" ht="13.5" customHeight="1" x14ac:dyDescent="0.3"/>
    <row r="749" ht="13.5" customHeight="1" x14ac:dyDescent="0.3"/>
    <row r="750" ht="13.5" customHeight="1" x14ac:dyDescent="0.3"/>
    <row r="751" ht="13.5" customHeight="1" x14ac:dyDescent="0.3"/>
    <row r="752" ht="13.5" customHeight="1" x14ac:dyDescent="0.3"/>
    <row r="753" ht="13.5" customHeight="1" x14ac:dyDescent="0.3"/>
    <row r="754" ht="13.5" customHeight="1" x14ac:dyDescent="0.3"/>
    <row r="755" ht="13.5" customHeight="1" x14ac:dyDescent="0.3"/>
    <row r="756" ht="13.5" customHeight="1" x14ac:dyDescent="0.3"/>
    <row r="757" ht="13.5" customHeight="1" x14ac:dyDescent="0.3"/>
    <row r="758" ht="13.5" customHeight="1" x14ac:dyDescent="0.3"/>
    <row r="759" ht="13.5" customHeight="1" x14ac:dyDescent="0.3"/>
    <row r="760" ht="13.5" customHeight="1" x14ac:dyDescent="0.3"/>
    <row r="761" ht="13.5" customHeight="1" x14ac:dyDescent="0.3"/>
    <row r="762" ht="13.5" customHeight="1" x14ac:dyDescent="0.3"/>
    <row r="763" ht="13.5" customHeight="1" x14ac:dyDescent="0.3"/>
    <row r="764" ht="13.5" customHeight="1" x14ac:dyDescent="0.3"/>
    <row r="765" ht="13.5" customHeight="1" x14ac:dyDescent="0.3"/>
    <row r="766" ht="13.5" customHeight="1" x14ac:dyDescent="0.3"/>
    <row r="767" ht="13.5" customHeight="1" x14ac:dyDescent="0.3"/>
    <row r="768" ht="13.5" customHeight="1" x14ac:dyDescent="0.3"/>
    <row r="769" ht="13.5" customHeight="1" x14ac:dyDescent="0.3"/>
    <row r="770" ht="13.5" customHeight="1" x14ac:dyDescent="0.3"/>
    <row r="771" ht="13.5" customHeight="1" x14ac:dyDescent="0.3"/>
    <row r="772" ht="13.5" customHeight="1" x14ac:dyDescent="0.3"/>
    <row r="773" ht="13.5" customHeight="1" x14ac:dyDescent="0.3"/>
    <row r="774" ht="13.5" customHeight="1" x14ac:dyDescent="0.3"/>
    <row r="775" ht="13.5" customHeight="1" x14ac:dyDescent="0.3"/>
    <row r="776" ht="13.5" customHeight="1" x14ac:dyDescent="0.3"/>
    <row r="777" ht="13.5" customHeight="1" x14ac:dyDescent="0.3"/>
    <row r="778" ht="13.5" customHeight="1" x14ac:dyDescent="0.3"/>
    <row r="779" ht="13.5" customHeight="1" x14ac:dyDescent="0.3"/>
    <row r="780" ht="13.5" customHeight="1" x14ac:dyDescent="0.3"/>
    <row r="781" ht="13.5" customHeight="1" x14ac:dyDescent="0.3"/>
    <row r="782" ht="13.5" customHeight="1" x14ac:dyDescent="0.3"/>
    <row r="783" ht="13.5" customHeight="1" x14ac:dyDescent="0.3"/>
    <row r="784" ht="13.5" customHeight="1" x14ac:dyDescent="0.3"/>
    <row r="785" ht="13.5" customHeight="1" x14ac:dyDescent="0.3"/>
    <row r="786" ht="13.5" customHeight="1" x14ac:dyDescent="0.3"/>
    <row r="787" ht="13.5" customHeight="1" x14ac:dyDescent="0.3"/>
    <row r="788" ht="13.5" customHeight="1" x14ac:dyDescent="0.3"/>
    <row r="789" ht="13.5" customHeight="1" x14ac:dyDescent="0.3"/>
    <row r="790" ht="13.5" customHeight="1" x14ac:dyDescent="0.3"/>
    <row r="791" ht="13.5" customHeight="1" x14ac:dyDescent="0.3"/>
    <row r="792" ht="13.5" customHeight="1" x14ac:dyDescent="0.3"/>
    <row r="793" ht="13.5" customHeight="1" x14ac:dyDescent="0.3"/>
    <row r="794" ht="13.5" customHeight="1" x14ac:dyDescent="0.3"/>
    <row r="795" ht="13.5" customHeight="1" x14ac:dyDescent="0.3"/>
    <row r="796" ht="13.5" customHeight="1" x14ac:dyDescent="0.3"/>
    <row r="797" ht="13.5" customHeight="1" x14ac:dyDescent="0.3"/>
    <row r="798" ht="13.5" customHeight="1" x14ac:dyDescent="0.3"/>
    <row r="799" ht="13.5" customHeight="1" x14ac:dyDescent="0.3"/>
    <row r="800" ht="13.5" customHeight="1" x14ac:dyDescent="0.3"/>
    <row r="801" ht="13.5" customHeight="1" x14ac:dyDescent="0.3"/>
    <row r="802" ht="13.5" customHeight="1" x14ac:dyDescent="0.3"/>
    <row r="803" ht="13.5" customHeight="1" x14ac:dyDescent="0.3"/>
    <row r="804" ht="13.5" customHeight="1" x14ac:dyDescent="0.3"/>
    <row r="805" ht="13.5" customHeight="1" x14ac:dyDescent="0.3"/>
    <row r="806" ht="13.5" customHeight="1" x14ac:dyDescent="0.3"/>
    <row r="807" ht="13.5" customHeight="1" x14ac:dyDescent="0.3"/>
    <row r="808" ht="13.5" customHeight="1" x14ac:dyDescent="0.3"/>
    <row r="809" ht="13.5" customHeight="1" x14ac:dyDescent="0.3"/>
    <row r="810" ht="13.5" customHeight="1" x14ac:dyDescent="0.3"/>
    <row r="811" ht="13.5" customHeight="1" x14ac:dyDescent="0.3"/>
    <row r="812" ht="13.5" customHeight="1" x14ac:dyDescent="0.3"/>
    <row r="813" ht="13.5" customHeight="1" x14ac:dyDescent="0.3"/>
    <row r="814" ht="13.5" customHeight="1" x14ac:dyDescent="0.3"/>
    <row r="815" ht="13.5" customHeight="1" x14ac:dyDescent="0.3"/>
    <row r="816" ht="13.5" customHeight="1" x14ac:dyDescent="0.3"/>
    <row r="817" ht="13.5" customHeight="1" x14ac:dyDescent="0.3"/>
    <row r="818" ht="13.5" customHeight="1" x14ac:dyDescent="0.3"/>
    <row r="819" ht="13.5" customHeight="1" x14ac:dyDescent="0.3"/>
    <row r="820" ht="13.5" customHeight="1" x14ac:dyDescent="0.3"/>
    <row r="821" ht="13.5" customHeight="1" x14ac:dyDescent="0.3"/>
    <row r="822" ht="13.5" customHeight="1" x14ac:dyDescent="0.3"/>
    <row r="823" ht="13.5" customHeight="1" x14ac:dyDescent="0.3"/>
    <row r="824" ht="13.5" customHeight="1" x14ac:dyDescent="0.3"/>
    <row r="825" ht="13.5" customHeight="1" x14ac:dyDescent="0.3"/>
    <row r="826" ht="13.5" customHeight="1" x14ac:dyDescent="0.3"/>
    <row r="827" ht="13.5" customHeight="1" x14ac:dyDescent="0.3"/>
    <row r="828" ht="13.5" customHeight="1" x14ac:dyDescent="0.3"/>
    <row r="829" ht="13.5" customHeight="1" x14ac:dyDescent="0.3"/>
    <row r="830" ht="13.5" customHeight="1" x14ac:dyDescent="0.3"/>
    <row r="831" ht="13.5" customHeight="1" x14ac:dyDescent="0.3"/>
    <row r="832" ht="13.5" customHeight="1" x14ac:dyDescent="0.3"/>
    <row r="833" ht="13.5" customHeight="1" x14ac:dyDescent="0.3"/>
    <row r="834" ht="13.5" customHeight="1" x14ac:dyDescent="0.3"/>
    <row r="835" ht="13.5" customHeight="1" x14ac:dyDescent="0.3"/>
    <row r="836" ht="13.5" customHeight="1" x14ac:dyDescent="0.3"/>
    <row r="837" ht="13.5" customHeight="1" x14ac:dyDescent="0.3"/>
    <row r="838" ht="13.5" customHeight="1" x14ac:dyDescent="0.3"/>
    <row r="839" ht="13.5" customHeight="1" x14ac:dyDescent="0.3"/>
    <row r="840" ht="13.5" customHeight="1" x14ac:dyDescent="0.3"/>
    <row r="841" ht="13.5" customHeight="1" x14ac:dyDescent="0.3"/>
    <row r="842" ht="13.5" customHeight="1" x14ac:dyDescent="0.3"/>
    <row r="843" ht="13.5" customHeight="1" x14ac:dyDescent="0.3"/>
    <row r="844" ht="13.5" customHeight="1" x14ac:dyDescent="0.3"/>
    <row r="845" ht="13.5" customHeight="1" x14ac:dyDescent="0.3"/>
    <row r="846" ht="13.5" customHeight="1" x14ac:dyDescent="0.3"/>
    <row r="847" ht="13.5" customHeight="1" x14ac:dyDescent="0.3"/>
    <row r="848" ht="13.5" customHeight="1" x14ac:dyDescent="0.3"/>
    <row r="849" ht="13.5" customHeight="1" x14ac:dyDescent="0.3"/>
    <row r="850" ht="13.5" customHeight="1" x14ac:dyDescent="0.3"/>
    <row r="851" ht="13.5" customHeight="1" x14ac:dyDescent="0.3"/>
    <row r="852" ht="13.5" customHeight="1" x14ac:dyDescent="0.3"/>
    <row r="853" ht="13.5" customHeight="1" x14ac:dyDescent="0.3"/>
    <row r="854" ht="13.5" customHeight="1" x14ac:dyDescent="0.3"/>
    <row r="855" ht="13.5" customHeight="1" x14ac:dyDescent="0.3"/>
    <row r="856" ht="13.5" customHeight="1" x14ac:dyDescent="0.3"/>
    <row r="857" ht="13.5" customHeight="1" x14ac:dyDescent="0.3"/>
    <row r="858" ht="13.5" customHeight="1" x14ac:dyDescent="0.3"/>
    <row r="859" ht="13.5" customHeight="1" x14ac:dyDescent="0.3"/>
    <row r="860" ht="13.5" customHeight="1" x14ac:dyDescent="0.3"/>
    <row r="861" ht="13.5" customHeight="1" x14ac:dyDescent="0.3"/>
    <row r="862" ht="13.5" customHeight="1" x14ac:dyDescent="0.3"/>
    <row r="863" ht="13.5" customHeight="1" x14ac:dyDescent="0.3"/>
    <row r="864" ht="13.5" customHeight="1" x14ac:dyDescent="0.3"/>
    <row r="865" ht="13.5" customHeight="1" x14ac:dyDescent="0.3"/>
    <row r="866" ht="13.5" customHeight="1" x14ac:dyDescent="0.3"/>
    <row r="867" ht="13.5" customHeight="1" x14ac:dyDescent="0.3"/>
    <row r="868" ht="13.5" customHeight="1" x14ac:dyDescent="0.3"/>
    <row r="869" ht="13.5" customHeight="1" x14ac:dyDescent="0.3"/>
    <row r="870" ht="13.5" customHeight="1" x14ac:dyDescent="0.3"/>
    <row r="871" ht="13.5" customHeight="1" x14ac:dyDescent="0.3"/>
    <row r="872" ht="13.5" customHeight="1" x14ac:dyDescent="0.3"/>
    <row r="873" ht="13.5" customHeight="1" x14ac:dyDescent="0.3"/>
    <row r="874" ht="13.5" customHeight="1" x14ac:dyDescent="0.3"/>
    <row r="875" ht="13.5" customHeight="1" x14ac:dyDescent="0.3"/>
    <row r="876" ht="13.5" customHeight="1" x14ac:dyDescent="0.3"/>
    <row r="877" ht="13.5" customHeight="1" x14ac:dyDescent="0.3"/>
    <row r="878" ht="13.5" customHeight="1" x14ac:dyDescent="0.3"/>
    <row r="879" ht="13.5" customHeight="1" x14ac:dyDescent="0.3"/>
    <row r="880" ht="13.5" customHeight="1" x14ac:dyDescent="0.3"/>
    <row r="881" ht="13.5" customHeight="1" x14ac:dyDescent="0.3"/>
    <row r="882" ht="13.5" customHeight="1" x14ac:dyDescent="0.3"/>
    <row r="883" ht="13.5" customHeight="1" x14ac:dyDescent="0.3"/>
    <row r="884" ht="13.5" customHeight="1" x14ac:dyDescent="0.3"/>
    <row r="885" ht="13.5" customHeight="1" x14ac:dyDescent="0.3"/>
    <row r="886" ht="13.5" customHeight="1" x14ac:dyDescent="0.3"/>
    <row r="887" ht="13.5" customHeight="1" x14ac:dyDescent="0.3"/>
    <row r="888" ht="13.5" customHeight="1" x14ac:dyDescent="0.3"/>
    <row r="889" ht="13.5" customHeight="1" x14ac:dyDescent="0.3"/>
    <row r="890" ht="13.5" customHeight="1" x14ac:dyDescent="0.3"/>
    <row r="891" ht="13.5" customHeight="1" x14ac:dyDescent="0.3"/>
    <row r="892" ht="13.5" customHeight="1" x14ac:dyDescent="0.3"/>
    <row r="893" ht="13.5" customHeight="1" x14ac:dyDescent="0.3"/>
    <row r="894" ht="13.5" customHeight="1" x14ac:dyDescent="0.3"/>
    <row r="895" ht="13.5" customHeight="1" x14ac:dyDescent="0.3"/>
    <row r="896" ht="13.5" customHeight="1" x14ac:dyDescent="0.3"/>
    <row r="897" ht="13.5" customHeight="1" x14ac:dyDescent="0.3"/>
    <row r="898" ht="13.5" customHeight="1" x14ac:dyDescent="0.3"/>
    <row r="899" ht="13.5" customHeight="1" x14ac:dyDescent="0.3"/>
    <row r="900" ht="13.5" customHeight="1" x14ac:dyDescent="0.3"/>
    <row r="901" ht="13.5" customHeight="1" x14ac:dyDescent="0.3"/>
    <row r="902" ht="13.5" customHeight="1" x14ac:dyDescent="0.3"/>
    <row r="903" ht="13.5" customHeight="1" x14ac:dyDescent="0.3"/>
    <row r="904" ht="13.5" customHeight="1" x14ac:dyDescent="0.3"/>
    <row r="905" ht="13.5" customHeight="1" x14ac:dyDescent="0.3"/>
    <row r="906" ht="13.5" customHeight="1" x14ac:dyDescent="0.3"/>
    <row r="907" ht="13.5" customHeight="1" x14ac:dyDescent="0.3"/>
    <row r="908" ht="13.5" customHeight="1" x14ac:dyDescent="0.3"/>
    <row r="909" ht="13.5" customHeight="1" x14ac:dyDescent="0.3"/>
    <row r="910" ht="13.5" customHeight="1" x14ac:dyDescent="0.3"/>
    <row r="911" ht="13.5" customHeight="1" x14ac:dyDescent="0.3"/>
    <row r="912" ht="13.5" customHeight="1" x14ac:dyDescent="0.3"/>
    <row r="913" ht="13.5" customHeight="1" x14ac:dyDescent="0.3"/>
    <row r="914" ht="13.5" customHeight="1" x14ac:dyDescent="0.3"/>
    <row r="915" ht="13.5" customHeight="1" x14ac:dyDescent="0.3"/>
    <row r="916" ht="13.5" customHeight="1" x14ac:dyDescent="0.3"/>
    <row r="917" ht="13.5" customHeight="1" x14ac:dyDescent="0.3"/>
    <row r="918" ht="13.5" customHeight="1" x14ac:dyDescent="0.3"/>
    <row r="919" ht="13.5" customHeight="1" x14ac:dyDescent="0.3"/>
    <row r="920" ht="13.5" customHeight="1" x14ac:dyDescent="0.3"/>
    <row r="921" ht="13.5" customHeight="1" x14ac:dyDescent="0.3"/>
    <row r="922" ht="13.5" customHeight="1" x14ac:dyDescent="0.3"/>
    <row r="923" ht="13.5" customHeight="1" x14ac:dyDescent="0.3"/>
    <row r="924" ht="13.5" customHeight="1" x14ac:dyDescent="0.3"/>
    <row r="925" ht="13.5" customHeight="1" x14ac:dyDescent="0.3"/>
    <row r="926" ht="13.5" customHeight="1" x14ac:dyDescent="0.3"/>
    <row r="927" ht="13.5" customHeight="1" x14ac:dyDescent="0.3"/>
    <row r="928" ht="13.5" customHeight="1" x14ac:dyDescent="0.3"/>
    <row r="929" ht="13.5" customHeight="1" x14ac:dyDescent="0.3"/>
    <row r="930" ht="13.5" customHeight="1" x14ac:dyDescent="0.3"/>
    <row r="931" ht="13.5" customHeight="1" x14ac:dyDescent="0.3"/>
    <row r="932" ht="13.5" customHeight="1" x14ac:dyDescent="0.3"/>
    <row r="933" ht="13.5" customHeight="1" x14ac:dyDescent="0.3"/>
    <row r="934" ht="13.5" customHeight="1" x14ac:dyDescent="0.3"/>
    <row r="935" ht="13.5" customHeight="1" x14ac:dyDescent="0.3"/>
    <row r="936" ht="13.5" customHeight="1" x14ac:dyDescent="0.3"/>
    <row r="937" ht="13.5" customHeight="1" x14ac:dyDescent="0.3"/>
    <row r="938" ht="13.5" customHeight="1" x14ac:dyDescent="0.3"/>
    <row r="939" ht="13.5" customHeight="1" x14ac:dyDescent="0.3"/>
    <row r="940" ht="13.5" customHeight="1" x14ac:dyDescent="0.3"/>
    <row r="941" ht="13.5" customHeight="1" x14ac:dyDescent="0.3"/>
    <row r="942" ht="13.5" customHeight="1" x14ac:dyDescent="0.3"/>
    <row r="943" ht="13.5" customHeight="1" x14ac:dyDescent="0.3"/>
    <row r="944" ht="13.5" customHeight="1" x14ac:dyDescent="0.3"/>
    <row r="945" ht="13.5" customHeight="1" x14ac:dyDescent="0.3"/>
    <row r="946" ht="13.5" customHeight="1" x14ac:dyDescent="0.3"/>
    <row r="947" ht="13.5" customHeight="1" x14ac:dyDescent="0.3"/>
    <row r="948" ht="13.5" customHeight="1" x14ac:dyDescent="0.3"/>
    <row r="949" ht="13.5" customHeight="1" x14ac:dyDescent="0.3"/>
    <row r="950" ht="13.5" customHeight="1" x14ac:dyDescent="0.3"/>
    <row r="951" ht="13.5" customHeight="1" x14ac:dyDescent="0.3"/>
    <row r="952" ht="13.5" customHeight="1" x14ac:dyDescent="0.3"/>
    <row r="953" ht="13.5" customHeight="1" x14ac:dyDescent="0.3"/>
    <row r="954" ht="13.5" customHeight="1" x14ac:dyDescent="0.3"/>
    <row r="955" ht="13.5" customHeight="1" x14ac:dyDescent="0.3"/>
    <row r="956" ht="13.5" customHeight="1" x14ac:dyDescent="0.3"/>
    <row r="957" ht="13.5" customHeight="1" x14ac:dyDescent="0.3"/>
    <row r="958" ht="13.5" customHeight="1" x14ac:dyDescent="0.3"/>
    <row r="959" ht="13.5" customHeight="1" x14ac:dyDescent="0.3"/>
    <row r="960" ht="13.5" customHeight="1" x14ac:dyDescent="0.3"/>
    <row r="961" ht="13.5" customHeight="1" x14ac:dyDescent="0.3"/>
    <row r="962" ht="13.5" customHeight="1" x14ac:dyDescent="0.3"/>
    <row r="963" ht="13.5" customHeight="1" x14ac:dyDescent="0.3"/>
    <row r="964" ht="13.5" customHeight="1" x14ac:dyDescent="0.3"/>
    <row r="965" ht="13.5" customHeight="1" x14ac:dyDescent="0.3"/>
    <row r="966" ht="13.5" customHeight="1" x14ac:dyDescent="0.3"/>
    <row r="967" ht="13.5" customHeight="1" x14ac:dyDescent="0.3"/>
  </sheetData>
  <mergeCells count="23">
    <mergeCell ref="AE3:AF3"/>
    <mergeCell ref="X4:X5"/>
    <mergeCell ref="V4:V5"/>
    <mergeCell ref="W4:W5"/>
    <mergeCell ref="V3:X3"/>
    <mergeCell ref="AA3:AC3"/>
    <mergeCell ref="AA4:AA5"/>
    <mergeCell ref="AB4:AB5"/>
    <mergeCell ref="AC4:AC5"/>
    <mergeCell ref="Y3:Y5"/>
    <mergeCell ref="A3:A5"/>
    <mergeCell ref="B3:E4"/>
    <mergeCell ref="J3:P3"/>
    <mergeCell ref="Q3:T3"/>
    <mergeCell ref="Q4:Q5"/>
    <mergeCell ref="R4:R5"/>
    <mergeCell ref="S4:S5"/>
    <mergeCell ref="T4:T5"/>
    <mergeCell ref="F3:I4"/>
    <mergeCell ref="J4:K4"/>
    <mergeCell ref="L4:M4"/>
    <mergeCell ref="N4:O4"/>
    <mergeCell ref="P4:P5"/>
  </mergeCells>
  <pageMargins left="0.511811024" right="0.511811024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workbookViewId="0">
      <selection activeCell="F22" sqref="F22"/>
    </sheetView>
  </sheetViews>
  <sheetFormatPr defaultColWidth="14.44140625" defaultRowHeight="15" customHeight="1" x14ac:dyDescent="0.3"/>
  <cols>
    <col min="1" max="1" width="30.88671875" customWidth="1"/>
    <col min="2" max="2" width="7" bestFit="1" customWidth="1"/>
    <col min="3" max="3" width="16.6640625" customWidth="1"/>
    <col min="4" max="4" width="8.6640625" customWidth="1"/>
    <col min="5" max="5" width="15.6640625" customWidth="1"/>
    <col min="6" max="6" width="18.6640625" customWidth="1"/>
    <col min="7" max="9" width="8.6640625" customWidth="1"/>
    <col min="10" max="11" width="21.6640625" customWidth="1"/>
    <col min="12" max="26" width="8.6640625" customWidth="1"/>
  </cols>
  <sheetData>
    <row r="1" spans="1:14" ht="13.5" customHeight="1" x14ac:dyDescent="0.3"/>
    <row r="2" spans="1:14" ht="13.5" customHeight="1" x14ac:dyDescent="0.3">
      <c r="A2" s="97" t="s">
        <v>93</v>
      </c>
    </row>
    <row r="3" spans="1:14" ht="13.5" customHeight="1" x14ac:dyDescent="0.3">
      <c r="A3" s="31" t="s">
        <v>90</v>
      </c>
      <c r="B3" s="98">
        <f>BDI!E6</f>
        <v>0.23093251500561246</v>
      </c>
      <c r="C3" s="34" t="s">
        <v>94</v>
      </c>
      <c r="E3" s="99"/>
      <c r="F3" s="100"/>
      <c r="G3" s="101" t="s">
        <v>57</v>
      </c>
      <c r="K3" s="102" t="s">
        <v>95</v>
      </c>
      <c r="L3" s="103"/>
    </row>
    <row r="4" spans="1:14" ht="13.5" customHeight="1" x14ac:dyDescent="0.3">
      <c r="A4" s="31" t="s">
        <v>96</v>
      </c>
      <c r="B4" s="98">
        <f>BDI!H13</f>
        <v>4.8901519681233428E-2</v>
      </c>
      <c r="E4" s="104" t="s">
        <v>97</v>
      </c>
      <c r="F4" s="105">
        <f>FC!AC68</f>
        <v>111489801.61480089</v>
      </c>
      <c r="G4" s="106">
        <f>BDI!B16</f>
        <v>0.2</v>
      </c>
      <c r="K4" s="107" t="s">
        <v>98</v>
      </c>
      <c r="L4" s="108" t="s">
        <v>99</v>
      </c>
    </row>
    <row r="5" spans="1:14" ht="13.5" customHeight="1" x14ac:dyDescent="0.3">
      <c r="A5" s="31" t="s">
        <v>38</v>
      </c>
      <c r="B5" s="98">
        <f>BDI!B18</f>
        <v>0.3762015196812335</v>
      </c>
      <c r="E5" s="109" t="s">
        <v>100</v>
      </c>
      <c r="F5" s="110">
        <f>F4-DADOS!C27</f>
        <v>106904140.61880088</v>
      </c>
      <c r="G5" s="111"/>
      <c r="K5" s="112">
        <f>DADOS!I19-ANÁLISES!F14</f>
        <v>229517712.71736524</v>
      </c>
      <c r="L5" s="113">
        <f>K5/DADOS!H19</f>
        <v>0.43101917881195351</v>
      </c>
    </row>
    <row r="6" spans="1:14" ht="13.5" customHeight="1" x14ac:dyDescent="0.3">
      <c r="A6" s="164" t="s">
        <v>143</v>
      </c>
      <c r="B6" s="98">
        <f>BDI!B18-BDI!B16</f>
        <v>0.17620151968123349</v>
      </c>
      <c r="E6" s="109" t="s">
        <v>97</v>
      </c>
      <c r="F6" s="114">
        <v>2541445760.5188532</v>
      </c>
      <c r="G6" s="115">
        <v>0.3</v>
      </c>
    </row>
    <row r="7" spans="1:14" ht="13.5" customHeight="1" x14ac:dyDescent="0.3">
      <c r="A7" s="31" t="s">
        <v>101</v>
      </c>
      <c r="B7" s="98">
        <f>(1+B12)/(1+B14)-1</f>
        <v>9.027911453320514E-2</v>
      </c>
      <c r="C7" s="150" t="s">
        <v>146</v>
      </c>
      <c r="E7" s="109" t="s">
        <v>100</v>
      </c>
      <c r="F7" s="116">
        <v>2461795074.823451</v>
      </c>
      <c r="G7" s="111"/>
      <c r="J7" s="117" t="s">
        <v>102</v>
      </c>
      <c r="K7" s="118">
        <f>DADOS!H19</f>
        <v>532500000</v>
      </c>
    </row>
    <row r="8" spans="1:14" ht="13.5" customHeight="1" x14ac:dyDescent="0.3">
      <c r="A8" s="31" t="s">
        <v>103</v>
      </c>
      <c r="B8" s="98">
        <f>(1+B7)^(1/12)-1</f>
        <v>7.2288136229410327E-3</v>
      </c>
      <c r="C8" s="150" t="s">
        <v>145</v>
      </c>
      <c r="E8" s="109" t="s">
        <v>97</v>
      </c>
      <c r="F8" s="114">
        <v>2965491326.7749357</v>
      </c>
      <c r="G8" s="115">
        <v>0.22</v>
      </c>
      <c r="J8" s="117" t="s">
        <v>21</v>
      </c>
      <c r="K8" s="119">
        <f>DADOS!G19</f>
        <v>141783049.79999998</v>
      </c>
      <c r="L8" s="60">
        <f t="shared" ref="L8:L10" si="0">K8/$K$7</f>
        <v>0.2662592484507042</v>
      </c>
    </row>
    <row r="9" spans="1:14" ht="13.5" customHeight="1" x14ac:dyDescent="0.3">
      <c r="E9" s="120" t="s">
        <v>100</v>
      </c>
      <c r="F9" s="121">
        <v>2875016979.9786825</v>
      </c>
      <c r="G9" s="122"/>
      <c r="J9" s="117" t="s">
        <v>104</v>
      </c>
      <c r="K9" s="119">
        <f>ANÁLISES!F14</f>
        <v>161199237.48263481</v>
      </c>
      <c r="L9" s="60">
        <f t="shared" si="0"/>
        <v>0.30272157273734235</v>
      </c>
      <c r="N9" s="60">
        <f>K9/(K9+K10)</f>
        <v>0.41257293137684509</v>
      </c>
    </row>
    <row r="10" spans="1:14" ht="13.5" customHeight="1" x14ac:dyDescent="0.3">
      <c r="A10" s="34"/>
      <c r="J10" s="117" t="s">
        <v>105</v>
      </c>
      <c r="K10" s="118">
        <f>K7-K8-K9</f>
        <v>229517712.71736524</v>
      </c>
      <c r="L10" s="60">
        <f t="shared" si="0"/>
        <v>0.43101917881195351</v>
      </c>
      <c r="N10" s="60">
        <f>K10/(K9+K10)</f>
        <v>0.58742706862315497</v>
      </c>
    </row>
    <row r="11" spans="1:14" ht="13.5" customHeight="1" thickBot="1" x14ac:dyDescent="0.35">
      <c r="A11" s="97" t="s">
        <v>106</v>
      </c>
      <c r="E11" s="123"/>
      <c r="J11" s="117" t="s">
        <v>107</v>
      </c>
      <c r="K11" s="124">
        <f>K10/K7</f>
        <v>0.43101917881195351</v>
      </c>
    </row>
    <row r="12" spans="1:14" ht="13.5" customHeight="1" thickBot="1" x14ac:dyDescent="0.35">
      <c r="A12" s="53" t="s">
        <v>108</v>
      </c>
      <c r="B12" s="125">
        <v>0.1328</v>
      </c>
      <c r="C12" s="163">
        <v>45870</v>
      </c>
      <c r="E12" s="155"/>
      <c r="F12" s="156"/>
      <c r="G12" s="157" t="s">
        <v>109</v>
      </c>
      <c r="J12" s="117" t="s">
        <v>110</v>
      </c>
      <c r="K12" s="124">
        <f>K10/(K8+K9)</f>
        <v>0.75752848384586036</v>
      </c>
    </row>
    <row r="13" spans="1:14" ht="13.5" customHeight="1" x14ac:dyDescent="0.3">
      <c r="A13" s="53" t="s">
        <v>111</v>
      </c>
      <c r="B13" s="126">
        <f>(1+B12)^(1/12)-1</f>
        <v>1.0445211301179702E-2</v>
      </c>
      <c r="E13" s="158" t="s">
        <v>97</v>
      </c>
      <c r="F13" s="105">
        <f>FC!X68</f>
        <v>165784898.4786348</v>
      </c>
      <c r="G13" s="159">
        <f>B18</f>
        <v>0.35</v>
      </c>
      <c r="J13" s="117" t="s">
        <v>112</v>
      </c>
      <c r="K13" s="119">
        <f>(K8+K9)/DADOS!B5</f>
        <v>142.24520529701164</v>
      </c>
    </row>
    <row r="14" spans="1:14" ht="13.5" customHeight="1" thickBot="1" x14ac:dyDescent="0.35">
      <c r="A14" s="53" t="s">
        <v>113</v>
      </c>
      <c r="B14" s="125">
        <v>3.9E-2</v>
      </c>
      <c r="C14" s="163">
        <v>45870</v>
      </c>
      <c r="E14" s="160" t="s">
        <v>100</v>
      </c>
      <c r="F14" s="161">
        <f>F13-DADOS!C27</f>
        <v>161199237.48263481</v>
      </c>
      <c r="G14" s="162">
        <f>F14/DADOS!B5</f>
        <v>75.6803931843356</v>
      </c>
      <c r="J14" s="117" t="s">
        <v>114</v>
      </c>
      <c r="K14" s="119">
        <f>K10/DADOS!B5</f>
        <v>107.75479470298838</v>
      </c>
    </row>
    <row r="15" spans="1:14" ht="13.5" customHeight="1" x14ac:dyDescent="0.3">
      <c r="A15" s="53" t="s">
        <v>115</v>
      </c>
      <c r="B15" s="126">
        <f>(1+B14)^(1/12)-1</f>
        <v>3.1933138078821255E-3</v>
      </c>
    </row>
    <row r="16" spans="1:14" ht="13.5" customHeight="1" x14ac:dyDescent="0.3">
      <c r="A16" s="53" t="s">
        <v>127</v>
      </c>
      <c r="B16" s="139">
        <f>(1+B12)/(1+B14)-1</f>
        <v>9.027911453320514E-2</v>
      </c>
      <c r="J16" s="127" t="s">
        <v>117</v>
      </c>
      <c r="K16" s="128">
        <f>FC!AF67</f>
        <v>1.104925521703426E-2</v>
      </c>
    </row>
    <row r="17" spans="1:11" ht="13.5" customHeight="1" x14ac:dyDescent="0.3">
      <c r="A17" s="53" t="s">
        <v>128</v>
      </c>
      <c r="B17" s="139">
        <f>(1+B13)/(1+B15)-1</f>
        <v>7.2288136229408106E-3</v>
      </c>
      <c r="F17" s="181"/>
      <c r="J17" s="127" t="s">
        <v>119</v>
      </c>
      <c r="K17" s="129">
        <f>FC!A18</f>
        <v>12</v>
      </c>
    </row>
    <row r="18" spans="1:11" ht="13.5" customHeight="1" thickBot="1" x14ac:dyDescent="0.35">
      <c r="A18" s="53" t="s">
        <v>116</v>
      </c>
      <c r="B18" s="32">
        <v>0.35</v>
      </c>
      <c r="C18" s="42"/>
      <c r="F18" s="161">
        <v>161000000</v>
      </c>
    </row>
    <row r="19" spans="1:11" ht="13.5" customHeight="1" x14ac:dyDescent="0.3">
      <c r="A19" s="53" t="s">
        <v>118</v>
      </c>
      <c r="B19" s="126">
        <f>(1+B12)*(1+B12*B18)-1</f>
        <v>0.18545254400000011</v>
      </c>
    </row>
    <row r="20" spans="1:11" ht="13.5" customHeight="1" x14ac:dyDescent="0.3">
      <c r="A20" s="53" t="s">
        <v>120</v>
      </c>
      <c r="B20" s="98">
        <f>(1+B19)/(1+B14)-1</f>
        <v>0.14095528777670863</v>
      </c>
      <c r="F20" s="224">
        <f>F18/F14-1</f>
        <v>-1.2359703789310839E-3</v>
      </c>
    </row>
    <row r="21" spans="1:11" ht="13.5" customHeight="1" x14ac:dyDescent="0.3">
      <c r="A21" s="53" t="s">
        <v>121</v>
      </c>
      <c r="B21" s="126">
        <f>(1+B20)^(1/12)-1</f>
        <v>1.1049422492014793E-2</v>
      </c>
      <c r="F21" s="139"/>
    </row>
    <row r="22" spans="1:11" ht="13.5" customHeight="1" thickBot="1" x14ac:dyDescent="0.35">
      <c r="A22" s="53"/>
      <c r="B22" s="130"/>
      <c r="F22" s="161"/>
    </row>
    <row r="23" spans="1:11" ht="13.5" customHeight="1" x14ac:dyDescent="0.3"/>
    <row r="24" spans="1:11" ht="13.5" customHeight="1" x14ac:dyDescent="0.3"/>
    <row r="25" spans="1:11" ht="13.5" customHeight="1" x14ac:dyDescent="0.3"/>
    <row r="26" spans="1:11" ht="13.5" customHeight="1" x14ac:dyDescent="0.3"/>
    <row r="27" spans="1:11" ht="13.5" customHeight="1" x14ac:dyDescent="0.3"/>
    <row r="28" spans="1:11" ht="13.5" customHeight="1" x14ac:dyDescent="0.3"/>
    <row r="29" spans="1:11" ht="13.5" customHeight="1" x14ac:dyDescent="0.3"/>
    <row r="30" spans="1:11" ht="13.5" customHeight="1" x14ac:dyDescent="0.3"/>
    <row r="31" spans="1:11" ht="13.5" customHeight="1" x14ac:dyDescent="0.3"/>
    <row r="32" spans="1:11" ht="13.5" customHeight="1" x14ac:dyDescent="0.3"/>
    <row r="33" ht="13.5" customHeight="1" x14ac:dyDescent="0.3"/>
    <row r="34" ht="13.5" customHeight="1" x14ac:dyDescent="0.3"/>
    <row r="35" ht="13.5" customHeight="1" x14ac:dyDescent="0.3"/>
    <row r="36" ht="13.5" customHeight="1" x14ac:dyDescent="0.3"/>
    <row r="37" ht="13.5" customHeight="1" x14ac:dyDescent="0.3"/>
    <row r="38" ht="13.5" customHeight="1" x14ac:dyDescent="0.3"/>
    <row r="39" ht="13.5" customHeight="1" x14ac:dyDescent="0.3"/>
    <row r="40" ht="13.5" customHeight="1" x14ac:dyDescent="0.3"/>
    <row r="41" ht="13.5" customHeight="1" x14ac:dyDescent="0.3"/>
    <row r="42" ht="13.5" customHeight="1" x14ac:dyDescent="0.3"/>
    <row r="43" ht="13.5" customHeight="1" x14ac:dyDescent="0.3"/>
    <row r="44" ht="13.5" customHeight="1" x14ac:dyDescent="0.3"/>
    <row r="45" ht="13.5" customHeight="1" x14ac:dyDescent="0.3"/>
    <row r="46" ht="13.5" customHeight="1" x14ac:dyDescent="0.3"/>
    <row r="47" ht="13.5" customHeight="1" x14ac:dyDescent="0.3"/>
    <row r="48" ht="13.5" customHeight="1" x14ac:dyDescent="0.3"/>
    <row r="49" ht="13.5" customHeight="1" x14ac:dyDescent="0.3"/>
    <row r="50" ht="13.5" customHeight="1" x14ac:dyDescent="0.3"/>
    <row r="51" ht="13.5" customHeight="1" x14ac:dyDescent="0.3"/>
    <row r="52" ht="13.5" customHeight="1" x14ac:dyDescent="0.3"/>
    <row r="53" ht="13.5" customHeight="1" x14ac:dyDescent="0.3"/>
    <row r="54" ht="13.5" customHeight="1" x14ac:dyDescent="0.3"/>
    <row r="55" ht="13.5" customHeight="1" x14ac:dyDescent="0.3"/>
    <row r="56" ht="13.5" customHeight="1" x14ac:dyDescent="0.3"/>
    <row r="57" ht="13.5" customHeight="1" x14ac:dyDescent="0.3"/>
    <row r="58" ht="13.5" customHeight="1" x14ac:dyDescent="0.3"/>
    <row r="59" ht="13.5" customHeight="1" x14ac:dyDescent="0.3"/>
    <row r="60" ht="13.5" customHeight="1" x14ac:dyDescent="0.3"/>
    <row r="61" ht="13.5" customHeight="1" x14ac:dyDescent="0.3"/>
    <row r="62" ht="13.5" customHeight="1" x14ac:dyDescent="0.3"/>
    <row r="63" ht="13.5" customHeight="1" x14ac:dyDescent="0.3"/>
    <row r="64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  <row r="77" ht="13.5" customHeight="1" x14ac:dyDescent="0.3"/>
    <row r="78" ht="13.5" customHeight="1" x14ac:dyDescent="0.3"/>
    <row r="79" ht="13.5" customHeight="1" x14ac:dyDescent="0.3"/>
    <row r="80" ht="13.5" customHeight="1" x14ac:dyDescent="0.3"/>
    <row r="81" ht="13.5" customHeight="1" x14ac:dyDescent="0.3"/>
    <row r="82" ht="13.5" customHeight="1" x14ac:dyDescent="0.3"/>
    <row r="83" ht="13.5" customHeight="1" x14ac:dyDescent="0.3"/>
    <row r="84" ht="13.5" customHeight="1" x14ac:dyDescent="0.3"/>
    <row r="85" ht="13.5" customHeight="1" x14ac:dyDescent="0.3"/>
    <row r="86" ht="13.5" customHeight="1" x14ac:dyDescent="0.3"/>
    <row r="87" ht="13.5" customHeight="1" x14ac:dyDescent="0.3"/>
    <row r="88" ht="13.5" customHeight="1" x14ac:dyDescent="0.3"/>
    <row r="89" ht="13.5" customHeight="1" x14ac:dyDescent="0.3"/>
    <row r="90" ht="13.5" customHeight="1" x14ac:dyDescent="0.3"/>
    <row r="91" ht="13.5" customHeight="1" x14ac:dyDescent="0.3"/>
    <row r="92" ht="13.5" customHeight="1" x14ac:dyDescent="0.3"/>
    <row r="93" ht="13.5" customHeight="1" x14ac:dyDescent="0.3"/>
    <row r="94" ht="13.5" customHeight="1" x14ac:dyDescent="0.3"/>
    <row r="95" ht="13.5" customHeight="1" x14ac:dyDescent="0.3"/>
    <row r="96" ht="13.5" customHeight="1" x14ac:dyDescent="0.3"/>
    <row r="97" ht="13.5" customHeight="1" x14ac:dyDescent="0.3"/>
    <row r="98" ht="13.5" customHeight="1" x14ac:dyDescent="0.3"/>
    <row r="99" ht="13.5" customHeight="1" x14ac:dyDescent="0.3"/>
    <row r="100" ht="13.5" customHeight="1" x14ac:dyDescent="0.3"/>
    <row r="101" ht="13.5" customHeight="1" x14ac:dyDescent="0.3"/>
    <row r="102" ht="13.5" customHeight="1" x14ac:dyDescent="0.3"/>
    <row r="103" ht="13.5" customHeight="1" x14ac:dyDescent="0.3"/>
    <row r="104" ht="13.5" customHeight="1" x14ac:dyDescent="0.3"/>
    <row r="105" ht="13.5" customHeight="1" x14ac:dyDescent="0.3"/>
    <row r="106" ht="13.5" customHeight="1" x14ac:dyDescent="0.3"/>
    <row r="107" ht="13.5" customHeight="1" x14ac:dyDescent="0.3"/>
    <row r="108" ht="13.5" customHeight="1" x14ac:dyDescent="0.3"/>
    <row r="109" ht="13.5" customHeight="1" x14ac:dyDescent="0.3"/>
    <row r="110" ht="13.5" customHeight="1" x14ac:dyDescent="0.3"/>
    <row r="111" ht="13.5" customHeight="1" x14ac:dyDescent="0.3"/>
    <row r="112" ht="13.5" customHeight="1" x14ac:dyDescent="0.3"/>
    <row r="113" ht="13.5" customHeight="1" x14ac:dyDescent="0.3"/>
    <row r="114" ht="13.5" customHeight="1" x14ac:dyDescent="0.3"/>
    <row r="115" ht="13.5" customHeight="1" x14ac:dyDescent="0.3"/>
    <row r="116" ht="13.5" customHeight="1" x14ac:dyDescent="0.3"/>
    <row r="117" ht="13.5" customHeight="1" x14ac:dyDescent="0.3"/>
    <row r="118" ht="13.5" customHeight="1" x14ac:dyDescent="0.3"/>
    <row r="119" ht="13.5" customHeight="1" x14ac:dyDescent="0.3"/>
    <row r="120" ht="13.5" customHeight="1" x14ac:dyDescent="0.3"/>
    <row r="121" ht="13.5" customHeight="1" x14ac:dyDescent="0.3"/>
    <row r="122" ht="13.5" customHeight="1" x14ac:dyDescent="0.3"/>
    <row r="123" ht="13.5" customHeight="1" x14ac:dyDescent="0.3"/>
    <row r="124" ht="13.5" customHeight="1" x14ac:dyDescent="0.3"/>
    <row r="125" ht="13.5" customHeight="1" x14ac:dyDescent="0.3"/>
    <row r="126" ht="13.5" customHeight="1" x14ac:dyDescent="0.3"/>
    <row r="127" ht="13.5" customHeight="1" x14ac:dyDescent="0.3"/>
    <row r="128" ht="13.5" customHeight="1" x14ac:dyDescent="0.3"/>
    <row r="129" ht="13.5" customHeight="1" x14ac:dyDescent="0.3"/>
    <row r="130" ht="13.5" customHeight="1" x14ac:dyDescent="0.3"/>
    <row r="131" ht="13.5" customHeight="1" x14ac:dyDescent="0.3"/>
    <row r="132" ht="13.5" customHeight="1" x14ac:dyDescent="0.3"/>
    <row r="133" ht="13.5" customHeight="1" x14ac:dyDescent="0.3"/>
    <row r="134" ht="13.5" customHeight="1" x14ac:dyDescent="0.3"/>
    <row r="135" ht="13.5" customHeight="1" x14ac:dyDescent="0.3"/>
    <row r="136" ht="13.5" customHeight="1" x14ac:dyDescent="0.3"/>
    <row r="137" ht="13.5" customHeight="1" x14ac:dyDescent="0.3"/>
    <row r="138" ht="13.5" customHeight="1" x14ac:dyDescent="0.3"/>
    <row r="139" ht="13.5" customHeight="1" x14ac:dyDescent="0.3"/>
    <row r="140" ht="13.5" customHeight="1" x14ac:dyDescent="0.3"/>
    <row r="141" ht="13.5" customHeight="1" x14ac:dyDescent="0.3"/>
    <row r="142" ht="13.5" customHeight="1" x14ac:dyDescent="0.3"/>
    <row r="143" ht="13.5" customHeight="1" x14ac:dyDescent="0.3"/>
    <row r="144" ht="13.5" customHeight="1" x14ac:dyDescent="0.3"/>
    <row r="145" ht="13.5" customHeight="1" x14ac:dyDescent="0.3"/>
    <row r="146" ht="13.5" customHeight="1" x14ac:dyDescent="0.3"/>
    <row r="147" ht="13.5" customHeight="1" x14ac:dyDescent="0.3"/>
    <row r="148" ht="13.5" customHeight="1" x14ac:dyDescent="0.3"/>
    <row r="149" ht="13.5" customHeight="1" x14ac:dyDescent="0.3"/>
    <row r="150" ht="13.5" customHeight="1" x14ac:dyDescent="0.3"/>
    <row r="151" ht="13.5" customHeight="1" x14ac:dyDescent="0.3"/>
    <row r="152" ht="13.5" customHeight="1" x14ac:dyDescent="0.3"/>
    <row r="153" ht="13.5" customHeight="1" x14ac:dyDescent="0.3"/>
    <row r="154" ht="13.5" customHeight="1" x14ac:dyDescent="0.3"/>
    <row r="155" ht="13.5" customHeight="1" x14ac:dyDescent="0.3"/>
    <row r="156" ht="13.5" customHeight="1" x14ac:dyDescent="0.3"/>
    <row r="157" ht="13.5" customHeight="1" x14ac:dyDescent="0.3"/>
    <row r="158" ht="13.5" customHeight="1" x14ac:dyDescent="0.3"/>
    <row r="159" ht="13.5" customHeight="1" x14ac:dyDescent="0.3"/>
    <row r="160" ht="13.5" customHeight="1" x14ac:dyDescent="0.3"/>
    <row r="161" ht="13.5" customHeight="1" x14ac:dyDescent="0.3"/>
    <row r="162" ht="13.5" customHeight="1" x14ac:dyDescent="0.3"/>
    <row r="163" ht="13.5" customHeight="1" x14ac:dyDescent="0.3"/>
    <row r="164" ht="13.5" customHeight="1" x14ac:dyDescent="0.3"/>
    <row r="165" ht="13.5" customHeight="1" x14ac:dyDescent="0.3"/>
    <row r="166" ht="13.5" customHeight="1" x14ac:dyDescent="0.3"/>
    <row r="167" ht="13.5" customHeight="1" x14ac:dyDescent="0.3"/>
    <row r="168" ht="13.5" customHeight="1" x14ac:dyDescent="0.3"/>
    <row r="169" ht="13.5" customHeight="1" x14ac:dyDescent="0.3"/>
    <row r="170" ht="13.5" customHeight="1" x14ac:dyDescent="0.3"/>
    <row r="171" ht="13.5" customHeight="1" x14ac:dyDescent="0.3"/>
    <row r="172" ht="13.5" customHeight="1" x14ac:dyDescent="0.3"/>
    <row r="173" ht="13.5" customHeight="1" x14ac:dyDescent="0.3"/>
    <row r="174" ht="13.5" customHeight="1" x14ac:dyDescent="0.3"/>
    <row r="175" ht="13.5" customHeight="1" x14ac:dyDescent="0.3"/>
    <row r="176" ht="13.5" customHeight="1" x14ac:dyDescent="0.3"/>
    <row r="177" ht="13.5" customHeight="1" x14ac:dyDescent="0.3"/>
    <row r="178" ht="13.5" customHeight="1" x14ac:dyDescent="0.3"/>
    <row r="179" ht="13.5" customHeight="1" x14ac:dyDescent="0.3"/>
    <row r="180" ht="13.5" customHeight="1" x14ac:dyDescent="0.3"/>
    <row r="181" ht="13.5" customHeight="1" x14ac:dyDescent="0.3"/>
    <row r="182" ht="13.5" customHeight="1" x14ac:dyDescent="0.3"/>
    <row r="183" ht="13.5" customHeight="1" x14ac:dyDescent="0.3"/>
    <row r="184" ht="13.5" customHeight="1" x14ac:dyDescent="0.3"/>
    <row r="185" ht="13.5" customHeight="1" x14ac:dyDescent="0.3"/>
    <row r="186" ht="13.5" customHeight="1" x14ac:dyDescent="0.3"/>
    <row r="187" ht="13.5" customHeight="1" x14ac:dyDescent="0.3"/>
    <row r="188" ht="13.5" customHeight="1" x14ac:dyDescent="0.3"/>
    <row r="189" ht="13.5" customHeight="1" x14ac:dyDescent="0.3"/>
    <row r="190" ht="13.5" customHeight="1" x14ac:dyDescent="0.3"/>
    <row r="191" ht="13.5" customHeight="1" x14ac:dyDescent="0.3"/>
    <row r="192" ht="13.5" customHeight="1" x14ac:dyDescent="0.3"/>
    <row r="193" ht="13.5" customHeight="1" x14ac:dyDescent="0.3"/>
    <row r="194" ht="13.5" customHeight="1" x14ac:dyDescent="0.3"/>
    <row r="195" ht="13.5" customHeight="1" x14ac:dyDescent="0.3"/>
    <row r="196" ht="13.5" customHeight="1" x14ac:dyDescent="0.3"/>
    <row r="197" ht="13.5" customHeight="1" x14ac:dyDescent="0.3"/>
    <row r="198" ht="13.5" customHeight="1" x14ac:dyDescent="0.3"/>
    <row r="199" ht="13.5" customHeight="1" x14ac:dyDescent="0.3"/>
    <row r="200" ht="13.5" customHeight="1" x14ac:dyDescent="0.3"/>
    <row r="201" ht="13.5" customHeight="1" x14ac:dyDescent="0.3"/>
    <row r="202" ht="13.5" customHeight="1" x14ac:dyDescent="0.3"/>
    <row r="203" ht="13.5" customHeight="1" x14ac:dyDescent="0.3"/>
    <row r="204" ht="13.5" customHeight="1" x14ac:dyDescent="0.3"/>
    <row r="205" ht="13.5" customHeight="1" x14ac:dyDescent="0.3"/>
    <row r="206" ht="13.5" customHeight="1" x14ac:dyDescent="0.3"/>
    <row r="207" ht="13.5" customHeight="1" x14ac:dyDescent="0.3"/>
    <row r="208" ht="13.5" customHeight="1" x14ac:dyDescent="0.3"/>
    <row r="209" ht="13.5" customHeight="1" x14ac:dyDescent="0.3"/>
    <row r="210" ht="13.5" customHeight="1" x14ac:dyDescent="0.3"/>
    <row r="211" ht="13.5" customHeight="1" x14ac:dyDescent="0.3"/>
    <row r="212" ht="13.5" customHeight="1" x14ac:dyDescent="0.3"/>
    <row r="213" ht="13.5" customHeight="1" x14ac:dyDescent="0.3"/>
    <row r="214" ht="13.5" customHeight="1" x14ac:dyDescent="0.3"/>
    <row r="215" ht="13.5" customHeight="1" x14ac:dyDescent="0.3"/>
    <row r="216" ht="13.5" customHeight="1" x14ac:dyDescent="0.3"/>
    <row r="217" ht="13.5" customHeight="1" x14ac:dyDescent="0.3"/>
    <row r="218" ht="13.5" customHeight="1" x14ac:dyDescent="0.3"/>
    <row r="219" ht="13.5" customHeight="1" x14ac:dyDescent="0.3"/>
    <row r="220" ht="13.5" customHeight="1" x14ac:dyDescent="0.3"/>
    <row r="221" ht="13.5" customHeight="1" x14ac:dyDescent="0.3"/>
    <row r="222" ht="13.5" customHeight="1" x14ac:dyDescent="0.3"/>
    <row r="223" ht="13.5" customHeight="1" x14ac:dyDescent="0.3"/>
    <row r="224" ht="13.5" customHeight="1" x14ac:dyDescent="0.3"/>
    <row r="225" ht="13.5" customHeight="1" x14ac:dyDescent="0.3"/>
    <row r="226" ht="13.5" customHeight="1" x14ac:dyDescent="0.3"/>
    <row r="227" ht="13.5" customHeight="1" x14ac:dyDescent="0.3"/>
    <row r="228" ht="13.5" customHeight="1" x14ac:dyDescent="0.3"/>
    <row r="229" ht="13.5" customHeight="1" x14ac:dyDescent="0.3"/>
    <row r="230" ht="13.5" customHeight="1" x14ac:dyDescent="0.3"/>
    <row r="231" ht="13.5" customHeight="1" x14ac:dyDescent="0.3"/>
    <row r="232" ht="13.5" customHeight="1" x14ac:dyDescent="0.3"/>
    <row r="233" ht="13.5" customHeight="1" x14ac:dyDescent="0.3"/>
    <row r="234" ht="13.5" customHeight="1" x14ac:dyDescent="0.3"/>
    <row r="235" ht="13.5" customHeight="1" x14ac:dyDescent="0.3"/>
    <row r="236" ht="13.5" customHeight="1" x14ac:dyDescent="0.3"/>
    <row r="237" ht="13.5" customHeight="1" x14ac:dyDescent="0.3"/>
    <row r="238" ht="13.5" customHeight="1" x14ac:dyDescent="0.3"/>
    <row r="239" ht="13.5" customHeight="1" x14ac:dyDescent="0.3"/>
    <row r="240" ht="13.5" customHeight="1" x14ac:dyDescent="0.3"/>
    <row r="241" ht="13.5" customHeight="1" x14ac:dyDescent="0.3"/>
    <row r="242" ht="13.5" customHeight="1" x14ac:dyDescent="0.3"/>
    <row r="243" ht="13.5" customHeight="1" x14ac:dyDescent="0.3"/>
    <row r="244" ht="13.5" customHeight="1" x14ac:dyDescent="0.3"/>
    <row r="245" ht="13.5" customHeight="1" x14ac:dyDescent="0.3"/>
    <row r="246" ht="13.5" customHeight="1" x14ac:dyDescent="0.3"/>
    <row r="247" ht="13.5" customHeight="1" x14ac:dyDescent="0.3"/>
    <row r="248" ht="13.5" customHeight="1" x14ac:dyDescent="0.3"/>
    <row r="249" ht="13.5" customHeight="1" x14ac:dyDescent="0.3"/>
    <row r="250" ht="13.5" customHeight="1" x14ac:dyDescent="0.3"/>
    <row r="251" ht="13.5" customHeight="1" x14ac:dyDescent="0.3"/>
    <row r="252" ht="13.5" customHeight="1" x14ac:dyDescent="0.3"/>
    <row r="253" ht="13.5" customHeight="1" x14ac:dyDescent="0.3"/>
    <row r="254" ht="13.5" customHeight="1" x14ac:dyDescent="0.3"/>
    <row r="255" ht="13.5" customHeight="1" x14ac:dyDescent="0.3"/>
    <row r="256" ht="13.5" customHeight="1" x14ac:dyDescent="0.3"/>
    <row r="257" ht="13.5" customHeight="1" x14ac:dyDescent="0.3"/>
    <row r="258" ht="13.5" customHeight="1" x14ac:dyDescent="0.3"/>
    <row r="259" ht="13.5" customHeight="1" x14ac:dyDescent="0.3"/>
    <row r="260" ht="13.5" customHeight="1" x14ac:dyDescent="0.3"/>
    <row r="261" ht="13.5" customHeight="1" x14ac:dyDescent="0.3"/>
    <row r="262" ht="13.5" customHeight="1" x14ac:dyDescent="0.3"/>
    <row r="263" ht="13.5" customHeight="1" x14ac:dyDescent="0.3"/>
    <row r="264" ht="13.5" customHeight="1" x14ac:dyDescent="0.3"/>
    <row r="265" ht="13.5" customHeight="1" x14ac:dyDescent="0.3"/>
    <row r="266" ht="13.5" customHeight="1" x14ac:dyDescent="0.3"/>
    <row r="267" ht="13.5" customHeight="1" x14ac:dyDescent="0.3"/>
    <row r="268" ht="13.5" customHeight="1" x14ac:dyDescent="0.3"/>
    <row r="269" ht="13.5" customHeight="1" x14ac:dyDescent="0.3"/>
    <row r="270" ht="13.5" customHeight="1" x14ac:dyDescent="0.3"/>
    <row r="271" ht="13.5" customHeight="1" x14ac:dyDescent="0.3"/>
    <row r="272" ht="13.5" customHeight="1" x14ac:dyDescent="0.3"/>
    <row r="273" ht="13.5" customHeight="1" x14ac:dyDescent="0.3"/>
    <row r="274" ht="13.5" customHeight="1" x14ac:dyDescent="0.3"/>
    <row r="275" ht="13.5" customHeight="1" x14ac:dyDescent="0.3"/>
    <row r="276" ht="13.5" customHeight="1" x14ac:dyDescent="0.3"/>
    <row r="277" ht="13.5" customHeight="1" x14ac:dyDescent="0.3"/>
    <row r="278" ht="13.5" customHeight="1" x14ac:dyDescent="0.3"/>
    <row r="279" ht="13.5" customHeight="1" x14ac:dyDescent="0.3"/>
    <row r="280" ht="13.5" customHeight="1" x14ac:dyDescent="0.3"/>
    <row r="281" ht="13.5" customHeight="1" x14ac:dyDescent="0.3"/>
    <row r="282" ht="13.5" customHeight="1" x14ac:dyDescent="0.3"/>
    <row r="283" ht="13.5" customHeight="1" x14ac:dyDescent="0.3"/>
    <row r="284" ht="13.5" customHeight="1" x14ac:dyDescent="0.3"/>
    <row r="285" ht="13.5" customHeight="1" x14ac:dyDescent="0.3"/>
    <row r="286" ht="13.5" customHeight="1" x14ac:dyDescent="0.3"/>
    <row r="287" ht="13.5" customHeight="1" x14ac:dyDescent="0.3"/>
    <row r="288" ht="13.5" customHeight="1" x14ac:dyDescent="0.3"/>
    <row r="289" ht="13.5" customHeight="1" x14ac:dyDescent="0.3"/>
    <row r="290" ht="13.5" customHeight="1" x14ac:dyDescent="0.3"/>
    <row r="291" ht="13.5" customHeight="1" x14ac:dyDescent="0.3"/>
    <row r="292" ht="13.5" customHeight="1" x14ac:dyDescent="0.3"/>
    <row r="293" ht="13.5" customHeight="1" x14ac:dyDescent="0.3"/>
    <row r="294" ht="13.5" customHeight="1" x14ac:dyDescent="0.3"/>
    <row r="295" ht="13.5" customHeight="1" x14ac:dyDescent="0.3"/>
    <row r="296" ht="13.5" customHeight="1" x14ac:dyDescent="0.3"/>
    <row r="297" ht="13.5" customHeight="1" x14ac:dyDescent="0.3"/>
    <row r="298" ht="13.5" customHeight="1" x14ac:dyDescent="0.3"/>
    <row r="299" ht="13.5" customHeight="1" x14ac:dyDescent="0.3"/>
    <row r="300" ht="13.5" customHeight="1" x14ac:dyDescent="0.3"/>
    <row r="301" ht="13.5" customHeight="1" x14ac:dyDescent="0.3"/>
    <row r="302" ht="13.5" customHeight="1" x14ac:dyDescent="0.3"/>
    <row r="303" ht="13.5" customHeight="1" x14ac:dyDescent="0.3"/>
    <row r="304" ht="13.5" customHeight="1" x14ac:dyDescent="0.3"/>
    <row r="305" ht="13.5" customHeight="1" x14ac:dyDescent="0.3"/>
    <row r="306" ht="13.5" customHeight="1" x14ac:dyDescent="0.3"/>
    <row r="307" ht="13.5" customHeight="1" x14ac:dyDescent="0.3"/>
    <row r="308" ht="13.5" customHeight="1" x14ac:dyDescent="0.3"/>
    <row r="309" ht="13.5" customHeight="1" x14ac:dyDescent="0.3"/>
    <row r="310" ht="13.5" customHeight="1" x14ac:dyDescent="0.3"/>
    <row r="311" ht="13.5" customHeight="1" x14ac:dyDescent="0.3"/>
    <row r="312" ht="13.5" customHeight="1" x14ac:dyDescent="0.3"/>
    <row r="313" ht="13.5" customHeight="1" x14ac:dyDescent="0.3"/>
    <row r="314" ht="13.5" customHeight="1" x14ac:dyDescent="0.3"/>
    <row r="315" ht="13.5" customHeight="1" x14ac:dyDescent="0.3"/>
    <row r="316" ht="13.5" customHeight="1" x14ac:dyDescent="0.3"/>
    <row r="317" ht="13.5" customHeight="1" x14ac:dyDescent="0.3"/>
    <row r="318" ht="13.5" customHeight="1" x14ac:dyDescent="0.3"/>
    <row r="319" ht="13.5" customHeight="1" x14ac:dyDescent="0.3"/>
    <row r="320" ht="13.5" customHeight="1" x14ac:dyDescent="0.3"/>
    <row r="321" ht="13.5" customHeight="1" x14ac:dyDescent="0.3"/>
    <row r="322" ht="13.5" customHeight="1" x14ac:dyDescent="0.3"/>
    <row r="323" ht="13.5" customHeight="1" x14ac:dyDescent="0.3"/>
    <row r="324" ht="13.5" customHeight="1" x14ac:dyDescent="0.3"/>
    <row r="325" ht="13.5" customHeight="1" x14ac:dyDescent="0.3"/>
    <row r="326" ht="13.5" customHeight="1" x14ac:dyDescent="0.3"/>
    <row r="327" ht="13.5" customHeight="1" x14ac:dyDescent="0.3"/>
    <row r="328" ht="13.5" customHeight="1" x14ac:dyDescent="0.3"/>
    <row r="329" ht="13.5" customHeight="1" x14ac:dyDescent="0.3"/>
    <row r="330" ht="13.5" customHeight="1" x14ac:dyDescent="0.3"/>
    <row r="331" ht="13.5" customHeight="1" x14ac:dyDescent="0.3"/>
    <row r="332" ht="13.5" customHeight="1" x14ac:dyDescent="0.3"/>
    <row r="333" ht="13.5" customHeight="1" x14ac:dyDescent="0.3"/>
    <row r="334" ht="13.5" customHeight="1" x14ac:dyDescent="0.3"/>
    <row r="335" ht="13.5" customHeight="1" x14ac:dyDescent="0.3"/>
    <row r="336" ht="13.5" customHeight="1" x14ac:dyDescent="0.3"/>
    <row r="337" ht="13.5" customHeight="1" x14ac:dyDescent="0.3"/>
    <row r="338" ht="13.5" customHeight="1" x14ac:dyDescent="0.3"/>
    <row r="339" ht="13.5" customHeight="1" x14ac:dyDescent="0.3"/>
    <row r="340" ht="13.5" customHeight="1" x14ac:dyDescent="0.3"/>
    <row r="341" ht="13.5" customHeight="1" x14ac:dyDescent="0.3"/>
    <row r="342" ht="13.5" customHeight="1" x14ac:dyDescent="0.3"/>
    <row r="343" ht="13.5" customHeight="1" x14ac:dyDescent="0.3"/>
    <row r="344" ht="13.5" customHeight="1" x14ac:dyDescent="0.3"/>
    <row r="345" ht="13.5" customHeight="1" x14ac:dyDescent="0.3"/>
    <row r="346" ht="13.5" customHeight="1" x14ac:dyDescent="0.3"/>
    <row r="347" ht="13.5" customHeight="1" x14ac:dyDescent="0.3"/>
    <row r="348" ht="13.5" customHeight="1" x14ac:dyDescent="0.3"/>
    <row r="349" ht="13.5" customHeight="1" x14ac:dyDescent="0.3"/>
    <row r="350" ht="13.5" customHeight="1" x14ac:dyDescent="0.3"/>
    <row r="351" ht="13.5" customHeight="1" x14ac:dyDescent="0.3"/>
    <row r="352" ht="13.5" customHeight="1" x14ac:dyDescent="0.3"/>
    <row r="353" ht="13.5" customHeight="1" x14ac:dyDescent="0.3"/>
    <row r="354" ht="13.5" customHeight="1" x14ac:dyDescent="0.3"/>
    <row r="355" ht="13.5" customHeight="1" x14ac:dyDescent="0.3"/>
    <row r="356" ht="13.5" customHeight="1" x14ac:dyDescent="0.3"/>
    <row r="357" ht="13.5" customHeight="1" x14ac:dyDescent="0.3"/>
    <row r="358" ht="13.5" customHeight="1" x14ac:dyDescent="0.3"/>
    <row r="359" ht="13.5" customHeight="1" x14ac:dyDescent="0.3"/>
    <row r="360" ht="13.5" customHeight="1" x14ac:dyDescent="0.3"/>
    <row r="361" ht="13.5" customHeight="1" x14ac:dyDescent="0.3"/>
    <row r="362" ht="13.5" customHeight="1" x14ac:dyDescent="0.3"/>
    <row r="363" ht="13.5" customHeight="1" x14ac:dyDescent="0.3"/>
    <row r="364" ht="13.5" customHeight="1" x14ac:dyDescent="0.3"/>
    <row r="365" ht="13.5" customHeight="1" x14ac:dyDescent="0.3"/>
    <row r="366" ht="13.5" customHeight="1" x14ac:dyDescent="0.3"/>
    <row r="367" ht="13.5" customHeight="1" x14ac:dyDescent="0.3"/>
    <row r="368" ht="13.5" customHeight="1" x14ac:dyDescent="0.3"/>
    <row r="369" ht="13.5" customHeight="1" x14ac:dyDescent="0.3"/>
    <row r="370" ht="13.5" customHeight="1" x14ac:dyDescent="0.3"/>
    <row r="371" ht="13.5" customHeight="1" x14ac:dyDescent="0.3"/>
    <row r="372" ht="13.5" customHeight="1" x14ac:dyDescent="0.3"/>
    <row r="373" ht="13.5" customHeight="1" x14ac:dyDescent="0.3"/>
    <row r="374" ht="13.5" customHeight="1" x14ac:dyDescent="0.3"/>
    <row r="375" ht="13.5" customHeight="1" x14ac:dyDescent="0.3"/>
    <row r="376" ht="13.5" customHeight="1" x14ac:dyDescent="0.3"/>
    <row r="377" ht="13.5" customHeight="1" x14ac:dyDescent="0.3"/>
    <row r="378" ht="13.5" customHeight="1" x14ac:dyDescent="0.3"/>
    <row r="379" ht="13.5" customHeight="1" x14ac:dyDescent="0.3"/>
    <row r="380" ht="13.5" customHeight="1" x14ac:dyDescent="0.3"/>
    <row r="381" ht="13.5" customHeight="1" x14ac:dyDescent="0.3"/>
    <row r="382" ht="13.5" customHeight="1" x14ac:dyDescent="0.3"/>
    <row r="383" ht="13.5" customHeight="1" x14ac:dyDescent="0.3"/>
    <row r="384" ht="13.5" customHeight="1" x14ac:dyDescent="0.3"/>
    <row r="385" ht="13.5" customHeight="1" x14ac:dyDescent="0.3"/>
    <row r="386" ht="13.5" customHeight="1" x14ac:dyDescent="0.3"/>
    <row r="387" ht="13.5" customHeight="1" x14ac:dyDescent="0.3"/>
    <row r="388" ht="13.5" customHeight="1" x14ac:dyDescent="0.3"/>
    <row r="389" ht="13.5" customHeight="1" x14ac:dyDescent="0.3"/>
    <row r="390" ht="13.5" customHeight="1" x14ac:dyDescent="0.3"/>
    <row r="391" ht="13.5" customHeight="1" x14ac:dyDescent="0.3"/>
    <row r="392" ht="13.5" customHeight="1" x14ac:dyDescent="0.3"/>
    <row r="393" ht="13.5" customHeight="1" x14ac:dyDescent="0.3"/>
    <row r="394" ht="13.5" customHeight="1" x14ac:dyDescent="0.3"/>
    <row r="395" ht="13.5" customHeight="1" x14ac:dyDescent="0.3"/>
    <row r="396" ht="13.5" customHeight="1" x14ac:dyDescent="0.3"/>
    <row r="397" ht="13.5" customHeight="1" x14ac:dyDescent="0.3"/>
    <row r="398" ht="13.5" customHeight="1" x14ac:dyDescent="0.3"/>
    <row r="399" ht="13.5" customHeight="1" x14ac:dyDescent="0.3"/>
    <row r="400" ht="13.5" customHeight="1" x14ac:dyDescent="0.3"/>
    <row r="401" ht="13.5" customHeight="1" x14ac:dyDescent="0.3"/>
    <row r="402" ht="13.5" customHeight="1" x14ac:dyDescent="0.3"/>
    <row r="403" ht="13.5" customHeight="1" x14ac:dyDescent="0.3"/>
    <row r="404" ht="13.5" customHeight="1" x14ac:dyDescent="0.3"/>
    <row r="405" ht="13.5" customHeight="1" x14ac:dyDescent="0.3"/>
    <row r="406" ht="13.5" customHeight="1" x14ac:dyDescent="0.3"/>
    <row r="407" ht="13.5" customHeight="1" x14ac:dyDescent="0.3"/>
    <row r="408" ht="13.5" customHeight="1" x14ac:dyDescent="0.3"/>
    <row r="409" ht="13.5" customHeight="1" x14ac:dyDescent="0.3"/>
    <row r="410" ht="13.5" customHeight="1" x14ac:dyDescent="0.3"/>
    <row r="411" ht="13.5" customHeight="1" x14ac:dyDescent="0.3"/>
    <row r="412" ht="13.5" customHeight="1" x14ac:dyDescent="0.3"/>
    <row r="413" ht="13.5" customHeight="1" x14ac:dyDescent="0.3"/>
    <row r="414" ht="13.5" customHeight="1" x14ac:dyDescent="0.3"/>
    <row r="415" ht="13.5" customHeight="1" x14ac:dyDescent="0.3"/>
    <row r="416" ht="13.5" customHeight="1" x14ac:dyDescent="0.3"/>
    <row r="417" ht="13.5" customHeight="1" x14ac:dyDescent="0.3"/>
    <row r="418" ht="13.5" customHeight="1" x14ac:dyDescent="0.3"/>
    <row r="419" ht="13.5" customHeight="1" x14ac:dyDescent="0.3"/>
    <row r="420" ht="13.5" customHeight="1" x14ac:dyDescent="0.3"/>
    <row r="421" ht="13.5" customHeight="1" x14ac:dyDescent="0.3"/>
    <row r="422" ht="13.5" customHeight="1" x14ac:dyDescent="0.3"/>
    <row r="423" ht="13.5" customHeight="1" x14ac:dyDescent="0.3"/>
    <row r="424" ht="13.5" customHeight="1" x14ac:dyDescent="0.3"/>
    <row r="425" ht="13.5" customHeight="1" x14ac:dyDescent="0.3"/>
    <row r="426" ht="13.5" customHeight="1" x14ac:dyDescent="0.3"/>
    <row r="427" ht="13.5" customHeight="1" x14ac:dyDescent="0.3"/>
    <row r="428" ht="13.5" customHeight="1" x14ac:dyDescent="0.3"/>
    <row r="429" ht="13.5" customHeight="1" x14ac:dyDescent="0.3"/>
    <row r="430" ht="13.5" customHeight="1" x14ac:dyDescent="0.3"/>
    <row r="431" ht="13.5" customHeight="1" x14ac:dyDescent="0.3"/>
    <row r="432" ht="13.5" customHeight="1" x14ac:dyDescent="0.3"/>
    <row r="433" ht="13.5" customHeight="1" x14ac:dyDescent="0.3"/>
    <row r="434" ht="13.5" customHeight="1" x14ac:dyDescent="0.3"/>
    <row r="435" ht="13.5" customHeight="1" x14ac:dyDescent="0.3"/>
    <row r="436" ht="13.5" customHeight="1" x14ac:dyDescent="0.3"/>
    <row r="437" ht="13.5" customHeight="1" x14ac:dyDescent="0.3"/>
    <row r="438" ht="13.5" customHeight="1" x14ac:dyDescent="0.3"/>
    <row r="439" ht="13.5" customHeight="1" x14ac:dyDescent="0.3"/>
    <row r="440" ht="13.5" customHeight="1" x14ac:dyDescent="0.3"/>
    <row r="441" ht="13.5" customHeight="1" x14ac:dyDescent="0.3"/>
    <row r="442" ht="13.5" customHeight="1" x14ac:dyDescent="0.3"/>
    <row r="443" ht="13.5" customHeight="1" x14ac:dyDescent="0.3"/>
    <row r="444" ht="13.5" customHeight="1" x14ac:dyDescent="0.3"/>
    <row r="445" ht="13.5" customHeight="1" x14ac:dyDescent="0.3"/>
    <row r="446" ht="13.5" customHeight="1" x14ac:dyDescent="0.3"/>
    <row r="447" ht="13.5" customHeight="1" x14ac:dyDescent="0.3"/>
    <row r="448" ht="13.5" customHeight="1" x14ac:dyDescent="0.3"/>
    <row r="449" ht="13.5" customHeight="1" x14ac:dyDescent="0.3"/>
    <row r="450" ht="13.5" customHeight="1" x14ac:dyDescent="0.3"/>
    <row r="451" ht="13.5" customHeight="1" x14ac:dyDescent="0.3"/>
    <row r="452" ht="13.5" customHeight="1" x14ac:dyDescent="0.3"/>
    <row r="453" ht="13.5" customHeight="1" x14ac:dyDescent="0.3"/>
    <row r="454" ht="13.5" customHeight="1" x14ac:dyDescent="0.3"/>
    <row r="455" ht="13.5" customHeight="1" x14ac:dyDescent="0.3"/>
    <row r="456" ht="13.5" customHeight="1" x14ac:dyDescent="0.3"/>
    <row r="457" ht="13.5" customHeight="1" x14ac:dyDescent="0.3"/>
    <row r="458" ht="13.5" customHeight="1" x14ac:dyDescent="0.3"/>
    <row r="459" ht="13.5" customHeight="1" x14ac:dyDescent="0.3"/>
    <row r="460" ht="13.5" customHeight="1" x14ac:dyDescent="0.3"/>
    <row r="461" ht="13.5" customHeight="1" x14ac:dyDescent="0.3"/>
    <row r="462" ht="13.5" customHeight="1" x14ac:dyDescent="0.3"/>
    <row r="463" ht="13.5" customHeight="1" x14ac:dyDescent="0.3"/>
    <row r="464" ht="13.5" customHeight="1" x14ac:dyDescent="0.3"/>
    <row r="465" ht="13.5" customHeight="1" x14ac:dyDescent="0.3"/>
    <row r="466" ht="13.5" customHeight="1" x14ac:dyDescent="0.3"/>
    <row r="467" ht="13.5" customHeight="1" x14ac:dyDescent="0.3"/>
    <row r="468" ht="13.5" customHeight="1" x14ac:dyDescent="0.3"/>
    <row r="469" ht="13.5" customHeight="1" x14ac:dyDescent="0.3"/>
    <row r="470" ht="13.5" customHeight="1" x14ac:dyDescent="0.3"/>
    <row r="471" ht="13.5" customHeight="1" x14ac:dyDescent="0.3"/>
    <row r="472" ht="13.5" customHeight="1" x14ac:dyDescent="0.3"/>
    <row r="473" ht="13.5" customHeight="1" x14ac:dyDescent="0.3"/>
    <row r="474" ht="13.5" customHeight="1" x14ac:dyDescent="0.3"/>
    <row r="475" ht="13.5" customHeight="1" x14ac:dyDescent="0.3"/>
    <row r="476" ht="13.5" customHeight="1" x14ac:dyDescent="0.3"/>
    <row r="477" ht="13.5" customHeight="1" x14ac:dyDescent="0.3"/>
    <row r="478" ht="13.5" customHeight="1" x14ac:dyDescent="0.3"/>
    <row r="479" ht="13.5" customHeight="1" x14ac:dyDescent="0.3"/>
    <row r="480" ht="13.5" customHeight="1" x14ac:dyDescent="0.3"/>
    <row r="481" ht="13.5" customHeight="1" x14ac:dyDescent="0.3"/>
    <row r="482" ht="13.5" customHeight="1" x14ac:dyDescent="0.3"/>
    <row r="483" ht="13.5" customHeight="1" x14ac:dyDescent="0.3"/>
    <row r="484" ht="13.5" customHeight="1" x14ac:dyDescent="0.3"/>
    <row r="485" ht="13.5" customHeight="1" x14ac:dyDescent="0.3"/>
    <row r="486" ht="13.5" customHeight="1" x14ac:dyDescent="0.3"/>
    <row r="487" ht="13.5" customHeight="1" x14ac:dyDescent="0.3"/>
    <row r="488" ht="13.5" customHeight="1" x14ac:dyDescent="0.3"/>
    <row r="489" ht="13.5" customHeight="1" x14ac:dyDescent="0.3"/>
    <row r="490" ht="13.5" customHeight="1" x14ac:dyDescent="0.3"/>
    <row r="491" ht="13.5" customHeight="1" x14ac:dyDescent="0.3"/>
    <row r="492" ht="13.5" customHeight="1" x14ac:dyDescent="0.3"/>
    <row r="493" ht="13.5" customHeight="1" x14ac:dyDescent="0.3"/>
    <row r="494" ht="13.5" customHeight="1" x14ac:dyDescent="0.3"/>
    <row r="495" ht="13.5" customHeight="1" x14ac:dyDescent="0.3"/>
    <row r="496" ht="13.5" customHeight="1" x14ac:dyDescent="0.3"/>
    <row r="497" ht="13.5" customHeight="1" x14ac:dyDescent="0.3"/>
    <row r="498" ht="13.5" customHeight="1" x14ac:dyDescent="0.3"/>
    <row r="499" ht="13.5" customHeight="1" x14ac:dyDescent="0.3"/>
    <row r="500" ht="13.5" customHeight="1" x14ac:dyDescent="0.3"/>
    <row r="501" ht="13.5" customHeight="1" x14ac:dyDescent="0.3"/>
    <row r="502" ht="13.5" customHeight="1" x14ac:dyDescent="0.3"/>
    <row r="503" ht="13.5" customHeight="1" x14ac:dyDescent="0.3"/>
    <row r="504" ht="13.5" customHeight="1" x14ac:dyDescent="0.3"/>
    <row r="505" ht="13.5" customHeight="1" x14ac:dyDescent="0.3"/>
    <row r="506" ht="13.5" customHeight="1" x14ac:dyDescent="0.3"/>
    <row r="507" ht="13.5" customHeight="1" x14ac:dyDescent="0.3"/>
    <row r="508" ht="13.5" customHeight="1" x14ac:dyDescent="0.3"/>
    <row r="509" ht="13.5" customHeight="1" x14ac:dyDescent="0.3"/>
    <row r="510" ht="13.5" customHeight="1" x14ac:dyDescent="0.3"/>
    <row r="511" ht="13.5" customHeight="1" x14ac:dyDescent="0.3"/>
    <row r="512" ht="13.5" customHeight="1" x14ac:dyDescent="0.3"/>
    <row r="513" ht="13.5" customHeight="1" x14ac:dyDescent="0.3"/>
    <row r="514" ht="13.5" customHeight="1" x14ac:dyDescent="0.3"/>
    <row r="515" ht="13.5" customHeight="1" x14ac:dyDescent="0.3"/>
    <row r="516" ht="13.5" customHeight="1" x14ac:dyDescent="0.3"/>
    <row r="517" ht="13.5" customHeight="1" x14ac:dyDescent="0.3"/>
    <row r="518" ht="13.5" customHeight="1" x14ac:dyDescent="0.3"/>
    <row r="519" ht="13.5" customHeight="1" x14ac:dyDescent="0.3"/>
    <row r="520" ht="13.5" customHeight="1" x14ac:dyDescent="0.3"/>
    <row r="521" ht="13.5" customHeight="1" x14ac:dyDescent="0.3"/>
    <row r="522" ht="13.5" customHeight="1" x14ac:dyDescent="0.3"/>
    <row r="523" ht="13.5" customHeight="1" x14ac:dyDescent="0.3"/>
    <row r="524" ht="13.5" customHeight="1" x14ac:dyDescent="0.3"/>
    <row r="525" ht="13.5" customHeight="1" x14ac:dyDescent="0.3"/>
    <row r="526" ht="13.5" customHeight="1" x14ac:dyDescent="0.3"/>
    <row r="527" ht="13.5" customHeight="1" x14ac:dyDescent="0.3"/>
    <row r="528" ht="13.5" customHeight="1" x14ac:dyDescent="0.3"/>
    <row r="529" ht="13.5" customHeight="1" x14ac:dyDescent="0.3"/>
    <row r="530" ht="13.5" customHeight="1" x14ac:dyDescent="0.3"/>
    <row r="531" ht="13.5" customHeight="1" x14ac:dyDescent="0.3"/>
    <row r="532" ht="13.5" customHeight="1" x14ac:dyDescent="0.3"/>
    <row r="533" ht="13.5" customHeight="1" x14ac:dyDescent="0.3"/>
    <row r="534" ht="13.5" customHeight="1" x14ac:dyDescent="0.3"/>
    <row r="535" ht="13.5" customHeight="1" x14ac:dyDescent="0.3"/>
    <row r="536" ht="13.5" customHeight="1" x14ac:dyDescent="0.3"/>
    <row r="537" ht="13.5" customHeight="1" x14ac:dyDescent="0.3"/>
    <row r="538" ht="13.5" customHeight="1" x14ac:dyDescent="0.3"/>
    <row r="539" ht="13.5" customHeight="1" x14ac:dyDescent="0.3"/>
    <row r="540" ht="13.5" customHeight="1" x14ac:dyDescent="0.3"/>
    <row r="541" ht="13.5" customHeight="1" x14ac:dyDescent="0.3"/>
    <row r="542" ht="13.5" customHeight="1" x14ac:dyDescent="0.3"/>
    <row r="543" ht="13.5" customHeight="1" x14ac:dyDescent="0.3"/>
    <row r="544" ht="13.5" customHeight="1" x14ac:dyDescent="0.3"/>
    <row r="545" ht="13.5" customHeight="1" x14ac:dyDescent="0.3"/>
    <row r="546" ht="13.5" customHeight="1" x14ac:dyDescent="0.3"/>
    <row r="547" ht="13.5" customHeight="1" x14ac:dyDescent="0.3"/>
    <row r="548" ht="13.5" customHeight="1" x14ac:dyDescent="0.3"/>
    <row r="549" ht="13.5" customHeight="1" x14ac:dyDescent="0.3"/>
    <row r="550" ht="13.5" customHeight="1" x14ac:dyDescent="0.3"/>
    <row r="551" ht="13.5" customHeight="1" x14ac:dyDescent="0.3"/>
    <row r="552" ht="13.5" customHeight="1" x14ac:dyDescent="0.3"/>
    <row r="553" ht="13.5" customHeight="1" x14ac:dyDescent="0.3"/>
    <row r="554" ht="13.5" customHeight="1" x14ac:dyDescent="0.3"/>
    <row r="555" ht="13.5" customHeight="1" x14ac:dyDescent="0.3"/>
    <row r="556" ht="13.5" customHeight="1" x14ac:dyDescent="0.3"/>
    <row r="557" ht="13.5" customHeight="1" x14ac:dyDescent="0.3"/>
    <row r="558" ht="13.5" customHeight="1" x14ac:dyDescent="0.3"/>
    <row r="559" ht="13.5" customHeight="1" x14ac:dyDescent="0.3"/>
    <row r="560" ht="13.5" customHeight="1" x14ac:dyDescent="0.3"/>
    <row r="561" ht="13.5" customHeight="1" x14ac:dyDescent="0.3"/>
    <row r="562" ht="13.5" customHeight="1" x14ac:dyDescent="0.3"/>
    <row r="563" ht="13.5" customHeight="1" x14ac:dyDescent="0.3"/>
    <row r="564" ht="13.5" customHeight="1" x14ac:dyDescent="0.3"/>
    <row r="565" ht="13.5" customHeight="1" x14ac:dyDescent="0.3"/>
    <row r="566" ht="13.5" customHeight="1" x14ac:dyDescent="0.3"/>
    <row r="567" ht="13.5" customHeight="1" x14ac:dyDescent="0.3"/>
    <row r="568" ht="13.5" customHeight="1" x14ac:dyDescent="0.3"/>
    <row r="569" ht="13.5" customHeight="1" x14ac:dyDescent="0.3"/>
    <row r="570" ht="13.5" customHeight="1" x14ac:dyDescent="0.3"/>
    <row r="571" ht="13.5" customHeight="1" x14ac:dyDescent="0.3"/>
    <row r="572" ht="13.5" customHeight="1" x14ac:dyDescent="0.3"/>
    <row r="573" ht="13.5" customHeight="1" x14ac:dyDescent="0.3"/>
    <row r="574" ht="13.5" customHeight="1" x14ac:dyDescent="0.3"/>
    <row r="575" ht="13.5" customHeight="1" x14ac:dyDescent="0.3"/>
    <row r="576" ht="13.5" customHeight="1" x14ac:dyDescent="0.3"/>
    <row r="577" ht="13.5" customHeight="1" x14ac:dyDescent="0.3"/>
    <row r="578" ht="13.5" customHeight="1" x14ac:dyDescent="0.3"/>
    <row r="579" ht="13.5" customHeight="1" x14ac:dyDescent="0.3"/>
    <row r="580" ht="13.5" customHeight="1" x14ac:dyDescent="0.3"/>
    <row r="581" ht="13.5" customHeight="1" x14ac:dyDescent="0.3"/>
    <row r="582" ht="13.5" customHeight="1" x14ac:dyDescent="0.3"/>
    <row r="583" ht="13.5" customHeight="1" x14ac:dyDescent="0.3"/>
    <row r="584" ht="13.5" customHeight="1" x14ac:dyDescent="0.3"/>
    <row r="585" ht="13.5" customHeight="1" x14ac:dyDescent="0.3"/>
    <row r="586" ht="13.5" customHeight="1" x14ac:dyDescent="0.3"/>
    <row r="587" ht="13.5" customHeight="1" x14ac:dyDescent="0.3"/>
    <row r="588" ht="13.5" customHeight="1" x14ac:dyDescent="0.3"/>
    <row r="589" ht="13.5" customHeight="1" x14ac:dyDescent="0.3"/>
    <row r="590" ht="13.5" customHeight="1" x14ac:dyDescent="0.3"/>
    <row r="591" ht="13.5" customHeight="1" x14ac:dyDescent="0.3"/>
    <row r="592" ht="13.5" customHeight="1" x14ac:dyDescent="0.3"/>
    <row r="593" ht="13.5" customHeight="1" x14ac:dyDescent="0.3"/>
    <row r="594" ht="13.5" customHeight="1" x14ac:dyDescent="0.3"/>
    <row r="595" ht="13.5" customHeight="1" x14ac:dyDescent="0.3"/>
    <row r="596" ht="13.5" customHeight="1" x14ac:dyDescent="0.3"/>
    <row r="597" ht="13.5" customHeight="1" x14ac:dyDescent="0.3"/>
    <row r="598" ht="13.5" customHeight="1" x14ac:dyDescent="0.3"/>
    <row r="599" ht="13.5" customHeight="1" x14ac:dyDescent="0.3"/>
    <row r="600" ht="13.5" customHeight="1" x14ac:dyDescent="0.3"/>
    <row r="601" ht="13.5" customHeight="1" x14ac:dyDescent="0.3"/>
    <row r="602" ht="13.5" customHeight="1" x14ac:dyDescent="0.3"/>
    <row r="603" ht="13.5" customHeight="1" x14ac:dyDescent="0.3"/>
    <row r="604" ht="13.5" customHeight="1" x14ac:dyDescent="0.3"/>
    <row r="605" ht="13.5" customHeight="1" x14ac:dyDescent="0.3"/>
    <row r="606" ht="13.5" customHeight="1" x14ac:dyDescent="0.3"/>
    <row r="607" ht="13.5" customHeight="1" x14ac:dyDescent="0.3"/>
    <row r="608" ht="13.5" customHeight="1" x14ac:dyDescent="0.3"/>
    <row r="609" ht="13.5" customHeight="1" x14ac:dyDescent="0.3"/>
    <row r="610" ht="13.5" customHeight="1" x14ac:dyDescent="0.3"/>
    <row r="611" ht="13.5" customHeight="1" x14ac:dyDescent="0.3"/>
    <row r="612" ht="13.5" customHeight="1" x14ac:dyDescent="0.3"/>
    <row r="613" ht="13.5" customHeight="1" x14ac:dyDescent="0.3"/>
    <row r="614" ht="13.5" customHeight="1" x14ac:dyDescent="0.3"/>
    <row r="615" ht="13.5" customHeight="1" x14ac:dyDescent="0.3"/>
    <row r="616" ht="13.5" customHeight="1" x14ac:dyDescent="0.3"/>
    <row r="617" ht="13.5" customHeight="1" x14ac:dyDescent="0.3"/>
    <row r="618" ht="13.5" customHeight="1" x14ac:dyDescent="0.3"/>
    <row r="619" ht="13.5" customHeight="1" x14ac:dyDescent="0.3"/>
    <row r="620" ht="13.5" customHeight="1" x14ac:dyDescent="0.3"/>
    <row r="621" ht="13.5" customHeight="1" x14ac:dyDescent="0.3"/>
    <row r="622" ht="13.5" customHeight="1" x14ac:dyDescent="0.3"/>
    <row r="623" ht="13.5" customHeight="1" x14ac:dyDescent="0.3"/>
    <row r="624" ht="13.5" customHeight="1" x14ac:dyDescent="0.3"/>
    <row r="625" ht="13.5" customHeight="1" x14ac:dyDescent="0.3"/>
    <row r="626" ht="13.5" customHeight="1" x14ac:dyDescent="0.3"/>
    <row r="627" ht="13.5" customHeight="1" x14ac:dyDescent="0.3"/>
    <row r="628" ht="13.5" customHeight="1" x14ac:dyDescent="0.3"/>
    <row r="629" ht="13.5" customHeight="1" x14ac:dyDescent="0.3"/>
    <row r="630" ht="13.5" customHeight="1" x14ac:dyDescent="0.3"/>
    <row r="631" ht="13.5" customHeight="1" x14ac:dyDescent="0.3"/>
    <row r="632" ht="13.5" customHeight="1" x14ac:dyDescent="0.3"/>
    <row r="633" ht="13.5" customHeight="1" x14ac:dyDescent="0.3"/>
    <row r="634" ht="13.5" customHeight="1" x14ac:dyDescent="0.3"/>
    <row r="635" ht="13.5" customHeight="1" x14ac:dyDescent="0.3"/>
    <row r="636" ht="13.5" customHeight="1" x14ac:dyDescent="0.3"/>
    <row r="637" ht="13.5" customHeight="1" x14ac:dyDescent="0.3"/>
    <row r="638" ht="13.5" customHeight="1" x14ac:dyDescent="0.3"/>
    <row r="639" ht="13.5" customHeight="1" x14ac:dyDescent="0.3"/>
    <row r="640" ht="13.5" customHeight="1" x14ac:dyDescent="0.3"/>
    <row r="641" ht="13.5" customHeight="1" x14ac:dyDescent="0.3"/>
    <row r="642" ht="13.5" customHeight="1" x14ac:dyDescent="0.3"/>
    <row r="643" ht="13.5" customHeight="1" x14ac:dyDescent="0.3"/>
    <row r="644" ht="13.5" customHeight="1" x14ac:dyDescent="0.3"/>
    <row r="645" ht="13.5" customHeight="1" x14ac:dyDescent="0.3"/>
    <row r="646" ht="13.5" customHeight="1" x14ac:dyDescent="0.3"/>
    <row r="647" ht="13.5" customHeight="1" x14ac:dyDescent="0.3"/>
    <row r="648" ht="13.5" customHeight="1" x14ac:dyDescent="0.3"/>
    <row r="649" ht="13.5" customHeight="1" x14ac:dyDescent="0.3"/>
    <row r="650" ht="13.5" customHeight="1" x14ac:dyDescent="0.3"/>
    <row r="651" ht="13.5" customHeight="1" x14ac:dyDescent="0.3"/>
    <row r="652" ht="13.5" customHeight="1" x14ac:dyDescent="0.3"/>
    <row r="653" ht="13.5" customHeight="1" x14ac:dyDescent="0.3"/>
    <row r="654" ht="13.5" customHeight="1" x14ac:dyDescent="0.3"/>
    <row r="655" ht="13.5" customHeight="1" x14ac:dyDescent="0.3"/>
    <row r="656" ht="13.5" customHeight="1" x14ac:dyDescent="0.3"/>
    <row r="657" ht="13.5" customHeight="1" x14ac:dyDescent="0.3"/>
    <row r="658" ht="13.5" customHeight="1" x14ac:dyDescent="0.3"/>
    <row r="659" ht="13.5" customHeight="1" x14ac:dyDescent="0.3"/>
    <row r="660" ht="13.5" customHeight="1" x14ac:dyDescent="0.3"/>
    <row r="661" ht="13.5" customHeight="1" x14ac:dyDescent="0.3"/>
    <row r="662" ht="13.5" customHeight="1" x14ac:dyDescent="0.3"/>
    <row r="663" ht="13.5" customHeight="1" x14ac:dyDescent="0.3"/>
    <row r="664" ht="13.5" customHeight="1" x14ac:dyDescent="0.3"/>
    <row r="665" ht="13.5" customHeight="1" x14ac:dyDescent="0.3"/>
    <row r="666" ht="13.5" customHeight="1" x14ac:dyDescent="0.3"/>
    <row r="667" ht="13.5" customHeight="1" x14ac:dyDescent="0.3"/>
    <row r="668" ht="13.5" customHeight="1" x14ac:dyDescent="0.3"/>
    <row r="669" ht="13.5" customHeight="1" x14ac:dyDescent="0.3"/>
    <row r="670" ht="13.5" customHeight="1" x14ac:dyDescent="0.3"/>
    <row r="671" ht="13.5" customHeight="1" x14ac:dyDescent="0.3"/>
    <row r="672" ht="13.5" customHeight="1" x14ac:dyDescent="0.3"/>
    <row r="673" ht="13.5" customHeight="1" x14ac:dyDescent="0.3"/>
    <row r="674" ht="13.5" customHeight="1" x14ac:dyDescent="0.3"/>
    <row r="675" ht="13.5" customHeight="1" x14ac:dyDescent="0.3"/>
    <row r="676" ht="13.5" customHeight="1" x14ac:dyDescent="0.3"/>
    <row r="677" ht="13.5" customHeight="1" x14ac:dyDescent="0.3"/>
    <row r="678" ht="13.5" customHeight="1" x14ac:dyDescent="0.3"/>
    <row r="679" ht="13.5" customHeight="1" x14ac:dyDescent="0.3"/>
    <row r="680" ht="13.5" customHeight="1" x14ac:dyDescent="0.3"/>
    <row r="681" ht="13.5" customHeight="1" x14ac:dyDescent="0.3"/>
    <row r="682" ht="13.5" customHeight="1" x14ac:dyDescent="0.3"/>
    <row r="683" ht="13.5" customHeight="1" x14ac:dyDescent="0.3"/>
    <row r="684" ht="13.5" customHeight="1" x14ac:dyDescent="0.3"/>
    <row r="685" ht="13.5" customHeight="1" x14ac:dyDescent="0.3"/>
    <row r="686" ht="13.5" customHeight="1" x14ac:dyDescent="0.3"/>
    <row r="687" ht="13.5" customHeight="1" x14ac:dyDescent="0.3"/>
    <row r="688" ht="13.5" customHeight="1" x14ac:dyDescent="0.3"/>
    <row r="689" ht="13.5" customHeight="1" x14ac:dyDescent="0.3"/>
    <row r="690" ht="13.5" customHeight="1" x14ac:dyDescent="0.3"/>
    <row r="691" ht="13.5" customHeight="1" x14ac:dyDescent="0.3"/>
    <row r="692" ht="13.5" customHeight="1" x14ac:dyDescent="0.3"/>
    <row r="693" ht="13.5" customHeight="1" x14ac:dyDescent="0.3"/>
    <row r="694" ht="13.5" customHeight="1" x14ac:dyDescent="0.3"/>
    <row r="695" ht="13.5" customHeight="1" x14ac:dyDescent="0.3"/>
    <row r="696" ht="13.5" customHeight="1" x14ac:dyDescent="0.3"/>
    <row r="697" ht="13.5" customHeight="1" x14ac:dyDescent="0.3"/>
    <row r="698" ht="13.5" customHeight="1" x14ac:dyDescent="0.3"/>
    <row r="699" ht="13.5" customHeight="1" x14ac:dyDescent="0.3"/>
    <row r="700" ht="13.5" customHeight="1" x14ac:dyDescent="0.3"/>
    <row r="701" ht="13.5" customHeight="1" x14ac:dyDescent="0.3"/>
    <row r="702" ht="13.5" customHeight="1" x14ac:dyDescent="0.3"/>
    <row r="703" ht="13.5" customHeight="1" x14ac:dyDescent="0.3"/>
    <row r="704" ht="13.5" customHeight="1" x14ac:dyDescent="0.3"/>
    <row r="705" ht="13.5" customHeight="1" x14ac:dyDescent="0.3"/>
    <row r="706" ht="13.5" customHeight="1" x14ac:dyDescent="0.3"/>
    <row r="707" ht="13.5" customHeight="1" x14ac:dyDescent="0.3"/>
    <row r="708" ht="13.5" customHeight="1" x14ac:dyDescent="0.3"/>
    <row r="709" ht="13.5" customHeight="1" x14ac:dyDescent="0.3"/>
    <row r="710" ht="13.5" customHeight="1" x14ac:dyDescent="0.3"/>
    <row r="711" ht="13.5" customHeight="1" x14ac:dyDescent="0.3"/>
    <row r="712" ht="13.5" customHeight="1" x14ac:dyDescent="0.3"/>
    <row r="713" ht="13.5" customHeight="1" x14ac:dyDescent="0.3"/>
    <row r="714" ht="13.5" customHeight="1" x14ac:dyDescent="0.3"/>
    <row r="715" ht="13.5" customHeight="1" x14ac:dyDescent="0.3"/>
    <row r="716" ht="13.5" customHeight="1" x14ac:dyDescent="0.3"/>
    <row r="717" ht="13.5" customHeight="1" x14ac:dyDescent="0.3"/>
    <row r="718" ht="13.5" customHeight="1" x14ac:dyDescent="0.3"/>
    <row r="719" ht="13.5" customHeight="1" x14ac:dyDescent="0.3"/>
    <row r="720" ht="13.5" customHeight="1" x14ac:dyDescent="0.3"/>
    <row r="721" ht="13.5" customHeight="1" x14ac:dyDescent="0.3"/>
    <row r="722" ht="13.5" customHeight="1" x14ac:dyDescent="0.3"/>
    <row r="723" ht="13.5" customHeight="1" x14ac:dyDescent="0.3"/>
    <row r="724" ht="13.5" customHeight="1" x14ac:dyDescent="0.3"/>
    <row r="725" ht="13.5" customHeight="1" x14ac:dyDescent="0.3"/>
    <row r="726" ht="13.5" customHeight="1" x14ac:dyDescent="0.3"/>
    <row r="727" ht="13.5" customHeight="1" x14ac:dyDescent="0.3"/>
    <row r="728" ht="13.5" customHeight="1" x14ac:dyDescent="0.3"/>
    <row r="729" ht="13.5" customHeight="1" x14ac:dyDescent="0.3"/>
    <row r="730" ht="13.5" customHeight="1" x14ac:dyDescent="0.3"/>
    <row r="731" ht="13.5" customHeight="1" x14ac:dyDescent="0.3"/>
    <row r="732" ht="13.5" customHeight="1" x14ac:dyDescent="0.3"/>
    <row r="733" ht="13.5" customHeight="1" x14ac:dyDescent="0.3"/>
    <row r="734" ht="13.5" customHeight="1" x14ac:dyDescent="0.3"/>
    <row r="735" ht="13.5" customHeight="1" x14ac:dyDescent="0.3"/>
    <row r="736" ht="13.5" customHeight="1" x14ac:dyDescent="0.3"/>
    <row r="737" ht="13.5" customHeight="1" x14ac:dyDescent="0.3"/>
    <row r="738" ht="13.5" customHeight="1" x14ac:dyDescent="0.3"/>
    <row r="739" ht="13.5" customHeight="1" x14ac:dyDescent="0.3"/>
    <row r="740" ht="13.5" customHeight="1" x14ac:dyDescent="0.3"/>
    <row r="741" ht="13.5" customHeight="1" x14ac:dyDescent="0.3"/>
    <row r="742" ht="13.5" customHeight="1" x14ac:dyDescent="0.3"/>
    <row r="743" ht="13.5" customHeight="1" x14ac:dyDescent="0.3"/>
    <row r="744" ht="13.5" customHeight="1" x14ac:dyDescent="0.3"/>
    <row r="745" ht="13.5" customHeight="1" x14ac:dyDescent="0.3"/>
    <row r="746" ht="13.5" customHeight="1" x14ac:dyDescent="0.3"/>
    <row r="747" ht="13.5" customHeight="1" x14ac:dyDescent="0.3"/>
    <row r="748" ht="13.5" customHeight="1" x14ac:dyDescent="0.3"/>
    <row r="749" ht="13.5" customHeight="1" x14ac:dyDescent="0.3"/>
    <row r="750" ht="13.5" customHeight="1" x14ac:dyDescent="0.3"/>
    <row r="751" ht="13.5" customHeight="1" x14ac:dyDescent="0.3"/>
    <row r="752" ht="13.5" customHeight="1" x14ac:dyDescent="0.3"/>
    <row r="753" ht="13.5" customHeight="1" x14ac:dyDescent="0.3"/>
    <row r="754" ht="13.5" customHeight="1" x14ac:dyDescent="0.3"/>
    <row r="755" ht="13.5" customHeight="1" x14ac:dyDescent="0.3"/>
    <row r="756" ht="13.5" customHeight="1" x14ac:dyDescent="0.3"/>
    <row r="757" ht="13.5" customHeight="1" x14ac:dyDescent="0.3"/>
    <row r="758" ht="13.5" customHeight="1" x14ac:dyDescent="0.3"/>
    <row r="759" ht="13.5" customHeight="1" x14ac:dyDescent="0.3"/>
    <row r="760" ht="13.5" customHeight="1" x14ac:dyDescent="0.3"/>
    <row r="761" ht="13.5" customHeight="1" x14ac:dyDescent="0.3"/>
    <row r="762" ht="13.5" customHeight="1" x14ac:dyDescent="0.3"/>
    <row r="763" ht="13.5" customHeight="1" x14ac:dyDescent="0.3"/>
    <row r="764" ht="13.5" customHeight="1" x14ac:dyDescent="0.3"/>
    <row r="765" ht="13.5" customHeight="1" x14ac:dyDescent="0.3"/>
    <row r="766" ht="13.5" customHeight="1" x14ac:dyDescent="0.3"/>
    <row r="767" ht="13.5" customHeight="1" x14ac:dyDescent="0.3"/>
    <row r="768" ht="13.5" customHeight="1" x14ac:dyDescent="0.3"/>
    <row r="769" ht="13.5" customHeight="1" x14ac:dyDescent="0.3"/>
    <row r="770" ht="13.5" customHeight="1" x14ac:dyDescent="0.3"/>
    <row r="771" ht="13.5" customHeight="1" x14ac:dyDescent="0.3"/>
    <row r="772" ht="13.5" customHeight="1" x14ac:dyDescent="0.3"/>
    <row r="773" ht="13.5" customHeight="1" x14ac:dyDescent="0.3"/>
    <row r="774" ht="13.5" customHeight="1" x14ac:dyDescent="0.3"/>
    <row r="775" ht="13.5" customHeight="1" x14ac:dyDescent="0.3"/>
    <row r="776" ht="13.5" customHeight="1" x14ac:dyDescent="0.3"/>
    <row r="777" ht="13.5" customHeight="1" x14ac:dyDescent="0.3"/>
    <row r="778" ht="13.5" customHeight="1" x14ac:dyDescent="0.3"/>
    <row r="779" ht="13.5" customHeight="1" x14ac:dyDescent="0.3"/>
    <row r="780" ht="13.5" customHeight="1" x14ac:dyDescent="0.3"/>
    <row r="781" ht="13.5" customHeight="1" x14ac:dyDescent="0.3"/>
    <row r="782" ht="13.5" customHeight="1" x14ac:dyDescent="0.3"/>
    <row r="783" ht="13.5" customHeight="1" x14ac:dyDescent="0.3"/>
    <row r="784" ht="13.5" customHeight="1" x14ac:dyDescent="0.3"/>
    <row r="785" ht="13.5" customHeight="1" x14ac:dyDescent="0.3"/>
    <row r="786" ht="13.5" customHeight="1" x14ac:dyDescent="0.3"/>
    <row r="787" ht="13.5" customHeight="1" x14ac:dyDescent="0.3"/>
    <row r="788" ht="13.5" customHeight="1" x14ac:dyDescent="0.3"/>
    <row r="789" ht="13.5" customHeight="1" x14ac:dyDescent="0.3"/>
    <row r="790" ht="13.5" customHeight="1" x14ac:dyDescent="0.3"/>
    <row r="791" ht="13.5" customHeight="1" x14ac:dyDescent="0.3"/>
    <row r="792" ht="13.5" customHeight="1" x14ac:dyDescent="0.3"/>
    <row r="793" ht="13.5" customHeight="1" x14ac:dyDescent="0.3"/>
    <row r="794" ht="13.5" customHeight="1" x14ac:dyDescent="0.3"/>
    <row r="795" ht="13.5" customHeight="1" x14ac:dyDescent="0.3"/>
    <row r="796" ht="13.5" customHeight="1" x14ac:dyDescent="0.3"/>
    <row r="797" ht="13.5" customHeight="1" x14ac:dyDescent="0.3"/>
    <row r="798" ht="13.5" customHeight="1" x14ac:dyDescent="0.3"/>
    <row r="799" ht="13.5" customHeight="1" x14ac:dyDescent="0.3"/>
    <row r="800" ht="13.5" customHeight="1" x14ac:dyDescent="0.3"/>
    <row r="801" ht="13.5" customHeight="1" x14ac:dyDescent="0.3"/>
    <row r="802" ht="13.5" customHeight="1" x14ac:dyDescent="0.3"/>
    <row r="803" ht="13.5" customHeight="1" x14ac:dyDescent="0.3"/>
    <row r="804" ht="13.5" customHeight="1" x14ac:dyDescent="0.3"/>
    <row r="805" ht="13.5" customHeight="1" x14ac:dyDescent="0.3"/>
    <row r="806" ht="13.5" customHeight="1" x14ac:dyDescent="0.3"/>
    <row r="807" ht="13.5" customHeight="1" x14ac:dyDescent="0.3"/>
    <row r="808" ht="13.5" customHeight="1" x14ac:dyDescent="0.3"/>
    <row r="809" ht="13.5" customHeight="1" x14ac:dyDescent="0.3"/>
    <row r="810" ht="13.5" customHeight="1" x14ac:dyDescent="0.3"/>
    <row r="811" ht="13.5" customHeight="1" x14ac:dyDescent="0.3"/>
    <row r="812" ht="13.5" customHeight="1" x14ac:dyDescent="0.3"/>
    <row r="813" ht="13.5" customHeight="1" x14ac:dyDescent="0.3"/>
    <row r="814" ht="13.5" customHeight="1" x14ac:dyDescent="0.3"/>
    <row r="815" ht="13.5" customHeight="1" x14ac:dyDescent="0.3"/>
    <row r="816" ht="13.5" customHeight="1" x14ac:dyDescent="0.3"/>
    <row r="817" ht="13.5" customHeight="1" x14ac:dyDescent="0.3"/>
    <row r="818" ht="13.5" customHeight="1" x14ac:dyDescent="0.3"/>
    <row r="819" ht="13.5" customHeight="1" x14ac:dyDescent="0.3"/>
    <row r="820" ht="13.5" customHeight="1" x14ac:dyDescent="0.3"/>
    <row r="821" ht="13.5" customHeight="1" x14ac:dyDescent="0.3"/>
    <row r="822" ht="13.5" customHeight="1" x14ac:dyDescent="0.3"/>
    <row r="823" ht="13.5" customHeight="1" x14ac:dyDescent="0.3"/>
    <row r="824" ht="13.5" customHeight="1" x14ac:dyDescent="0.3"/>
    <row r="825" ht="13.5" customHeight="1" x14ac:dyDescent="0.3"/>
    <row r="826" ht="13.5" customHeight="1" x14ac:dyDescent="0.3"/>
    <row r="827" ht="13.5" customHeight="1" x14ac:dyDescent="0.3"/>
    <row r="828" ht="13.5" customHeight="1" x14ac:dyDescent="0.3"/>
    <row r="829" ht="13.5" customHeight="1" x14ac:dyDescent="0.3"/>
    <row r="830" ht="13.5" customHeight="1" x14ac:dyDescent="0.3"/>
    <row r="831" ht="13.5" customHeight="1" x14ac:dyDescent="0.3"/>
    <row r="832" ht="13.5" customHeight="1" x14ac:dyDescent="0.3"/>
    <row r="833" ht="13.5" customHeight="1" x14ac:dyDescent="0.3"/>
    <row r="834" ht="13.5" customHeight="1" x14ac:dyDescent="0.3"/>
    <row r="835" ht="13.5" customHeight="1" x14ac:dyDescent="0.3"/>
    <row r="836" ht="13.5" customHeight="1" x14ac:dyDescent="0.3"/>
    <row r="837" ht="13.5" customHeight="1" x14ac:dyDescent="0.3"/>
    <row r="838" ht="13.5" customHeight="1" x14ac:dyDescent="0.3"/>
    <row r="839" ht="13.5" customHeight="1" x14ac:dyDescent="0.3"/>
    <row r="840" ht="13.5" customHeight="1" x14ac:dyDescent="0.3"/>
    <row r="841" ht="13.5" customHeight="1" x14ac:dyDescent="0.3"/>
    <row r="842" ht="13.5" customHeight="1" x14ac:dyDescent="0.3"/>
    <row r="843" ht="13.5" customHeight="1" x14ac:dyDescent="0.3"/>
    <row r="844" ht="13.5" customHeight="1" x14ac:dyDescent="0.3"/>
    <row r="845" ht="13.5" customHeight="1" x14ac:dyDescent="0.3"/>
    <row r="846" ht="13.5" customHeight="1" x14ac:dyDescent="0.3"/>
    <row r="847" ht="13.5" customHeight="1" x14ac:dyDescent="0.3"/>
    <row r="848" ht="13.5" customHeight="1" x14ac:dyDescent="0.3"/>
    <row r="849" ht="13.5" customHeight="1" x14ac:dyDescent="0.3"/>
    <row r="850" ht="13.5" customHeight="1" x14ac:dyDescent="0.3"/>
    <row r="851" ht="13.5" customHeight="1" x14ac:dyDescent="0.3"/>
    <row r="852" ht="13.5" customHeight="1" x14ac:dyDescent="0.3"/>
    <row r="853" ht="13.5" customHeight="1" x14ac:dyDescent="0.3"/>
    <row r="854" ht="13.5" customHeight="1" x14ac:dyDescent="0.3"/>
    <row r="855" ht="13.5" customHeight="1" x14ac:dyDescent="0.3"/>
    <row r="856" ht="13.5" customHeight="1" x14ac:dyDescent="0.3"/>
    <row r="857" ht="13.5" customHeight="1" x14ac:dyDescent="0.3"/>
    <row r="858" ht="13.5" customHeight="1" x14ac:dyDescent="0.3"/>
    <row r="859" ht="13.5" customHeight="1" x14ac:dyDescent="0.3"/>
    <row r="860" ht="13.5" customHeight="1" x14ac:dyDescent="0.3"/>
    <row r="861" ht="13.5" customHeight="1" x14ac:dyDescent="0.3"/>
    <row r="862" ht="13.5" customHeight="1" x14ac:dyDescent="0.3"/>
    <row r="863" ht="13.5" customHeight="1" x14ac:dyDescent="0.3"/>
    <row r="864" ht="13.5" customHeight="1" x14ac:dyDescent="0.3"/>
    <row r="865" ht="13.5" customHeight="1" x14ac:dyDescent="0.3"/>
    <row r="866" ht="13.5" customHeight="1" x14ac:dyDescent="0.3"/>
    <row r="867" ht="13.5" customHeight="1" x14ac:dyDescent="0.3"/>
    <row r="868" ht="13.5" customHeight="1" x14ac:dyDescent="0.3"/>
    <row r="869" ht="13.5" customHeight="1" x14ac:dyDescent="0.3"/>
    <row r="870" ht="13.5" customHeight="1" x14ac:dyDescent="0.3"/>
    <row r="871" ht="13.5" customHeight="1" x14ac:dyDescent="0.3"/>
    <row r="872" ht="13.5" customHeight="1" x14ac:dyDescent="0.3"/>
    <row r="873" ht="13.5" customHeight="1" x14ac:dyDescent="0.3"/>
    <row r="874" ht="13.5" customHeight="1" x14ac:dyDescent="0.3"/>
    <row r="875" ht="13.5" customHeight="1" x14ac:dyDescent="0.3"/>
    <row r="876" ht="13.5" customHeight="1" x14ac:dyDescent="0.3"/>
    <row r="877" ht="13.5" customHeight="1" x14ac:dyDescent="0.3"/>
    <row r="878" ht="13.5" customHeight="1" x14ac:dyDescent="0.3"/>
    <row r="879" ht="13.5" customHeight="1" x14ac:dyDescent="0.3"/>
    <row r="880" ht="13.5" customHeight="1" x14ac:dyDescent="0.3"/>
    <row r="881" ht="13.5" customHeight="1" x14ac:dyDescent="0.3"/>
    <row r="882" ht="13.5" customHeight="1" x14ac:dyDescent="0.3"/>
    <row r="883" ht="13.5" customHeight="1" x14ac:dyDescent="0.3"/>
    <row r="884" ht="13.5" customHeight="1" x14ac:dyDescent="0.3"/>
    <row r="885" ht="13.5" customHeight="1" x14ac:dyDescent="0.3"/>
    <row r="886" ht="13.5" customHeight="1" x14ac:dyDescent="0.3"/>
    <row r="887" ht="13.5" customHeight="1" x14ac:dyDescent="0.3"/>
    <row r="888" ht="13.5" customHeight="1" x14ac:dyDescent="0.3"/>
    <row r="889" ht="13.5" customHeight="1" x14ac:dyDescent="0.3"/>
    <row r="890" ht="13.5" customHeight="1" x14ac:dyDescent="0.3"/>
    <row r="891" ht="13.5" customHeight="1" x14ac:dyDescent="0.3"/>
    <row r="892" ht="13.5" customHeight="1" x14ac:dyDescent="0.3"/>
    <row r="893" ht="13.5" customHeight="1" x14ac:dyDescent="0.3"/>
    <row r="894" ht="13.5" customHeight="1" x14ac:dyDescent="0.3"/>
    <row r="895" ht="13.5" customHeight="1" x14ac:dyDescent="0.3"/>
    <row r="896" ht="13.5" customHeight="1" x14ac:dyDescent="0.3"/>
    <row r="897" ht="13.5" customHeight="1" x14ac:dyDescent="0.3"/>
    <row r="898" ht="13.5" customHeight="1" x14ac:dyDescent="0.3"/>
    <row r="899" ht="13.5" customHeight="1" x14ac:dyDescent="0.3"/>
    <row r="900" ht="13.5" customHeight="1" x14ac:dyDescent="0.3"/>
    <row r="901" ht="13.5" customHeight="1" x14ac:dyDescent="0.3"/>
    <row r="902" ht="13.5" customHeight="1" x14ac:dyDescent="0.3"/>
    <row r="903" ht="13.5" customHeight="1" x14ac:dyDescent="0.3"/>
    <row r="904" ht="13.5" customHeight="1" x14ac:dyDescent="0.3"/>
    <row r="905" ht="13.5" customHeight="1" x14ac:dyDescent="0.3"/>
    <row r="906" ht="13.5" customHeight="1" x14ac:dyDescent="0.3"/>
    <row r="907" ht="13.5" customHeight="1" x14ac:dyDescent="0.3"/>
    <row r="908" ht="13.5" customHeight="1" x14ac:dyDescent="0.3"/>
    <row r="909" ht="13.5" customHeight="1" x14ac:dyDescent="0.3"/>
    <row r="910" ht="13.5" customHeight="1" x14ac:dyDescent="0.3"/>
    <row r="911" ht="13.5" customHeight="1" x14ac:dyDescent="0.3"/>
    <row r="912" ht="13.5" customHeight="1" x14ac:dyDescent="0.3"/>
    <row r="913" ht="13.5" customHeight="1" x14ac:dyDescent="0.3"/>
    <row r="914" ht="13.5" customHeight="1" x14ac:dyDescent="0.3"/>
    <row r="915" ht="13.5" customHeight="1" x14ac:dyDescent="0.3"/>
    <row r="916" ht="13.5" customHeight="1" x14ac:dyDescent="0.3"/>
    <row r="917" ht="13.5" customHeight="1" x14ac:dyDescent="0.3"/>
    <row r="918" ht="13.5" customHeight="1" x14ac:dyDescent="0.3"/>
    <row r="919" ht="13.5" customHeight="1" x14ac:dyDescent="0.3"/>
    <row r="920" ht="13.5" customHeight="1" x14ac:dyDescent="0.3"/>
    <row r="921" ht="13.5" customHeight="1" x14ac:dyDescent="0.3"/>
    <row r="922" ht="13.5" customHeight="1" x14ac:dyDescent="0.3"/>
    <row r="923" ht="13.5" customHeight="1" x14ac:dyDescent="0.3"/>
    <row r="924" ht="13.5" customHeight="1" x14ac:dyDescent="0.3"/>
    <row r="925" ht="13.5" customHeight="1" x14ac:dyDescent="0.3"/>
    <row r="926" ht="13.5" customHeight="1" x14ac:dyDescent="0.3"/>
    <row r="927" ht="13.5" customHeight="1" x14ac:dyDescent="0.3"/>
    <row r="928" ht="13.5" customHeight="1" x14ac:dyDescent="0.3"/>
    <row r="929" ht="13.5" customHeight="1" x14ac:dyDescent="0.3"/>
    <row r="930" ht="13.5" customHeight="1" x14ac:dyDescent="0.3"/>
    <row r="931" ht="13.5" customHeight="1" x14ac:dyDescent="0.3"/>
    <row r="932" ht="13.5" customHeight="1" x14ac:dyDescent="0.3"/>
    <row r="933" ht="13.5" customHeight="1" x14ac:dyDescent="0.3"/>
    <row r="934" ht="13.5" customHeight="1" x14ac:dyDescent="0.3"/>
    <row r="935" ht="13.5" customHeight="1" x14ac:dyDescent="0.3"/>
    <row r="936" ht="13.5" customHeight="1" x14ac:dyDescent="0.3"/>
    <row r="937" ht="13.5" customHeight="1" x14ac:dyDescent="0.3"/>
    <row r="938" ht="13.5" customHeight="1" x14ac:dyDescent="0.3"/>
    <row r="939" ht="13.5" customHeight="1" x14ac:dyDescent="0.3"/>
    <row r="940" ht="13.5" customHeight="1" x14ac:dyDescent="0.3"/>
    <row r="941" ht="13.5" customHeight="1" x14ac:dyDescent="0.3"/>
    <row r="942" ht="13.5" customHeight="1" x14ac:dyDescent="0.3"/>
    <row r="943" ht="13.5" customHeight="1" x14ac:dyDescent="0.3"/>
    <row r="944" ht="13.5" customHeight="1" x14ac:dyDescent="0.3"/>
    <row r="945" ht="13.5" customHeight="1" x14ac:dyDescent="0.3"/>
    <row r="946" ht="13.5" customHeight="1" x14ac:dyDescent="0.3"/>
    <row r="947" ht="13.5" customHeight="1" x14ac:dyDescent="0.3"/>
    <row r="948" ht="13.5" customHeight="1" x14ac:dyDescent="0.3"/>
    <row r="949" ht="13.5" customHeight="1" x14ac:dyDescent="0.3"/>
    <row r="950" ht="13.5" customHeight="1" x14ac:dyDescent="0.3"/>
    <row r="951" ht="13.5" customHeight="1" x14ac:dyDescent="0.3"/>
    <row r="952" ht="13.5" customHeight="1" x14ac:dyDescent="0.3"/>
    <row r="953" ht="13.5" customHeight="1" x14ac:dyDescent="0.3"/>
    <row r="954" ht="13.5" customHeight="1" x14ac:dyDescent="0.3"/>
    <row r="955" ht="13.5" customHeight="1" x14ac:dyDescent="0.3"/>
    <row r="956" ht="13.5" customHeight="1" x14ac:dyDescent="0.3"/>
    <row r="957" ht="13.5" customHeight="1" x14ac:dyDescent="0.3"/>
    <row r="958" ht="13.5" customHeight="1" x14ac:dyDescent="0.3"/>
    <row r="959" ht="13.5" customHeight="1" x14ac:dyDescent="0.3"/>
    <row r="960" ht="13.5" customHeight="1" x14ac:dyDescent="0.3"/>
    <row r="961" ht="13.5" customHeight="1" x14ac:dyDescent="0.3"/>
    <row r="962" ht="13.5" customHeight="1" x14ac:dyDescent="0.3"/>
    <row r="963" ht="13.5" customHeight="1" x14ac:dyDescent="0.3"/>
    <row r="964" ht="13.5" customHeight="1" x14ac:dyDescent="0.3"/>
    <row r="965" ht="13.5" customHeight="1" x14ac:dyDescent="0.3"/>
    <row r="966" ht="13.5" customHeight="1" x14ac:dyDescent="0.3"/>
    <row r="967" ht="13.5" customHeight="1" x14ac:dyDescent="0.3"/>
    <row r="968" ht="13.5" customHeight="1" x14ac:dyDescent="0.3"/>
    <row r="969" ht="13.5" customHeight="1" x14ac:dyDescent="0.3"/>
    <row r="970" ht="13.5" customHeight="1" x14ac:dyDescent="0.3"/>
    <row r="971" ht="13.5" customHeight="1" x14ac:dyDescent="0.3"/>
    <row r="972" ht="13.5" customHeight="1" x14ac:dyDescent="0.3"/>
    <row r="973" ht="13.5" customHeight="1" x14ac:dyDescent="0.3"/>
    <row r="974" ht="13.5" customHeight="1" x14ac:dyDescent="0.3"/>
    <row r="975" ht="13.5" customHeight="1" x14ac:dyDescent="0.3"/>
    <row r="976" ht="13.5" customHeight="1" x14ac:dyDescent="0.3"/>
    <row r="977" ht="13.5" customHeight="1" x14ac:dyDescent="0.3"/>
    <row r="978" ht="13.5" customHeight="1" x14ac:dyDescent="0.3"/>
    <row r="979" ht="13.5" customHeight="1" x14ac:dyDescent="0.3"/>
    <row r="980" ht="13.5" customHeight="1" x14ac:dyDescent="0.3"/>
    <row r="981" ht="13.5" customHeight="1" x14ac:dyDescent="0.3"/>
    <row r="982" ht="13.5" customHeight="1" x14ac:dyDescent="0.3"/>
    <row r="983" ht="13.5" customHeight="1" x14ac:dyDescent="0.3"/>
    <row r="984" ht="13.5" customHeight="1" x14ac:dyDescent="0.3"/>
    <row r="985" ht="13.5" customHeight="1" x14ac:dyDescent="0.3"/>
    <row r="986" ht="13.5" customHeight="1" x14ac:dyDescent="0.3"/>
    <row r="987" ht="13.5" customHeight="1" x14ac:dyDescent="0.3"/>
    <row r="988" ht="13.5" customHeight="1" x14ac:dyDescent="0.3"/>
    <row r="989" ht="13.5" customHeight="1" x14ac:dyDescent="0.3"/>
    <row r="990" ht="13.5" customHeight="1" x14ac:dyDescent="0.3"/>
    <row r="991" ht="13.5" customHeight="1" x14ac:dyDescent="0.3"/>
    <row r="992" ht="13.5" customHeight="1" x14ac:dyDescent="0.3"/>
    <row r="993" ht="13.5" customHeight="1" x14ac:dyDescent="0.3"/>
    <row r="994" ht="13.5" customHeight="1" x14ac:dyDescent="0.3"/>
    <row r="995" ht="13.5" customHeight="1" x14ac:dyDescent="0.3"/>
    <row r="996" ht="13.5" customHeight="1" x14ac:dyDescent="0.3"/>
    <row r="997" ht="13.5" customHeight="1" x14ac:dyDescent="0.3"/>
    <row r="998" ht="13.5" customHeight="1" x14ac:dyDescent="0.3"/>
    <row r="999" ht="13.5" customHeight="1" x14ac:dyDescent="0.3"/>
    <row r="1000" ht="13.5" customHeight="1" x14ac:dyDescent="0.3"/>
  </sheetData>
  <pageMargins left="0.511811024" right="0.511811024" top="0.78740157499999996" bottom="0.78740157499999996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000"/>
  <sheetViews>
    <sheetView zoomScale="85" zoomScaleNormal="85" workbookViewId="0">
      <selection activeCell="S5" sqref="S5"/>
    </sheetView>
  </sheetViews>
  <sheetFormatPr defaultColWidth="14.44140625" defaultRowHeight="15" customHeight="1" x14ac:dyDescent="0.3"/>
  <cols>
    <col min="1" max="2" width="12.33203125" customWidth="1"/>
    <col min="3" max="3" width="15.88671875" bestFit="1" customWidth="1"/>
    <col min="4" max="4" width="17.44140625" customWidth="1"/>
    <col min="5" max="7" width="8.6640625" customWidth="1"/>
    <col min="8" max="8" width="10.109375" bestFit="1" customWidth="1"/>
    <col min="9" max="9" width="12.77734375" bestFit="1" customWidth="1"/>
    <col min="10" max="10" width="11" bestFit="1" customWidth="1"/>
    <col min="11" max="11" width="12.77734375" bestFit="1" customWidth="1"/>
    <col min="12" max="12" width="18.109375" bestFit="1" customWidth="1"/>
    <col min="13" max="13" width="15.88671875" bestFit="1" customWidth="1"/>
    <col min="14" max="16" width="8.6640625" customWidth="1"/>
    <col min="17" max="17" width="13.77734375" bestFit="1" customWidth="1"/>
    <col min="18" max="19" width="8.6640625" customWidth="1"/>
    <col min="20" max="20" width="12.77734375" bestFit="1" customWidth="1"/>
    <col min="21" max="28" width="8.6640625" customWidth="1"/>
  </cols>
  <sheetData>
    <row r="1" spans="1:20" ht="13.5" customHeight="1" x14ac:dyDescent="0.3"/>
    <row r="2" spans="1:20" ht="13.5" customHeight="1" x14ac:dyDescent="0.3"/>
    <row r="3" spans="1:20" ht="13.5" customHeight="1" x14ac:dyDescent="0.3">
      <c r="A3" s="131" t="s">
        <v>122</v>
      </c>
      <c r="B3" s="142" t="s">
        <v>132</v>
      </c>
      <c r="C3" s="131" t="s">
        <v>48</v>
      </c>
      <c r="D3" s="131" t="s">
        <v>123</v>
      </c>
      <c r="H3" s="131" t="s">
        <v>122</v>
      </c>
      <c r="I3" s="131"/>
      <c r="J3" s="131" t="s">
        <v>124</v>
      </c>
      <c r="K3" s="131" t="s">
        <v>123</v>
      </c>
      <c r="L3" s="142" t="s">
        <v>133</v>
      </c>
      <c r="M3" s="142" t="s">
        <v>134</v>
      </c>
      <c r="N3" s="150" t="s">
        <v>135</v>
      </c>
      <c r="Q3" s="131" t="s">
        <v>125</v>
      </c>
      <c r="R3" s="131"/>
      <c r="S3" s="131" t="s">
        <v>126</v>
      </c>
      <c r="T3" s="131" t="s">
        <v>123</v>
      </c>
    </row>
    <row r="4" spans="1:20" ht="13.5" customHeight="1" x14ac:dyDescent="0.3">
      <c r="A4" s="135">
        <v>-0.1</v>
      </c>
      <c r="B4" s="143">
        <f>$B$7*(1+A4)</f>
        <v>225</v>
      </c>
      <c r="C4" s="133">
        <f>B4*DADOS!$B$8</f>
        <v>3375000</v>
      </c>
      <c r="D4" s="134">
        <v>132706239.28558935</v>
      </c>
      <c r="H4" s="147">
        <v>-0.15</v>
      </c>
      <c r="I4" s="131"/>
      <c r="J4" s="148">
        <f>(1+H4)*$J$7</f>
        <v>95647.295499999978</v>
      </c>
      <c r="K4" s="134">
        <v>183621349.15580776</v>
      </c>
      <c r="L4" s="149">
        <f>J4*DADOS!$B$9*DADOS!$B$8/1000</f>
        <v>203728739.41499996</v>
      </c>
      <c r="M4" s="151">
        <f>DADOS!$B$9*$C$7</f>
        <v>532500000</v>
      </c>
      <c r="N4" s="152">
        <f>L4/M4</f>
        <v>0.38258918199999992</v>
      </c>
      <c r="Q4" s="38">
        <v>20</v>
      </c>
      <c r="R4" s="38"/>
      <c r="S4" s="180">
        <v>9.4000000000000004E-3</v>
      </c>
      <c r="T4" s="134">
        <v>174457162.9699086</v>
      </c>
    </row>
    <row r="5" spans="1:20" ht="13.5" customHeight="1" x14ac:dyDescent="0.3">
      <c r="A5" s="135">
        <v>-6.6600000000000006E-2</v>
      </c>
      <c r="B5" s="143">
        <f t="shared" ref="B5:B6" si="0">$B$7*(1+A5)</f>
        <v>233.35</v>
      </c>
      <c r="C5" s="133">
        <f>B5*DADOS!$B$8</f>
        <v>3500250</v>
      </c>
      <c r="D5" s="134">
        <v>142774000.68340257</v>
      </c>
      <c r="H5" s="132">
        <v>-0.1</v>
      </c>
      <c r="I5" s="132"/>
      <c r="J5" s="148">
        <f>(1+H5)*$J$7</f>
        <v>101273.60699999999</v>
      </c>
      <c r="K5" s="134">
        <v>176697311.93141681</v>
      </c>
      <c r="L5" s="149">
        <f>J5*DADOS!$B$9*DADOS!$B$8/1000</f>
        <v>215712782.90999997</v>
      </c>
      <c r="M5" s="151">
        <f>DADOS!$B$9*$C$7</f>
        <v>532500000</v>
      </c>
      <c r="N5" s="152">
        <f t="shared" ref="N5:N10" si="1">L5/M5</f>
        <v>0.40509442799999995</v>
      </c>
      <c r="Q5" s="38">
        <v>27.5</v>
      </c>
      <c r="R5" s="38"/>
      <c r="S5" s="180">
        <v>1.0200000000000001E-2</v>
      </c>
      <c r="T5" s="134">
        <v>168526242.73750892</v>
      </c>
    </row>
    <row r="6" spans="1:20" ht="13.5" customHeight="1" x14ac:dyDescent="0.3">
      <c r="A6" s="135">
        <v>-3.3300000000000003E-2</v>
      </c>
      <c r="B6" s="143">
        <f t="shared" si="0"/>
        <v>241.67500000000001</v>
      </c>
      <c r="C6" s="133">
        <f>B6*DADOS!$B$8</f>
        <v>3625125</v>
      </c>
      <c r="D6" s="134">
        <v>152817647.68265814</v>
      </c>
      <c r="H6" s="132">
        <v>-0.05</v>
      </c>
      <c r="I6" s="132"/>
      <c r="J6" s="148">
        <f>(1+H6)*$J$7</f>
        <v>106899.91849999997</v>
      </c>
      <c r="K6" s="134">
        <v>169773274.70702577</v>
      </c>
      <c r="L6" s="149">
        <f>J6*DADOS!$B$9*DADOS!$B$8/1000</f>
        <v>227696826.40499994</v>
      </c>
      <c r="M6" s="151">
        <f>DADOS!$B$9*$C$7</f>
        <v>532500000</v>
      </c>
      <c r="N6" s="152">
        <f t="shared" si="1"/>
        <v>0.42759967399999987</v>
      </c>
      <c r="Q6" s="38">
        <v>35</v>
      </c>
      <c r="R6" s="38"/>
      <c r="S6" s="180">
        <f>ANÁLISES!B21</f>
        <v>1.1049422492014793E-2</v>
      </c>
      <c r="T6" s="145">
        <f>ANÁLISES!F14</f>
        <v>161199237.48263481</v>
      </c>
    </row>
    <row r="7" spans="1:20" ht="13.5" customHeight="1" x14ac:dyDescent="0.3">
      <c r="A7" s="135">
        <v>0</v>
      </c>
      <c r="B7" s="38">
        <v>250</v>
      </c>
      <c r="C7" s="133">
        <f>B7*DADOS!$B$8</f>
        <v>3750000</v>
      </c>
      <c r="D7" s="145">
        <f>ANÁLISES!F14</f>
        <v>161199237.48263481</v>
      </c>
      <c r="H7" s="132">
        <v>0</v>
      </c>
      <c r="I7" s="132"/>
      <c r="J7" s="134">
        <f>PINI!D14</f>
        <v>112526.22999999998</v>
      </c>
      <c r="K7" s="145">
        <f>D7</f>
        <v>161199237.48263481</v>
      </c>
      <c r="L7" s="149">
        <f>J7*DADOS!$B$9*DADOS!$B$8/1000</f>
        <v>239680869.89999995</v>
      </c>
      <c r="M7" s="151">
        <f>DADOS!$B$9*$C$7</f>
        <v>532500000</v>
      </c>
      <c r="N7" s="152">
        <f t="shared" si="1"/>
        <v>0.45010491999999991</v>
      </c>
      <c r="Q7" s="38">
        <v>42.5</v>
      </c>
      <c r="R7" s="38"/>
      <c r="S7" s="180">
        <v>1.18E-2</v>
      </c>
      <c r="T7" s="134">
        <v>157412618.87140647</v>
      </c>
    </row>
    <row r="8" spans="1:20" ht="13.5" customHeight="1" x14ac:dyDescent="0.3">
      <c r="A8" s="135">
        <v>3.3300000000000003E-2</v>
      </c>
      <c r="B8" s="143">
        <f>$B$7*(1+A8)</f>
        <v>258.32500000000005</v>
      </c>
      <c r="C8" s="133">
        <f>B8*DADOS!$B$8</f>
        <v>3874875.0000000005</v>
      </c>
      <c r="D8" s="134">
        <v>172892884.48189026</v>
      </c>
      <c r="H8" s="132">
        <v>0.05</v>
      </c>
      <c r="I8" s="132"/>
      <c r="J8" s="148">
        <f>(1+H8)*$J$7</f>
        <v>118152.54149999999</v>
      </c>
      <c r="K8" s="134">
        <v>155925200.25824383</v>
      </c>
      <c r="L8" s="149">
        <f>J8*DADOS!$B$9*DADOS!$B$8/1000</f>
        <v>251664913.39500001</v>
      </c>
      <c r="M8" s="151">
        <f>DADOS!$B$9*$C$7</f>
        <v>532500000</v>
      </c>
      <c r="N8" s="152">
        <f t="shared" si="1"/>
        <v>0.472610166</v>
      </c>
      <c r="Q8" s="38">
        <v>50</v>
      </c>
      <c r="R8" s="38"/>
      <c r="S8" s="180">
        <v>1.26E-2</v>
      </c>
      <c r="T8" s="134">
        <v>152203712.88062373</v>
      </c>
    </row>
    <row r="9" spans="1:20" ht="13.5" customHeight="1" x14ac:dyDescent="0.3">
      <c r="A9" s="135">
        <v>6.6600000000000006E-2</v>
      </c>
      <c r="B9" s="143">
        <f t="shared" ref="B9:B10" si="2">$B$7*(1+A9)</f>
        <v>266.64999999999998</v>
      </c>
      <c r="C9" s="133">
        <f>B9*DADOS!$B$8</f>
        <v>3999749.9999999995</v>
      </c>
      <c r="D9" s="134">
        <v>182924474.28186706</v>
      </c>
      <c r="H9" s="132">
        <v>0.1</v>
      </c>
      <c r="I9" s="132"/>
      <c r="J9" s="148">
        <f>(1+H9)*$J$7</f>
        <v>123778.85299999999</v>
      </c>
      <c r="K9" s="134">
        <v>149001163.03385288</v>
      </c>
      <c r="L9" s="149">
        <f>J9*DADOS!$B$9*DADOS!$B$8/1000</f>
        <v>263648956.88999996</v>
      </c>
      <c r="M9" s="151">
        <f>DADOS!$B$9*$C$7</f>
        <v>532500000</v>
      </c>
      <c r="N9" s="152">
        <f t="shared" si="1"/>
        <v>0.49511541199999992</v>
      </c>
    </row>
    <row r="10" spans="1:20" ht="13.5" customHeight="1" x14ac:dyDescent="0.3">
      <c r="A10" s="135">
        <v>0.1</v>
      </c>
      <c r="B10" s="143">
        <f t="shared" si="2"/>
        <v>275</v>
      </c>
      <c r="C10" s="133">
        <f>B10*DADOS!$B$8</f>
        <v>4125000</v>
      </c>
      <c r="D10" s="134">
        <v>192992235.67968032</v>
      </c>
      <c r="H10" s="146">
        <v>0.15</v>
      </c>
      <c r="J10" s="148">
        <f>(1+H10)*$J$7</f>
        <v>129405.16449999997</v>
      </c>
      <c r="K10" s="134">
        <v>142077125.80946195</v>
      </c>
      <c r="L10" s="149">
        <f>J10*DADOS!$B$9*DADOS!$B$8/1000</f>
        <v>275633000.38499993</v>
      </c>
      <c r="M10" s="151">
        <f>DADOS!$B$9*$C$7</f>
        <v>532500000</v>
      </c>
      <c r="N10" s="152">
        <f t="shared" si="1"/>
        <v>0.5176206579999999</v>
      </c>
    </row>
    <row r="11" spans="1:20" ht="13.5" customHeight="1" x14ac:dyDescent="0.3"/>
    <row r="12" spans="1:20" ht="13.5" customHeight="1" x14ac:dyDescent="0.3"/>
    <row r="13" spans="1:20" ht="13.5" customHeight="1" x14ac:dyDescent="0.3"/>
    <row r="14" spans="1:20" ht="13.5" customHeight="1" x14ac:dyDescent="0.3"/>
    <row r="15" spans="1:20" ht="13.5" customHeight="1" x14ac:dyDescent="0.3"/>
    <row r="16" spans="1:20" ht="13.5" customHeight="1" x14ac:dyDescent="0.3"/>
    <row r="17" ht="13.5" customHeight="1" x14ac:dyDescent="0.3"/>
    <row r="18" ht="13.5" customHeight="1" x14ac:dyDescent="0.3"/>
    <row r="19" ht="13.5" customHeight="1" x14ac:dyDescent="0.3"/>
    <row r="20" ht="13.5" customHeight="1" x14ac:dyDescent="0.3"/>
    <row r="21" ht="13.5" customHeight="1" x14ac:dyDescent="0.3"/>
    <row r="22" ht="13.5" customHeight="1" x14ac:dyDescent="0.3"/>
    <row r="23" ht="13.5" customHeight="1" x14ac:dyDescent="0.3"/>
    <row r="24" ht="13.5" customHeight="1" x14ac:dyDescent="0.3"/>
    <row r="25" ht="13.5" customHeight="1" x14ac:dyDescent="0.3"/>
    <row r="26" ht="13.5" customHeight="1" x14ac:dyDescent="0.3"/>
    <row r="27" ht="13.5" customHeight="1" x14ac:dyDescent="0.3"/>
    <row r="28" ht="13.5" customHeight="1" x14ac:dyDescent="0.3"/>
    <row r="29" ht="13.5" customHeight="1" x14ac:dyDescent="0.3"/>
    <row r="30" ht="13.5" customHeight="1" x14ac:dyDescent="0.3"/>
    <row r="31" ht="13.5" customHeight="1" x14ac:dyDescent="0.3"/>
    <row r="32" ht="13.5" customHeight="1" x14ac:dyDescent="0.3"/>
    <row r="33" ht="13.5" customHeight="1" x14ac:dyDescent="0.3"/>
    <row r="34" ht="13.5" customHeight="1" x14ac:dyDescent="0.3"/>
    <row r="35" ht="13.5" customHeight="1" x14ac:dyDescent="0.3"/>
    <row r="36" ht="13.5" customHeight="1" x14ac:dyDescent="0.3"/>
    <row r="37" ht="13.5" customHeight="1" x14ac:dyDescent="0.3"/>
    <row r="38" ht="13.5" customHeight="1" x14ac:dyDescent="0.3"/>
    <row r="39" ht="13.5" customHeight="1" x14ac:dyDescent="0.3"/>
    <row r="40" ht="13.5" customHeight="1" x14ac:dyDescent="0.3"/>
    <row r="41" ht="13.5" customHeight="1" x14ac:dyDescent="0.3"/>
    <row r="42" ht="13.5" customHeight="1" x14ac:dyDescent="0.3"/>
    <row r="43" ht="13.5" customHeight="1" x14ac:dyDescent="0.3"/>
    <row r="44" ht="13.5" customHeight="1" x14ac:dyDescent="0.3"/>
    <row r="45" ht="13.5" customHeight="1" x14ac:dyDescent="0.3"/>
    <row r="46" ht="13.5" customHeight="1" x14ac:dyDescent="0.3"/>
    <row r="47" ht="13.5" customHeight="1" x14ac:dyDescent="0.3"/>
    <row r="48" ht="13.5" customHeight="1" x14ac:dyDescent="0.3"/>
    <row r="49" ht="13.5" customHeight="1" x14ac:dyDescent="0.3"/>
    <row r="50" ht="13.5" customHeight="1" x14ac:dyDescent="0.3"/>
    <row r="51" ht="13.5" customHeight="1" x14ac:dyDescent="0.3"/>
    <row r="52" ht="13.5" customHeight="1" x14ac:dyDescent="0.3"/>
    <row r="53" ht="13.5" customHeight="1" x14ac:dyDescent="0.3"/>
    <row r="54" ht="13.5" customHeight="1" x14ac:dyDescent="0.3"/>
    <row r="55" ht="13.5" customHeight="1" x14ac:dyDescent="0.3"/>
    <row r="56" ht="13.5" customHeight="1" x14ac:dyDescent="0.3"/>
    <row r="57" ht="13.5" customHeight="1" x14ac:dyDescent="0.3"/>
    <row r="58" ht="13.5" customHeight="1" x14ac:dyDescent="0.3"/>
    <row r="59" ht="13.5" customHeight="1" x14ac:dyDescent="0.3"/>
    <row r="60" ht="13.5" customHeight="1" x14ac:dyDescent="0.3"/>
    <row r="61" ht="13.5" customHeight="1" x14ac:dyDescent="0.3"/>
    <row r="62" ht="13.5" customHeight="1" x14ac:dyDescent="0.3"/>
    <row r="63" ht="13.5" customHeight="1" x14ac:dyDescent="0.3"/>
    <row r="64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  <row r="77" ht="13.5" customHeight="1" x14ac:dyDescent="0.3"/>
    <row r="78" ht="13.5" customHeight="1" x14ac:dyDescent="0.3"/>
    <row r="79" ht="13.5" customHeight="1" x14ac:dyDescent="0.3"/>
    <row r="80" ht="13.5" customHeight="1" x14ac:dyDescent="0.3"/>
    <row r="81" ht="13.5" customHeight="1" x14ac:dyDescent="0.3"/>
    <row r="82" ht="13.5" customHeight="1" x14ac:dyDescent="0.3"/>
    <row r="83" ht="13.5" customHeight="1" x14ac:dyDescent="0.3"/>
    <row r="84" ht="13.5" customHeight="1" x14ac:dyDescent="0.3"/>
    <row r="85" ht="13.5" customHeight="1" x14ac:dyDescent="0.3"/>
    <row r="86" ht="13.5" customHeight="1" x14ac:dyDescent="0.3"/>
    <row r="87" ht="13.5" customHeight="1" x14ac:dyDescent="0.3"/>
    <row r="88" ht="13.5" customHeight="1" x14ac:dyDescent="0.3"/>
    <row r="89" ht="13.5" customHeight="1" x14ac:dyDescent="0.3"/>
    <row r="90" ht="13.5" customHeight="1" x14ac:dyDescent="0.3"/>
    <row r="91" ht="13.5" customHeight="1" x14ac:dyDescent="0.3"/>
    <row r="92" ht="13.5" customHeight="1" x14ac:dyDescent="0.3"/>
    <row r="93" ht="13.5" customHeight="1" x14ac:dyDescent="0.3"/>
    <row r="94" ht="13.5" customHeight="1" x14ac:dyDescent="0.3"/>
    <row r="95" ht="13.5" customHeight="1" x14ac:dyDescent="0.3"/>
    <row r="96" ht="13.5" customHeight="1" x14ac:dyDescent="0.3"/>
    <row r="97" ht="13.5" customHeight="1" x14ac:dyDescent="0.3"/>
    <row r="98" ht="13.5" customHeight="1" x14ac:dyDescent="0.3"/>
    <row r="99" ht="13.5" customHeight="1" x14ac:dyDescent="0.3"/>
    <row r="100" ht="13.5" customHeight="1" x14ac:dyDescent="0.3"/>
    <row r="101" ht="13.5" customHeight="1" x14ac:dyDescent="0.3"/>
    <row r="102" ht="13.5" customHeight="1" x14ac:dyDescent="0.3"/>
    <row r="103" ht="13.5" customHeight="1" x14ac:dyDescent="0.3"/>
    <row r="104" ht="13.5" customHeight="1" x14ac:dyDescent="0.3"/>
    <row r="105" ht="13.5" customHeight="1" x14ac:dyDescent="0.3"/>
    <row r="106" ht="13.5" customHeight="1" x14ac:dyDescent="0.3"/>
    <row r="107" ht="13.5" customHeight="1" x14ac:dyDescent="0.3"/>
    <row r="108" ht="13.5" customHeight="1" x14ac:dyDescent="0.3"/>
    <row r="109" ht="13.5" customHeight="1" x14ac:dyDescent="0.3"/>
    <row r="110" ht="13.5" customHeight="1" x14ac:dyDescent="0.3"/>
    <row r="111" ht="13.5" customHeight="1" x14ac:dyDescent="0.3"/>
    <row r="112" ht="13.5" customHeight="1" x14ac:dyDescent="0.3"/>
    <row r="113" ht="13.5" customHeight="1" x14ac:dyDescent="0.3"/>
    <row r="114" ht="13.5" customHeight="1" x14ac:dyDescent="0.3"/>
    <row r="115" ht="13.5" customHeight="1" x14ac:dyDescent="0.3"/>
    <row r="116" ht="13.5" customHeight="1" x14ac:dyDescent="0.3"/>
    <row r="117" ht="13.5" customHeight="1" x14ac:dyDescent="0.3"/>
    <row r="118" ht="13.5" customHeight="1" x14ac:dyDescent="0.3"/>
    <row r="119" ht="13.5" customHeight="1" x14ac:dyDescent="0.3"/>
    <row r="120" ht="13.5" customHeight="1" x14ac:dyDescent="0.3"/>
    <row r="121" ht="13.5" customHeight="1" x14ac:dyDescent="0.3"/>
    <row r="122" ht="13.5" customHeight="1" x14ac:dyDescent="0.3"/>
    <row r="123" ht="13.5" customHeight="1" x14ac:dyDescent="0.3"/>
    <row r="124" ht="13.5" customHeight="1" x14ac:dyDescent="0.3"/>
    <row r="125" ht="13.5" customHeight="1" x14ac:dyDescent="0.3"/>
    <row r="126" ht="13.5" customHeight="1" x14ac:dyDescent="0.3"/>
    <row r="127" ht="13.5" customHeight="1" x14ac:dyDescent="0.3"/>
    <row r="128" ht="13.5" customHeight="1" x14ac:dyDescent="0.3"/>
    <row r="129" ht="13.5" customHeight="1" x14ac:dyDescent="0.3"/>
    <row r="130" ht="13.5" customHeight="1" x14ac:dyDescent="0.3"/>
    <row r="131" ht="13.5" customHeight="1" x14ac:dyDescent="0.3"/>
    <row r="132" ht="13.5" customHeight="1" x14ac:dyDescent="0.3"/>
    <row r="133" ht="13.5" customHeight="1" x14ac:dyDescent="0.3"/>
    <row r="134" ht="13.5" customHeight="1" x14ac:dyDescent="0.3"/>
    <row r="135" ht="13.5" customHeight="1" x14ac:dyDescent="0.3"/>
    <row r="136" ht="13.5" customHeight="1" x14ac:dyDescent="0.3"/>
    <row r="137" ht="13.5" customHeight="1" x14ac:dyDescent="0.3"/>
    <row r="138" ht="13.5" customHeight="1" x14ac:dyDescent="0.3"/>
    <row r="139" ht="13.5" customHeight="1" x14ac:dyDescent="0.3"/>
    <row r="140" ht="13.5" customHeight="1" x14ac:dyDescent="0.3"/>
    <row r="141" ht="13.5" customHeight="1" x14ac:dyDescent="0.3"/>
    <row r="142" ht="13.5" customHeight="1" x14ac:dyDescent="0.3"/>
    <row r="143" ht="13.5" customHeight="1" x14ac:dyDescent="0.3"/>
    <row r="144" ht="13.5" customHeight="1" x14ac:dyDescent="0.3"/>
    <row r="145" ht="13.5" customHeight="1" x14ac:dyDescent="0.3"/>
    <row r="146" ht="13.5" customHeight="1" x14ac:dyDescent="0.3"/>
    <row r="147" ht="13.5" customHeight="1" x14ac:dyDescent="0.3"/>
    <row r="148" ht="13.5" customHeight="1" x14ac:dyDescent="0.3"/>
    <row r="149" ht="13.5" customHeight="1" x14ac:dyDescent="0.3"/>
    <row r="150" ht="13.5" customHeight="1" x14ac:dyDescent="0.3"/>
    <row r="151" ht="13.5" customHeight="1" x14ac:dyDescent="0.3"/>
    <row r="152" ht="13.5" customHeight="1" x14ac:dyDescent="0.3"/>
    <row r="153" ht="13.5" customHeight="1" x14ac:dyDescent="0.3"/>
    <row r="154" ht="13.5" customHeight="1" x14ac:dyDescent="0.3"/>
    <row r="155" ht="13.5" customHeight="1" x14ac:dyDescent="0.3"/>
    <row r="156" ht="13.5" customHeight="1" x14ac:dyDescent="0.3"/>
    <row r="157" ht="13.5" customHeight="1" x14ac:dyDescent="0.3"/>
    <row r="158" ht="13.5" customHeight="1" x14ac:dyDescent="0.3"/>
    <row r="159" ht="13.5" customHeight="1" x14ac:dyDescent="0.3"/>
    <row r="160" ht="13.5" customHeight="1" x14ac:dyDescent="0.3"/>
    <row r="161" ht="13.5" customHeight="1" x14ac:dyDescent="0.3"/>
    <row r="162" ht="13.5" customHeight="1" x14ac:dyDescent="0.3"/>
    <row r="163" ht="13.5" customHeight="1" x14ac:dyDescent="0.3"/>
    <row r="164" ht="13.5" customHeight="1" x14ac:dyDescent="0.3"/>
    <row r="165" ht="13.5" customHeight="1" x14ac:dyDescent="0.3"/>
    <row r="166" ht="13.5" customHeight="1" x14ac:dyDescent="0.3"/>
    <row r="167" ht="13.5" customHeight="1" x14ac:dyDescent="0.3"/>
    <row r="168" ht="13.5" customHeight="1" x14ac:dyDescent="0.3"/>
    <row r="169" ht="13.5" customHeight="1" x14ac:dyDescent="0.3"/>
    <row r="170" ht="13.5" customHeight="1" x14ac:dyDescent="0.3"/>
    <row r="171" ht="13.5" customHeight="1" x14ac:dyDescent="0.3"/>
    <row r="172" ht="13.5" customHeight="1" x14ac:dyDescent="0.3"/>
    <row r="173" ht="13.5" customHeight="1" x14ac:dyDescent="0.3"/>
    <row r="174" ht="13.5" customHeight="1" x14ac:dyDescent="0.3"/>
    <row r="175" ht="13.5" customHeight="1" x14ac:dyDescent="0.3"/>
    <row r="176" ht="13.5" customHeight="1" x14ac:dyDescent="0.3"/>
    <row r="177" ht="13.5" customHeight="1" x14ac:dyDescent="0.3"/>
    <row r="178" ht="13.5" customHeight="1" x14ac:dyDescent="0.3"/>
    <row r="179" ht="13.5" customHeight="1" x14ac:dyDescent="0.3"/>
    <row r="180" ht="13.5" customHeight="1" x14ac:dyDescent="0.3"/>
    <row r="181" ht="13.5" customHeight="1" x14ac:dyDescent="0.3"/>
    <row r="182" ht="13.5" customHeight="1" x14ac:dyDescent="0.3"/>
    <row r="183" ht="13.5" customHeight="1" x14ac:dyDescent="0.3"/>
    <row r="184" ht="13.5" customHeight="1" x14ac:dyDescent="0.3"/>
    <row r="185" ht="13.5" customHeight="1" x14ac:dyDescent="0.3"/>
    <row r="186" ht="13.5" customHeight="1" x14ac:dyDescent="0.3"/>
    <row r="187" ht="13.5" customHeight="1" x14ac:dyDescent="0.3"/>
    <row r="188" ht="13.5" customHeight="1" x14ac:dyDescent="0.3"/>
    <row r="189" ht="13.5" customHeight="1" x14ac:dyDescent="0.3"/>
    <row r="190" ht="13.5" customHeight="1" x14ac:dyDescent="0.3"/>
    <row r="191" ht="13.5" customHeight="1" x14ac:dyDescent="0.3"/>
    <row r="192" ht="13.5" customHeight="1" x14ac:dyDescent="0.3"/>
    <row r="193" ht="13.5" customHeight="1" x14ac:dyDescent="0.3"/>
    <row r="194" ht="13.5" customHeight="1" x14ac:dyDescent="0.3"/>
    <row r="195" ht="13.5" customHeight="1" x14ac:dyDescent="0.3"/>
    <row r="196" ht="13.5" customHeight="1" x14ac:dyDescent="0.3"/>
    <row r="197" ht="13.5" customHeight="1" x14ac:dyDescent="0.3"/>
    <row r="198" ht="13.5" customHeight="1" x14ac:dyDescent="0.3"/>
    <row r="199" ht="13.5" customHeight="1" x14ac:dyDescent="0.3"/>
    <row r="200" ht="13.5" customHeight="1" x14ac:dyDescent="0.3"/>
    <row r="201" ht="13.5" customHeight="1" x14ac:dyDescent="0.3"/>
    <row r="202" ht="13.5" customHeight="1" x14ac:dyDescent="0.3"/>
    <row r="203" ht="13.5" customHeight="1" x14ac:dyDescent="0.3"/>
    <row r="204" ht="13.5" customHeight="1" x14ac:dyDescent="0.3"/>
    <row r="205" ht="13.5" customHeight="1" x14ac:dyDescent="0.3"/>
    <row r="206" ht="13.5" customHeight="1" x14ac:dyDescent="0.3"/>
    <row r="207" ht="13.5" customHeight="1" x14ac:dyDescent="0.3"/>
    <row r="208" ht="13.5" customHeight="1" x14ac:dyDescent="0.3"/>
    <row r="209" ht="13.5" customHeight="1" x14ac:dyDescent="0.3"/>
    <row r="210" ht="13.5" customHeight="1" x14ac:dyDescent="0.3"/>
    <row r="211" ht="13.5" customHeight="1" x14ac:dyDescent="0.3"/>
    <row r="212" ht="13.5" customHeight="1" x14ac:dyDescent="0.3"/>
    <row r="213" ht="13.5" customHeight="1" x14ac:dyDescent="0.3"/>
    <row r="214" ht="13.5" customHeight="1" x14ac:dyDescent="0.3"/>
    <row r="215" ht="13.5" customHeight="1" x14ac:dyDescent="0.3"/>
    <row r="216" ht="13.5" customHeight="1" x14ac:dyDescent="0.3"/>
    <row r="217" ht="13.5" customHeight="1" x14ac:dyDescent="0.3"/>
    <row r="218" ht="13.5" customHeight="1" x14ac:dyDescent="0.3"/>
    <row r="219" ht="13.5" customHeight="1" x14ac:dyDescent="0.3"/>
    <row r="220" ht="13.5" customHeight="1" x14ac:dyDescent="0.3"/>
    <row r="221" ht="13.5" customHeight="1" x14ac:dyDescent="0.3"/>
    <row r="222" ht="13.5" customHeight="1" x14ac:dyDescent="0.3"/>
    <row r="223" ht="13.5" customHeight="1" x14ac:dyDescent="0.3"/>
    <row r="224" ht="13.5" customHeight="1" x14ac:dyDescent="0.3"/>
    <row r="225" ht="13.5" customHeight="1" x14ac:dyDescent="0.3"/>
    <row r="226" ht="13.5" customHeight="1" x14ac:dyDescent="0.3"/>
    <row r="227" ht="13.5" customHeight="1" x14ac:dyDescent="0.3"/>
    <row r="228" ht="13.5" customHeight="1" x14ac:dyDescent="0.3"/>
    <row r="229" ht="13.5" customHeight="1" x14ac:dyDescent="0.3"/>
    <row r="230" ht="13.5" customHeight="1" x14ac:dyDescent="0.3"/>
    <row r="231" ht="13.5" customHeight="1" x14ac:dyDescent="0.3"/>
    <row r="232" ht="13.5" customHeight="1" x14ac:dyDescent="0.3"/>
    <row r="233" ht="13.5" customHeight="1" x14ac:dyDescent="0.3"/>
    <row r="234" ht="13.5" customHeight="1" x14ac:dyDescent="0.3"/>
    <row r="235" ht="13.5" customHeight="1" x14ac:dyDescent="0.3"/>
    <row r="236" ht="13.5" customHeight="1" x14ac:dyDescent="0.3"/>
    <row r="237" ht="13.5" customHeight="1" x14ac:dyDescent="0.3"/>
    <row r="238" ht="13.5" customHeight="1" x14ac:dyDescent="0.3"/>
    <row r="239" ht="13.5" customHeight="1" x14ac:dyDescent="0.3"/>
    <row r="240" ht="13.5" customHeight="1" x14ac:dyDescent="0.3"/>
    <row r="241" ht="13.5" customHeight="1" x14ac:dyDescent="0.3"/>
    <row r="242" ht="13.5" customHeight="1" x14ac:dyDescent="0.3"/>
    <row r="243" ht="13.5" customHeight="1" x14ac:dyDescent="0.3"/>
    <row r="244" ht="13.5" customHeight="1" x14ac:dyDescent="0.3"/>
    <row r="245" ht="13.5" customHeight="1" x14ac:dyDescent="0.3"/>
    <row r="246" ht="13.5" customHeight="1" x14ac:dyDescent="0.3"/>
    <row r="247" ht="13.5" customHeight="1" x14ac:dyDescent="0.3"/>
    <row r="248" ht="13.5" customHeight="1" x14ac:dyDescent="0.3"/>
    <row r="249" ht="13.5" customHeight="1" x14ac:dyDescent="0.3"/>
    <row r="250" ht="13.5" customHeight="1" x14ac:dyDescent="0.3"/>
    <row r="251" ht="13.5" customHeight="1" x14ac:dyDescent="0.3"/>
    <row r="252" ht="13.5" customHeight="1" x14ac:dyDescent="0.3"/>
    <row r="253" ht="13.5" customHeight="1" x14ac:dyDescent="0.3"/>
    <row r="254" ht="13.5" customHeight="1" x14ac:dyDescent="0.3"/>
    <row r="255" ht="13.5" customHeight="1" x14ac:dyDescent="0.3"/>
    <row r="256" ht="13.5" customHeight="1" x14ac:dyDescent="0.3"/>
    <row r="257" ht="13.5" customHeight="1" x14ac:dyDescent="0.3"/>
    <row r="258" ht="13.5" customHeight="1" x14ac:dyDescent="0.3"/>
    <row r="259" ht="13.5" customHeight="1" x14ac:dyDescent="0.3"/>
    <row r="260" ht="13.5" customHeight="1" x14ac:dyDescent="0.3"/>
    <row r="261" ht="13.5" customHeight="1" x14ac:dyDescent="0.3"/>
    <row r="262" ht="13.5" customHeight="1" x14ac:dyDescent="0.3"/>
    <row r="263" ht="13.5" customHeight="1" x14ac:dyDescent="0.3"/>
    <row r="264" ht="13.5" customHeight="1" x14ac:dyDescent="0.3"/>
    <row r="265" ht="13.5" customHeight="1" x14ac:dyDescent="0.3"/>
    <row r="266" ht="13.5" customHeight="1" x14ac:dyDescent="0.3"/>
    <row r="267" ht="13.5" customHeight="1" x14ac:dyDescent="0.3"/>
    <row r="268" ht="13.5" customHeight="1" x14ac:dyDescent="0.3"/>
    <row r="269" ht="13.5" customHeight="1" x14ac:dyDescent="0.3"/>
    <row r="270" ht="13.5" customHeight="1" x14ac:dyDescent="0.3"/>
    <row r="271" ht="13.5" customHeight="1" x14ac:dyDescent="0.3"/>
    <row r="272" ht="13.5" customHeight="1" x14ac:dyDescent="0.3"/>
    <row r="273" ht="13.5" customHeight="1" x14ac:dyDescent="0.3"/>
    <row r="274" ht="13.5" customHeight="1" x14ac:dyDescent="0.3"/>
    <row r="275" ht="13.5" customHeight="1" x14ac:dyDescent="0.3"/>
    <row r="276" ht="13.5" customHeight="1" x14ac:dyDescent="0.3"/>
    <row r="277" ht="13.5" customHeight="1" x14ac:dyDescent="0.3"/>
    <row r="278" ht="13.5" customHeight="1" x14ac:dyDescent="0.3"/>
    <row r="279" ht="13.5" customHeight="1" x14ac:dyDescent="0.3"/>
    <row r="280" ht="13.5" customHeight="1" x14ac:dyDescent="0.3"/>
    <row r="281" ht="13.5" customHeight="1" x14ac:dyDescent="0.3"/>
    <row r="282" ht="13.5" customHeight="1" x14ac:dyDescent="0.3"/>
    <row r="283" ht="13.5" customHeight="1" x14ac:dyDescent="0.3"/>
    <row r="284" ht="13.5" customHeight="1" x14ac:dyDescent="0.3"/>
    <row r="285" ht="13.5" customHeight="1" x14ac:dyDescent="0.3"/>
    <row r="286" ht="13.5" customHeight="1" x14ac:dyDescent="0.3"/>
    <row r="287" ht="13.5" customHeight="1" x14ac:dyDescent="0.3"/>
    <row r="288" ht="13.5" customHeight="1" x14ac:dyDescent="0.3"/>
    <row r="289" ht="13.5" customHeight="1" x14ac:dyDescent="0.3"/>
    <row r="290" ht="13.5" customHeight="1" x14ac:dyDescent="0.3"/>
    <row r="291" ht="13.5" customHeight="1" x14ac:dyDescent="0.3"/>
    <row r="292" ht="13.5" customHeight="1" x14ac:dyDescent="0.3"/>
    <row r="293" ht="13.5" customHeight="1" x14ac:dyDescent="0.3"/>
    <row r="294" ht="13.5" customHeight="1" x14ac:dyDescent="0.3"/>
    <row r="295" ht="13.5" customHeight="1" x14ac:dyDescent="0.3"/>
    <row r="296" ht="13.5" customHeight="1" x14ac:dyDescent="0.3"/>
    <row r="297" ht="13.5" customHeight="1" x14ac:dyDescent="0.3"/>
    <row r="298" ht="13.5" customHeight="1" x14ac:dyDescent="0.3"/>
    <row r="299" ht="13.5" customHeight="1" x14ac:dyDescent="0.3"/>
    <row r="300" ht="13.5" customHeight="1" x14ac:dyDescent="0.3"/>
    <row r="301" ht="13.5" customHeight="1" x14ac:dyDescent="0.3"/>
    <row r="302" ht="13.5" customHeight="1" x14ac:dyDescent="0.3"/>
    <row r="303" ht="13.5" customHeight="1" x14ac:dyDescent="0.3"/>
    <row r="304" ht="13.5" customHeight="1" x14ac:dyDescent="0.3"/>
    <row r="305" ht="13.5" customHeight="1" x14ac:dyDescent="0.3"/>
    <row r="306" ht="13.5" customHeight="1" x14ac:dyDescent="0.3"/>
    <row r="307" ht="13.5" customHeight="1" x14ac:dyDescent="0.3"/>
    <row r="308" ht="13.5" customHeight="1" x14ac:dyDescent="0.3"/>
    <row r="309" ht="13.5" customHeight="1" x14ac:dyDescent="0.3"/>
    <row r="310" ht="13.5" customHeight="1" x14ac:dyDescent="0.3"/>
    <row r="311" ht="13.5" customHeight="1" x14ac:dyDescent="0.3"/>
    <row r="312" ht="13.5" customHeight="1" x14ac:dyDescent="0.3"/>
    <row r="313" ht="13.5" customHeight="1" x14ac:dyDescent="0.3"/>
    <row r="314" ht="13.5" customHeight="1" x14ac:dyDescent="0.3"/>
    <row r="315" ht="13.5" customHeight="1" x14ac:dyDescent="0.3"/>
    <row r="316" ht="13.5" customHeight="1" x14ac:dyDescent="0.3"/>
    <row r="317" ht="13.5" customHeight="1" x14ac:dyDescent="0.3"/>
    <row r="318" ht="13.5" customHeight="1" x14ac:dyDescent="0.3"/>
    <row r="319" ht="13.5" customHeight="1" x14ac:dyDescent="0.3"/>
    <row r="320" ht="13.5" customHeight="1" x14ac:dyDescent="0.3"/>
    <row r="321" ht="13.5" customHeight="1" x14ac:dyDescent="0.3"/>
    <row r="322" ht="13.5" customHeight="1" x14ac:dyDescent="0.3"/>
    <row r="323" ht="13.5" customHeight="1" x14ac:dyDescent="0.3"/>
    <row r="324" ht="13.5" customHeight="1" x14ac:dyDescent="0.3"/>
    <row r="325" ht="13.5" customHeight="1" x14ac:dyDescent="0.3"/>
    <row r="326" ht="13.5" customHeight="1" x14ac:dyDescent="0.3"/>
    <row r="327" ht="13.5" customHeight="1" x14ac:dyDescent="0.3"/>
    <row r="328" ht="13.5" customHeight="1" x14ac:dyDescent="0.3"/>
    <row r="329" ht="13.5" customHeight="1" x14ac:dyDescent="0.3"/>
    <row r="330" ht="13.5" customHeight="1" x14ac:dyDescent="0.3"/>
    <row r="331" ht="13.5" customHeight="1" x14ac:dyDescent="0.3"/>
    <row r="332" ht="13.5" customHeight="1" x14ac:dyDescent="0.3"/>
    <row r="333" ht="13.5" customHeight="1" x14ac:dyDescent="0.3"/>
    <row r="334" ht="13.5" customHeight="1" x14ac:dyDescent="0.3"/>
    <row r="335" ht="13.5" customHeight="1" x14ac:dyDescent="0.3"/>
    <row r="336" ht="13.5" customHeight="1" x14ac:dyDescent="0.3"/>
    <row r="337" ht="13.5" customHeight="1" x14ac:dyDescent="0.3"/>
    <row r="338" ht="13.5" customHeight="1" x14ac:dyDescent="0.3"/>
    <row r="339" ht="13.5" customHeight="1" x14ac:dyDescent="0.3"/>
    <row r="340" ht="13.5" customHeight="1" x14ac:dyDescent="0.3"/>
    <row r="341" ht="13.5" customHeight="1" x14ac:dyDescent="0.3"/>
    <row r="342" ht="13.5" customHeight="1" x14ac:dyDescent="0.3"/>
    <row r="343" ht="13.5" customHeight="1" x14ac:dyDescent="0.3"/>
    <row r="344" ht="13.5" customHeight="1" x14ac:dyDescent="0.3"/>
    <row r="345" ht="13.5" customHeight="1" x14ac:dyDescent="0.3"/>
    <row r="346" ht="13.5" customHeight="1" x14ac:dyDescent="0.3"/>
    <row r="347" ht="13.5" customHeight="1" x14ac:dyDescent="0.3"/>
    <row r="348" ht="13.5" customHeight="1" x14ac:dyDescent="0.3"/>
    <row r="349" ht="13.5" customHeight="1" x14ac:dyDescent="0.3"/>
    <row r="350" ht="13.5" customHeight="1" x14ac:dyDescent="0.3"/>
    <row r="351" ht="13.5" customHeight="1" x14ac:dyDescent="0.3"/>
    <row r="352" ht="13.5" customHeight="1" x14ac:dyDescent="0.3"/>
    <row r="353" ht="13.5" customHeight="1" x14ac:dyDescent="0.3"/>
    <row r="354" ht="13.5" customHeight="1" x14ac:dyDescent="0.3"/>
    <row r="355" ht="13.5" customHeight="1" x14ac:dyDescent="0.3"/>
    <row r="356" ht="13.5" customHeight="1" x14ac:dyDescent="0.3"/>
    <row r="357" ht="13.5" customHeight="1" x14ac:dyDescent="0.3"/>
    <row r="358" ht="13.5" customHeight="1" x14ac:dyDescent="0.3"/>
    <row r="359" ht="13.5" customHeight="1" x14ac:dyDescent="0.3"/>
    <row r="360" ht="13.5" customHeight="1" x14ac:dyDescent="0.3"/>
    <row r="361" ht="13.5" customHeight="1" x14ac:dyDescent="0.3"/>
    <row r="362" ht="13.5" customHeight="1" x14ac:dyDescent="0.3"/>
    <row r="363" ht="13.5" customHeight="1" x14ac:dyDescent="0.3"/>
    <row r="364" ht="13.5" customHeight="1" x14ac:dyDescent="0.3"/>
    <row r="365" ht="13.5" customHeight="1" x14ac:dyDescent="0.3"/>
    <row r="366" ht="13.5" customHeight="1" x14ac:dyDescent="0.3"/>
    <row r="367" ht="13.5" customHeight="1" x14ac:dyDescent="0.3"/>
    <row r="368" ht="13.5" customHeight="1" x14ac:dyDescent="0.3"/>
    <row r="369" ht="13.5" customHeight="1" x14ac:dyDescent="0.3"/>
    <row r="370" ht="13.5" customHeight="1" x14ac:dyDescent="0.3"/>
    <row r="371" ht="13.5" customHeight="1" x14ac:dyDescent="0.3"/>
    <row r="372" ht="13.5" customHeight="1" x14ac:dyDescent="0.3"/>
    <row r="373" ht="13.5" customHeight="1" x14ac:dyDescent="0.3"/>
    <row r="374" ht="13.5" customHeight="1" x14ac:dyDescent="0.3"/>
    <row r="375" ht="13.5" customHeight="1" x14ac:dyDescent="0.3"/>
    <row r="376" ht="13.5" customHeight="1" x14ac:dyDescent="0.3"/>
    <row r="377" ht="13.5" customHeight="1" x14ac:dyDescent="0.3"/>
    <row r="378" ht="13.5" customHeight="1" x14ac:dyDescent="0.3"/>
    <row r="379" ht="13.5" customHeight="1" x14ac:dyDescent="0.3"/>
    <row r="380" ht="13.5" customHeight="1" x14ac:dyDescent="0.3"/>
    <row r="381" ht="13.5" customHeight="1" x14ac:dyDescent="0.3"/>
    <row r="382" ht="13.5" customHeight="1" x14ac:dyDescent="0.3"/>
    <row r="383" ht="13.5" customHeight="1" x14ac:dyDescent="0.3"/>
    <row r="384" ht="13.5" customHeight="1" x14ac:dyDescent="0.3"/>
    <row r="385" ht="13.5" customHeight="1" x14ac:dyDescent="0.3"/>
    <row r="386" ht="13.5" customHeight="1" x14ac:dyDescent="0.3"/>
    <row r="387" ht="13.5" customHeight="1" x14ac:dyDescent="0.3"/>
    <row r="388" ht="13.5" customHeight="1" x14ac:dyDescent="0.3"/>
    <row r="389" ht="13.5" customHeight="1" x14ac:dyDescent="0.3"/>
    <row r="390" ht="13.5" customHeight="1" x14ac:dyDescent="0.3"/>
    <row r="391" ht="13.5" customHeight="1" x14ac:dyDescent="0.3"/>
    <row r="392" ht="13.5" customHeight="1" x14ac:dyDescent="0.3"/>
    <row r="393" ht="13.5" customHeight="1" x14ac:dyDescent="0.3"/>
    <row r="394" ht="13.5" customHeight="1" x14ac:dyDescent="0.3"/>
    <row r="395" ht="13.5" customHeight="1" x14ac:dyDescent="0.3"/>
    <row r="396" ht="13.5" customHeight="1" x14ac:dyDescent="0.3"/>
    <row r="397" ht="13.5" customHeight="1" x14ac:dyDescent="0.3"/>
    <row r="398" ht="13.5" customHeight="1" x14ac:dyDescent="0.3"/>
    <row r="399" ht="13.5" customHeight="1" x14ac:dyDescent="0.3"/>
    <row r="400" ht="13.5" customHeight="1" x14ac:dyDescent="0.3"/>
    <row r="401" ht="13.5" customHeight="1" x14ac:dyDescent="0.3"/>
    <row r="402" ht="13.5" customHeight="1" x14ac:dyDescent="0.3"/>
    <row r="403" ht="13.5" customHeight="1" x14ac:dyDescent="0.3"/>
    <row r="404" ht="13.5" customHeight="1" x14ac:dyDescent="0.3"/>
    <row r="405" ht="13.5" customHeight="1" x14ac:dyDescent="0.3"/>
    <row r="406" ht="13.5" customHeight="1" x14ac:dyDescent="0.3"/>
    <row r="407" ht="13.5" customHeight="1" x14ac:dyDescent="0.3"/>
    <row r="408" ht="13.5" customHeight="1" x14ac:dyDescent="0.3"/>
    <row r="409" ht="13.5" customHeight="1" x14ac:dyDescent="0.3"/>
    <row r="410" ht="13.5" customHeight="1" x14ac:dyDescent="0.3"/>
    <row r="411" ht="13.5" customHeight="1" x14ac:dyDescent="0.3"/>
    <row r="412" ht="13.5" customHeight="1" x14ac:dyDescent="0.3"/>
    <row r="413" ht="13.5" customHeight="1" x14ac:dyDescent="0.3"/>
    <row r="414" ht="13.5" customHeight="1" x14ac:dyDescent="0.3"/>
    <row r="415" ht="13.5" customHeight="1" x14ac:dyDescent="0.3"/>
    <row r="416" ht="13.5" customHeight="1" x14ac:dyDescent="0.3"/>
    <row r="417" ht="13.5" customHeight="1" x14ac:dyDescent="0.3"/>
    <row r="418" ht="13.5" customHeight="1" x14ac:dyDescent="0.3"/>
    <row r="419" ht="13.5" customHeight="1" x14ac:dyDescent="0.3"/>
    <row r="420" ht="13.5" customHeight="1" x14ac:dyDescent="0.3"/>
    <row r="421" ht="13.5" customHeight="1" x14ac:dyDescent="0.3"/>
    <row r="422" ht="13.5" customHeight="1" x14ac:dyDescent="0.3"/>
    <row r="423" ht="13.5" customHeight="1" x14ac:dyDescent="0.3"/>
    <row r="424" ht="13.5" customHeight="1" x14ac:dyDescent="0.3"/>
    <row r="425" ht="13.5" customHeight="1" x14ac:dyDescent="0.3"/>
    <row r="426" ht="13.5" customHeight="1" x14ac:dyDescent="0.3"/>
    <row r="427" ht="13.5" customHeight="1" x14ac:dyDescent="0.3"/>
    <row r="428" ht="13.5" customHeight="1" x14ac:dyDescent="0.3"/>
    <row r="429" ht="13.5" customHeight="1" x14ac:dyDescent="0.3"/>
    <row r="430" ht="13.5" customHeight="1" x14ac:dyDescent="0.3"/>
    <row r="431" ht="13.5" customHeight="1" x14ac:dyDescent="0.3"/>
    <row r="432" ht="13.5" customHeight="1" x14ac:dyDescent="0.3"/>
    <row r="433" ht="13.5" customHeight="1" x14ac:dyDescent="0.3"/>
    <row r="434" ht="13.5" customHeight="1" x14ac:dyDescent="0.3"/>
    <row r="435" ht="13.5" customHeight="1" x14ac:dyDescent="0.3"/>
    <row r="436" ht="13.5" customHeight="1" x14ac:dyDescent="0.3"/>
    <row r="437" ht="13.5" customHeight="1" x14ac:dyDescent="0.3"/>
    <row r="438" ht="13.5" customHeight="1" x14ac:dyDescent="0.3"/>
    <row r="439" ht="13.5" customHeight="1" x14ac:dyDescent="0.3"/>
    <row r="440" ht="13.5" customHeight="1" x14ac:dyDescent="0.3"/>
    <row r="441" ht="13.5" customHeight="1" x14ac:dyDescent="0.3"/>
    <row r="442" ht="13.5" customHeight="1" x14ac:dyDescent="0.3"/>
    <row r="443" ht="13.5" customHeight="1" x14ac:dyDescent="0.3"/>
    <row r="444" ht="13.5" customHeight="1" x14ac:dyDescent="0.3"/>
    <row r="445" ht="13.5" customHeight="1" x14ac:dyDescent="0.3"/>
    <row r="446" ht="13.5" customHeight="1" x14ac:dyDescent="0.3"/>
    <row r="447" ht="13.5" customHeight="1" x14ac:dyDescent="0.3"/>
    <row r="448" ht="13.5" customHeight="1" x14ac:dyDescent="0.3"/>
    <row r="449" ht="13.5" customHeight="1" x14ac:dyDescent="0.3"/>
    <row r="450" ht="13.5" customHeight="1" x14ac:dyDescent="0.3"/>
    <row r="451" ht="13.5" customHeight="1" x14ac:dyDescent="0.3"/>
    <row r="452" ht="13.5" customHeight="1" x14ac:dyDescent="0.3"/>
    <row r="453" ht="13.5" customHeight="1" x14ac:dyDescent="0.3"/>
    <row r="454" ht="13.5" customHeight="1" x14ac:dyDescent="0.3"/>
    <row r="455" ht="13.5" customHeight="1" x14ac:dyDescent="0.3"/>
    <row r="456" ht="13.5" customHeight="1" x14ac:dyDescent="0.3"/>
    <row r="457" ht="13.5" customHeight="1" x14ac:dyDescent="0.3"/>
    <row r="458" ht="13.5" customHeight="1" x14ac:dyDescent="0.3"/>
    <row r="459" ht="13.5" customHeight="1" x14ac:dyDescent="0.3"/>
    <row r="460" ht="13.5" customHeight="1" x14ac:dyDescent="0.3"/>
    <row r="461" ht="13.5" customHeight="1" x14ac:dyDescent="0.3"/>
    <row r="462" ht="13.5" customHeight="1" x14ac:dyDescent="0.3"/>
    <row r="463" ht="13.5" customHeight="1" x14ac:dyDescent="0.3"/>
    <row r="464" ht="13.5" customHeight="1" x14ac:dyDescent="0.3"/>
    <row r="465" ht="13.5" customHeight="1" x14ac:dyDescent="0.3"/>
    <row r="466" ht="13.5" customHeight="1" x14ac:dyDescent="0.3"/>
    <row r="467" ht="13.5" customHeight="1" x14ac:dyDescent="0.3"/>
    <row r="468" ht="13.5" customHeight="1" x14ac:dyDescent="0.3"/>
    <row r="469" ht="13.5" customHeight="1" x14ac:dyDescent="0.3"/>
    <row r="470" ht="13.5" customHeight="1" x14ac:dyDescent="0.3"/>
    <row r="471" ht="13.5" customHeight="1" x14ac:dyDescent="0.3"/>
    <row r="472" ht="13.5" customHeight="1" x14ac:dyDescent="0.3"/>
    <row r="473" ht="13.5" customHeight="1" x14ac:dyDescent="0.3"/>
    <row r="474" ht="13.5" customHeight="1" x14ac:dyDescent="0.3"/>
    <row r="475" ht="13.5" customHeight="1" x14ac:dyDescent="0.3"/>
    <row r="476" ht="13.5" customHeight="1" x14ac:dyDescent="0.3"/>
    <row r="477" ht="13.5" customHeight="1" x14ac:dyDescent="0.3"/>
    <row r="478" ht="13.5" customHeight="1" x14ac:dyDescent="0.3"/>
    <row r="479" ht="13.5" customHeight="1" x14ac:dyDescent="0.3"/>
    <row r="480" ht="13.5" customHeight="1" x14ac:dyDescent="0.3"/>
    <row r="481" ht="13.5" customHeight="1" x14ac:dyDescent="0.3"/>
    <row r="482" ht="13.5" customHeight="1" x14ac:dyDescent="0.3"/>
    <row r="483" ht="13.5" customHeight="1" x14ac:dyDescent="0.3"/>
    <row r="484" ht="13.5" customHeight="1" x14ac:dyDescent="0.3"/>
    <row r="485" ht="13.5" customHeight="1" x14ac:dyDescent="0.3"/>
    <row r="486" ht="13.5" customHeight="1" x14ac:dyDescent="0.3"/>
    <row r="487" ht="13.5" customHeight="1" x14ac:dyDescent="0.3"/>
    <row r="488" ht="13.5" customHeight="1" x14ac:dyDescent="0.3"/>
    <row r="489" ht="13.5" customHeight="1" x14ac:dyDescent="0.3"/>
    <row r="490" ht="13.5" customHeight="1" x14ac:dyDescent="0.3"/>
    <row r="491" ht="13.5" customHeight="1" x14ac:dyDescent="0.3"/>
    <row r="492" ht="13.5" customHeight="1" x14ac:dyDescent="0.3"/>
    <row r="493" ht="13.5" customHeight="1" x14ac:dyDescent="0.3"/>
    <row r="494" ht="13.5" customHeight="1" x14ac:dyDescent="0.3"/>
    <row r="495" ht="13.5" customHeight="1" x14ac:dyDescent="0.3"/>
    <row r="496" ht="13.5" customHeight="1" x14ac:dyDescent="0.3"/>
    <row r="497" ht="13.5" customHeight="1" x14ac:dyDescent="0.3"/>
    <row r="498" ht="13.5" customHeight="1" x14ac:dyDescent="0.3"/>
    <row r="499" ht="13.5" customHeight="1" x14ac:dyDescent="0.3"/>
    <row r="500" ht="13.5" customHeight="1" x14ac:dyDescent="0.3"/>
    <row r="501" ht="13.5" customHeight="1" x14ac:dyDescent="0.3"/>
    <row r="502" ht="13.5" customHeight="1" x14ac:dyDescent="0.3"/>
    <row r="503" ht="13.5" customHeight="1" x14ac:dyDescent="0.3"/>
    <row r="504" ht="13.5" customHeight="1" x14ac:dyDescent="0.3"/>
    <row r="505" ht="13.5" customHeight="1" x14ac:dyDescent="0.3"/>
    <row r="506" ht="13.5" customHeight="1" x14ac:dyDescent="0.3"/>
    <row r="507" ht="13.5" customHeight="1" x14ac:dyDescent="0.3"/>
    <row r="508" ht="13.5" customHeight="1" x14ac:dyDescent="0.3"/>
    <row r="509" ht="13.5" customHeight="1" x14ac:dyDescent="0.3"/>
    <row r="510" ht="13.5" customHeight="1" x14ac:dyDescent="0.3"/>
    <row r="511" ht="13.5" customHeight="1" x14ac:dyDescent="0.3"/>
    <row r="512" ht="13.5" customHeight="1" x14ac:dyDescent="0.3"/>
    <row r="513" ht="13.5" customHeight="1" x14ac:dyDescent="0.3"/>
    <row r="514" ht="13.5" customHeight="1" x14ac:dyDescent="0.3"/>
    <row r="515" ht="13.5" customHeight="1" x14ac:dyDescent="0.3"/>
    <row r="516" ht="13.5" customHeight="1" x14ac:dyDescent="0.3"/>
    <row r="517" ht="13.5" customHeight="1" x14ac:dyDescent="0.3"/>
    <row r="518" ht="13.5" customHeight="1" x14ac:dyDescent="0.3"/>
    <row r="519" ht="13.5" customHeight="1" x14ac:dyDescent="0.3"/>
    <row r="520" ht="13.5" customHeight="1" x14ac:dyDescent="0.3"/>
    <row r="521" ht="13.5" customHeight="1" x14ac:dyDescent="0.3"/>
    <row r="522" ht="13.5" customHeight="1" x14ac:dyDescent="0.3"/>
    <row r="523" ht="13.5" customHeight="1" x14ac:dyDescent="0.3"/>
    <row r="524" ht="13.5" customHeight="1" x14ac:dyDescent="0.3"/>
    <row r="525" ht="13.5" customHeight="1" x14ac:dyDescent="0.3"/>
    <row r="526" ht="13.5" customHeight="1" x14ac:dyDescent="0.3"/>
    <row r="527" ht="13.5" customHeight="1" x14ac:dyDescent="0.3"/>
    <row r="528" ht="13.5" customHeight="1" x14ac:dyDescent="0.3"/>
    <row r="529" ht="13.5" customHeight="1" x14ac:dyDescent="0.3"/>
    <row r="530" ht="13.5" customHeight="1" x14ac:dyDescent="0.3"/>
    <row r="531" ht="13.5" customHeight="1" x14ac:dyDescent="0.3"/>
    <row r="532" ht="13.5" customHeight="1" x14ac:dyDescent="0.3"/>
    <row r="533" ht="13.5" customHeight="1" x14ac:dyDescent="0.3"/>
    <row r="534" ht="13.5" customHeight="1" x14ac:dyDescent="0.3"/>
    <row r="535" ht="13.5" customHeight="1" x14ac:dyDescent="0.3"/>
    <row r="536" ht="13.5" customHeight="1" x14ac:dyDescent="0.3"/>
    <row r="537" ht="13.5" customHeight="1" x14ac:dyDescent="0.3"/>
    <row r="538" ht="13.5" customHeight="1" x14ac:dyDescent="0.3"/>
    <row r="539" ht="13.5" customHeight="1" x14ac:dyDescent="0.3"/>
    <row r="540" ht="13.5" customHeight="1" x14ac:dyDescent="0.3"/>
    <row r="541" ht="13.5" customHeight="1" x14ac:dyDescent="0.3"/>
    <row r="542" ht="13.5" customHeight="1" x14ac:dyDescent="0.3"/>
    <row r="543" ht="13.5" customHeight="1" x14ac:dyDescent="0.3"/>
    <row r="544" ht="13.5" customHeight="1" x14ac:dyDescent="0.3"/>
    <row r="545" ht="13.5" customHeight="1" x14ac:dyDescent="0.3"/>
    <row r="546" ht="13.5" customHeight="1" x14ac:dyDescent="0.3"/>
    <row r="547" ht="13.5" customHeight="1" x14ac:dyDescent="0.3"/>
    <row r="548" ht="13.5" customHeight="1" x14ac:dyDescent="0.3"/>
    <row r="549" ht="13.5" customHeight="1" x14ac:dyDescent="0.3"/>
    <row r="550" ht="13.5" customHeight="1" x14ac:dyDescent="0.3"/>
    <row r="551" ht="13.5" customHeight="1" x14ac:dyDescent="0.3"/>
    <row r="552" ht="13.5" customHeight="1" x14ac:dyDescent="0.3"/>
    <row r="553" ht="13.5" customHeight="1" x14ac:dyDescent="0.3"/>
    <row r="554" ht="13.5" customHeight="1" x14ac:dyDescent="0.3"/>
    <row r="555" ht="13.5" customHeight="1" x14ac:dyDescent="0.3"/>
    <row r="556" ht="13.5" customHeight="1" x14ac:dyDescent="0.3"/>
    <row r="557" ht="13.5" customHeight="1" x14ac:dyDescent="0.3"/>
    <row r="558" ht="13.5" customHeight="1" x14ac:dyDescent="0.3"/>
    <row r="559" ht="13.5" customHeight="1" x14ac:dyDescent="0.3"/>
    <row r="560" ht="13.5" customHeight="1" x14ac:dyDescent="0.3"/>
    <row r="561" ht="13.5" customHeight="1" x14ac:dyDescent="0.3"/>
    <row r="562" ht="13.5" customHeight="1" x14ac:dyDescent="0.3"/>
    <row r="563" ht="13.5" customHeight="1" x14ac:dyDescent="0.3"/>
    <row r="564" ht="13.5" customHeight="1" x14ac:dyDescent="0.3"/>
    <row r="565" ht="13.5" customHeight="1" x14ac:dyDescent="0.3"/>
    <row r="566" ht="13.5" customHeight="1" x14ac:dyDescent="0.3"/>
    <row r="567" ht="13.5" customHeight="1" x14ac:dyDescent="0.3"/>
    <row r="568" ht="13.5" customHeight="1" x14ac:dyDescent="0.3"/>
    <row r="569" ht="13.5" customHeight="1" x14ac:dyDescent="0.3"/>
    <row r="570" ht="13.5" customHeight="1" x14ac:dyDescent="0.3"/>
    <row r="571" ht="13.5" customHeight="1" x14ac:dyDescent="0.3"/>
    <row r="572" ht="13.5" customHeight="1" x14ac:dyDescent="0.3"/>
    <row r="573" ht="13.5" customHeight="1" x14ac:dyDescent="0.3"/>
    <row r="574" ht="13.5" customHeight="1" x14ac:dyDescent="0.3"/>
    <row r="575" ht="13.5" customHeight="1" x14ac:dyDescent="0.3"/>
    <row r="576" ht="13.5" customHeight="1" x14ac:dyDescent="0.3"/>
    <row r="577" ht="13.5" customHeight="1" x14ac:dyDescent="0.3"/>
    <row r="578" ht="13.5" customHeight="1" x14ac:dyDescent="0.3"/>
    <row r="579" ht="13.5" customHeight="1" x14ac:dyDescent="0.3"/>
    <row r="580" ht="13.5" customHeight="1" x14ac:dyDescent="0.3"/>
    <row r="581" ht="13.5" customHeight="1" x14ac:dyDescent="0.3"/>
    <row r="582" ht="13.5" customHeight="1" x14ac:dyDescent="0.3"/>
    <row r="583" ht="13.5" customHeight="1" x14ac:dyDescent="0.3"/>
    <row r="584" ht="13.5" customHeight="1" x14ac:dyDescent="0.3"/>
    <row r="585" ht="13.5" customHeight="1" x14ac:dyDescent="0.3"/>
    <row r="586" ht="13.5" customHeight="1" x14ac:dyDescent="0.3"/>
    <row r="587" ht="13.5" customHeight="1" x14ac:dyDescent="0.3"/>
    <row r="588" ht="13.5" customHeight="1" x14ac:dyDescent="0.3"/>
    <row r="589" ht="13.5" customHeight="1" x14ac:dyDescent="0.3"/>
    <row r="590" ht="13.5" customHeight="1" x14ac:dyDescent="0.3"/>
    <row r="591" ht="13.5" customHeight="1" x14ac:dyDescent="0.3"/>
    <row r="592" ht="13.5" customHeight="1" x14ac:dyDescent="0.3"/>
    <row r="593" ht="13.5" customHeight="1" x14ac:dyDescent="0.3"/>
    <row r="594" ht="13.5" customHeight="1" x14ac:dyDescent="0.3"/>
    <row r="595" ht="13.5" customHeight="1" x14ac:dyDescent="0.3"/>
    <row r="596" ht="13.5" customHeight="1" x14ac:dyDescent="0.3"/>
    <row r="597" ht="13.5" customHeight="1" x14ac:dyDescent="0.3"/>
    <row r="598" ht="13.5" customHeight="1" x14ac:dyDescent="0.3"/>
    <row r="599" ht="13.5" customHeight="1" x14ac:dyDescent="0.3"/>
    <row r="600" ht="13.5" customHeight="1" x14ac:dyDescent="0.3"/>
    <row r="601" ht="13.5" customHeight="1" x14ac:dyDescent="0.3"/>
    <row r="602" ht="13.5" customHeight="1" x14ac:dyDescent="0.3"/>
    <row r="603" ht="13.5" customHeight="1" x14ac:dyDescent="0.3"/>
    <row r="604" ht="13.5" customHeight="1" x14ac:dyDescent="0.3"/>
    <row r="605" ht="13.5" customHeight="1" x14ac:dyDescent="0.3"/>
    <row r="606" ht="13.5" customHeight="1" x14ac:dyDescent="0.3"/>
    <row r="607" ht="13.5" customHeight="1" x14ac:dyDescent="0.3"/>
    <row r="608" ht="13.5" customHeight="1" x14ac:dyDescent="0.3"/>
    <row r="609" ht="13.5" customHeight="1" x14ac:dyDescent="0.3"/>
    <row r="610" ht="13.5" customHeight="1" x14ac:dyDescent="0.3"/>
    <row r="611" ht="13.5" customHeight="1" x14ac:dyDescent="0.3"/>
    <row r="612" ht="13.5" customHeight="1" x14ac:dyDescent="0.3"/>
    <row r="613" ht="13.5" customHeight="1" x14ac:dyDescent="0.3"/>
    <row r="614" ht="13.5" customHeight="1" x14ac:dyDescent="0.3"/>
    <row r="615" ht="13.5" customHeight="1" x14ac:dyDescent="0.3"/>
    <row r="616" ht="13.5" customHeight="1" x14ac:dyDescent="0.3"/>
    <row r="617" ht="13.5" customHeight="1" x14ac:dyDescent="0.3"/>
    <row r="618" ht="13.5" customHeight="1" x14ac:dyDescent="0.3"/>
    <row r="619" ht="13.5" customHeight="1" x14ac:dyDescent="0.3"/>
    <row r="620" ht="13.5" customHeight="1" x14ac:dyDescent="0.3"/>
    <row r="621" ht="13.5" customHeight="1" x14ac:dyDescent="0.3"/>
    <row r="622" ht="13.5" customHeight="1" x14ac:dyDescent="0.3"/>
    <row r="623" ht="13.5" customHeight="1" x14ac:dyDescent="0.3"/>
    <row r="624" ht="13.5" customHeight="1" x14ac:dyDescent="0.3"/>
    <row r="625" ht="13.5" customHeight="1" x14ac:dyDescent="0.3"/>
    <row r="626" ht="13.5" customHeight="1" x14ac:dyDescent="0.3"/>
    <row r="627" ht="13.5" customHeight="1" x14ac:dyDescent="0.3"/>
    <row r="628" ht="13.5" customHeight="1" x14ac:dyDescent="0.3"/>
    <row r="629" ht="13.5" customHeight="1" x14ac:dyDescent="0.3"/>
    <row r="630" ht="13.5" customHeight="1" x14ac:dyDescent="0.3"/>
    <row r="631" ht="13.5" customHeight="1" x14ac:dyDescent="0.3"/>
    <row r="632" ht="13.5" customHeight="1" x14ac:dyDescent="0.3"/>
    <row r="633" ht="13.5" customHeight="1" x14ac:dyDescent="0.3"/>
    <row r="634" ht="13.5" customHeight="1" x14ac:dyDescent="0.3"/>
    <row r="635" ht="13.5" customHeight="1" x14ac:dyDescent="0.3"/>
    <row r="636" ht="13.5" customHeight="1" x14ac:dyDescent="0.3"/>
    <row r="637" ht="13.5" customHeight="1" x14ac:dyDescent="0.3"/>
    <row r="638" ht="13.5" customHeight="1" x14ac:dyDescent="0.3"/>
    <row r="639" ht="13.5" customHeight="1" x14ac:dyDescent="0.3"/>
    <row r="640" ht="13.5" customHeight="1" x14ac:dyDescent="0.3"/>
    <row r="641" ht="13.5" customHeight="1" x14ac:dyDescent="0.3"/>
    <row r="642" ht="13.5" customHeight="1" x14ac:dyDescent="0.3"/>
    <row r="643" ht="13.5" customHeight="1" x14ac:dyDescent="0.3"/>
    <row r="644" ht="13.5" customHeight="1" x14ac:dyDescent="0.3"/>
    <row r="645" ht="13.5" customHeight="1" x14ac:dyDescent="0.3"/>
    <row r="646" ht="13.5" customHeight="1" x14ac:dyDescent="0.3"/>
    <row r="647" ht="13.5" customHeight="1" x14ac:dyDescent="0.3"/>
    <row r="648" ht="13.5" customHeight="1" x14ac:dyDescent="0.3"/>
    <row r="649" ht="13.5" customHeight="1" x14ac:dyDescent="0.3"/>
    <row r="650" ht="13.5" customHeight="1" x14ac:dyDescent="0.3"/>
    <row r="651" ht="13.5" customHeight="1" x14ac:dyDescent="0.3"/>
    <row r="652" ht="13.5" customHeight="1" x14ac:dyDescent="0.3"/>
    <row r="653" ht="13.5" customHeight="1" x14ac:dyDescent="0.3"/>
    <row r="654" ht="13.5" customHeight="1" x14ac:dyDescent="0.3"/>
    <row r="655" ht="13.5" customHeight="1" x14ac:dyDescent="0.3"/>
    <row r="656" ht="13.5" customHeight="1" x14ac:dyDescent="0.3"/>
    <row r="657" ht="13.5" customHeight="1" x14ac:dyDescent="0.3"/>
    <row r="658" ht="13.5" customHeight="1" x14ac:dyDescent="0.3"/>
    <row r="659" ht="13.5" customHeight="1" x14ac:dyDescent="0.3"/>
    <row r="660" ht="13.5" customHeight="1" x14ac:dyDescent="0.3"/>
    <row r="661" ht="13.5" customHeight="1" x14ac:dyDescent="0.3"/>
    <row r="662" ht="13.5" customHeight="1" x14ac:dyDescent="0.3"/>
    <row r="663" ht="13.5" customHeight="1" x14ac:dyDescent="0.3"/>
    <row r="664" ht="13.5" customHeight="1" x14ac:dyDescent="0.3"/>
    <row r="665" ht="13.5" customHeight="1" x14ac:dyDescent="0.3"/>
    <row r="666" ht="13.5" customHeight="1" x14ac:dyDescent="0.3"/>
    <row r="667" ht="13.5" customHeight="1" x14ac:dyDescent="0.3"/>
    <row r="668" ht="13.5" customHeight="1" x14ac:dyDescent="0.3"/>
    <row r="669" ht="13.5" customHeight="1" x14ac:dyDescent="0.3"/>
    <row r="670" ht="13.5" customHeight="1" x14ac:dyDescent="0.3"/>
    <row r="671" ht="13.5" customHeight="1" x14ac:dyDescent="0.3"/>
    <row r="672" ht="13.5" customHeight="1" x14ac:dyDescent="0.3"/>
    <row r="673" ht="13.5" customHeight="1" x14ac:dyDescent="0.3"/>
    <row r="674" ht="13.5" customHeight="1" x14ac:dyDescent="0.3"/>
    <row r="675" ht="13.5" customHeight="1" x14ac:dyDescent="0.3"/>
    <row r="676" ht="13.5" customHeight="1" x14ac:dyDescent="0.3"/>
    <row r="677" ht="13.5" customHeight="1" x14ac:dyDescent="0.3"/>
    <row r="678" ht="13.5" customHeight="1" x14ac:dyDescent="0.3"/>
    <row r="679" ht="13.5" customHeight="1" x14ac:dyDescent="0.3"/>
    <row r="680" ht="13.5" customHeight="1" x14ac:dyDescent="0.3"/>
    <row r="681" ht="13.5" customHeight="1" x14ac:dyDescent="0.3"/>
    <row r="682" ht="13.5" customHeight="1" x14ac:dyDescent="0.3"/>
    <row r="683" ht="13.5" customHeight="1" x14ac:dyDescent="0.3"/>
    <row r="684" ht="13.5" customHeight="1" x14ac:dyDescent="0.3"/>
    <row r="685" ht="13.5" customHeight="1" x14ac:dyDescent="0.3"/>
    <row r="686" ht="13.5" customHeight="1" x14ac:dyDescent="0.3"/>
    <row r="687" ht="13.5" customHeight="1" x14ac:dyDescent="0.3"/>
    <row r="688" ht="13.5" customHeight="1" x14ac:dyDescent="0.3"/>
    <row r="689" ht="13.5" customHeight="1" x14ac:dyDescent="0.3"/>
    <row r="690" ht="13.5" customHeight="1" x14ac:dyDescent="0.3"/>
    <row r="691" ht="13.5" customHeight="1" x14ac:dyDescent="0.3"/>
    <row r="692" ht="13.5" customHeight="1" x14ac:dyDescent="0.3"/>
    <row r="693" ht="13.5" customHeight="1" x14ac:dyDescent="0.3"/>
    <row r="694" ht="13.5" customHeight="1" x14ac:dyDescent="0.3"/>
    <row r="695" ht="13.5" customHeight="1" x14ac:dyDescent="0.3"/>
    <row r="696" ht="13.5" customHeight="1" x14ac:dyDescent="0.3"/>
    <row r="697" ht="13.5" customHeight="1" x14ac:dyDescent="0.3"/>
    <row r="698" ht="13.5" customHeight="1" x14ac:dyDescent="0.3"/>
    <row r="699" ht="13.5" customHeight="1" x14ac:dyDescent="0.3"/>
    <row r="700" ht="13.5" customHeight="1" x14ac:dyDescent="0.3"/>
    <row r="701" ht="13.5" customHeight="1" x14ac:dyDescent="0.3"/>
    <row r="702" ht="13.5" customHeight="1" x14ac:dyDescent="0.3"/>
    <row r="703" ht="13.5" customHeight="1" x14ac:dyDescent="0.3"/>
    <row r="704" ht="13.5" customHeight="1" x14ac:dyDescent="0.3"/>
    <row r="705" ht="13.5" customHeight="1" x14ac:dyDescent="0.3"/>
    <row r="706" ht="13.5" customHeight="1" x14ac:dyDescent="0.3"/>
    <row r="707" ht="13.5" customHeight="1" x14ac:dyDescent="0.3"/>
    <row r="708" ht="13.5" customHeight="1" x14ac:dyDescent="0.3"/>
    <row r="709" ht="13.5" customHeight="1" x14ac:dyDescent="0.3"/>
    <row r="710" ht="13.5" customHeight="1" x14ac:dyDescent="0.3"/>
    <row r="711" ht="13.5" customHeight="1" x14ac:dyDescent="0.3"/>
    <row r="712" ht="13.5" customHeight="1" x14ac:dyDescent="0.3"/>
    <row r="713" ht="13.5" customHeight="1" x14ac:dyDescent="0.3"/>
    <row r="714" ht="13.5" customHeight="1" x14ac:dyDescent="0.3"/>
    <row r="715" ht="13.5" customHeight="1" x14ac:dyDescent="0.3"/>
    <row r="716" ht="13.5" customHeight="1" x14ac:dyDescent="0.3"/>
    <row r="717" ht="13.5" customHeight="1" x14ac:dyDescent="0.3"/>
    <row r="718" ht="13.5" customHeight="1" x14ac:dyDescent="0.3"/>
    <row r="719" ht="13.5" customHeight="1" x14ac:dyDescent="0.3"/>
    <row r="720" ht="13.5" customHeight="1" x14ac:dyDescent="0.3"/>
    <row r="721" ht="13.5" customHeight="1" x14ac:dyDescent="0.3"/>
    <row r="722" ht="13.5" customHeight="1" x14ac:dyDescent="0.3"/>
    <row r="723" ht="13.5" customHeight="1" x14ac:dyDescent="0.3"/>
    <row r="724" ht="13.5" customHeight="1" x14ac:dyDescent="0.3"/>
    <row r="725" ht="13.5" customHeight="1" x14ac:dyDescent="0.3"/>
    <row r="726" ht="13.5" customHeight="1" x14ac:dyDescent="0.3"/>
    <row r="727" ht="13.5" customHeight="1" x14ac:dyDescent="0.3"/>
    <row r="728" ht="13.5" customHeight="1" x14ac:dyDescent="0.3"/>
    <row r="729" ht="13.5" customHeight="1" x14ac:dyDescent="0.3"/>
    <row r="730" ht="13.5" customHeight="1" x14ac:dyDescent="0.3"/>
    <row r="731" ht="13.5" customHeight="1" x14ac:dyDescent="0.3"/>
    <row r="732" ht="13.5" customHeight="1" x14ac:dyDescent="0.3"/>
    <row r="733" ht="13.5" customHeight="1" x14ac:dyDescent="0.3"/>
    <row r="734" ht="13.5" customHeight="1" x14ac:dyDescent="0.3"/>
    <row r="735" ht="13.5" customHeight="1" x14ac:dyDescent="0.3"/>
    <row r="736" ht="13.5" customHeight="1" x14ac:dyDescent="0.3"/>
    <row r="737" ht="13.5" customHeight="1" x14ac:dyDescent="0.3"/>
    <row r="738" ht="13.5" customHeight="1" x14ac:dyDescent="0.3"/>
    <row r="739" ht="13.5" customHeight="1" x14ac:dyDescent="0.3"/>
    <row r="740" ht="13.5" customHeight="1" x14ac:dyDescent="0.3"/>
    <row r="741" ht="13.5" customHeight="1" x14ac:dyDescent="0.3"/>
    <row r="742" ht="13.5" customHeight="1" x14ac:dyDescent="0.3"/>
    <row r="743" ht="13.5" customHeight="1" x14ac:dyDescent="0.3"/>
    <row r="744" ht="13.5" customHeight="1" x14ac:dyDescent="0.3"/>
    <row r="745" ht="13.5" customHeight="1" x14ac:dyDescent="0.3"/>
    <row r="746" ht="13.5" customHeight="1" x14ac:dyDescent="0.3"/>
    <row r="747" ht="13.5" customHeight="1" x14ac:dyDescent="0.3"/>
    <row r="748" ht="13.5" customHeight="1" x14ac:dyDescent="0.3"/>
    <row r="749" ht="13.5" customHeight="1" x14ac:dyDescent="0.3"/>
    <row r="750" ht="13.5" customHeight="1" x14ac:dyDescent="0.3"/>
    <row r="751" ht="13.5" customHeight="1" x14ac:dyDescent="0.3"/>
    <row r="752" ht="13.5" customHeight="1" x14ac:dyDescent="0.3"/>
    <row r="753" ht="13.5" customHeight="1" x14ac:dyDescent="0.3"/>
    <row r="754" ht="13.5" customHeight="1" x14ac:dyDescent="0.3"/>
    <row r="755" ht="13.5" customHeight="1" x14ac:dyDescent="0.3"/>
    <row r="756" ht="13.5" customHeight="1" x14ac:dyDescent="0.3"/>
    <row r="757" ht="13.5" customHeight="1" x14ac:dyDescent="0.3"/>
    <row r="758" ht="13.5" customHeight="1" x14ac:dyDescent="0.3"/>
    <row r="759" ht="13.5" customHeight="1" x14ac:dyDescent="0.3"/>
    <row r="760" ht="13.5" customHeight="1" x14ac:dyDescent="0.3"/>
    <row r="761" ht="13.5" customHeight="1" x14ac:dyDescent="0.3"/>
    <row r="762" ht="13.5" customHeight="1" x14ac:dyDescent="0.3"/>
    <row r="763" ht="13.5" customHeight="1" x14ac:dyDescent="0.3"/>
    <row r="764" ht="13.5" customHeight="1" x14ac:dyDescent="0.3"/>
    <row r="765" ht="13.5" customHeight="1" x14ac:dyDescent="0.3"/>
    <row r="766" ht="13.5" customHeight="1" x14ac:dyDescent="0.3"/>
    <row r="767" ht="13.5" customHeight="1" x14ac:dyDescent="0.3"/>
    <row r="768" ht="13.5" customHeight="1" x14ac:dyDescent="0.3"/>
    <row r="769" ht="13.5" customHeight="1" x14ac:dyDescent="0.3"/>
    <row r="770" ht="13.5" customHeight="1" x14ac:dyDescent="0.3"/>
    <row r="771" ht="13.5" customHeight="1" x14ac:dyDescent="0.3"/>
    <row r="772" ht="13.5" customHeight="1" x14ac:dyDescent="0.3"/>
    <row r="773" ht="13.5" customHeight="1" x14ac:dyDescent="0.3"/>
    <row r="774" ht="13.5" customHeight="1" x14ac:dyDescent="0.3"/>
    <row r="775" ht="13.5" customHeight="1" x14ac:dyDescent="0.3"/>
    <row r="776" ht="13.5" customHeight="1" x14ac:dyDescent="0.3"/>
    <row r="777" ht="13.5" customHeight="1" x14ac:dyDescent="0.3"/>
    <row r="778" ht="13.5" customHeight="1" x14ac:dyDescent="0.3"/>
    <row r="779" ht="13.5" customHeight="1" x14ac:dyDescent="0.3"/>
    <row r="780" ht="13.5" customHeight="1" x14ac:dyDescent="0.3"/>
    <row r="781" ht="13.5" customHeight="1" x14ac:dyDescent="0.3"/>
    <row r="782" ht="13.5" customHeight="1" x14ac:dyDescent="0.3"/>
    <row r="783" ht="13.5" customHeight="1" x14ac:dyDescent="0.3"/>
    <row r="784" ht="13.5" customHeight="1" x14ac:dyDescent="0.3"/>
    <row r="785" ht="13.5" customHeight="1" x14ac:dyDescent="0.3"/>
    <row r="786" ht="13.5" customHeight="1" x14ac:dyDescent="0.3"/>
    <row r="787" ht="13.5" customHeight="1" x14ac:dyDescent="0.3"/>
    <row r="788" ht="13.5" customHeight="1" x14ac:dyDescent="0.3"/>
    <row r="789" ht="13.5" customHeight="1" x14ac:dyDescent="0.3"/>
    <row r="790" ht="13.5" customHeight="1" x14ac:dyDescent="0.3"/>
    <row r="791" ht="13.5" customHeight="1" x14ac:dyDescent="0.3"/>
    <row r="792" ht="13.5" customHeight="1" x14ac:dyDescent="0.3"/>
    <row r="793" ht="13.5" customHeight="1" x14ac:dyDescent="0.3"/>
    <row r="794" ht="13.5" customHeight="1" x14ac:dyDescent="0.3"/>
    <row r="795" ht="13.5" customHeight="1" x14ac:dyDescent="0.3"/>
    <row r="796" ht="13.5" customHeight="1" x14ac:dyDescent="0.3"/>
    <row r="797" ht="13.5" customHeight="1" x14ac:dyDescent="0.3"/>
    <row r="798" ht="13.5" customHeight="1" x14ac:dyDescent="0.3"/>
    <row r="799" ht="13.5" customHeight="1" x14ac:dyDescent="0.3"/>
    <row r="800" ht="13.5" customHeight="1" x14ac:dyDescent="0.3"/>
    <row r="801" ht="13.5" customHeight="1" x14ac:dyDescent="0.3"/>
    <row r="802" ht="13.5" customHeight="1" x14ac:dyDescent="0.3"/>
    <row r="803" ht="13.5" customHeight="1" x14ac:dyDescent="0.3"/>
    <row r="804" ht="13.5" customHeight="1" x14ac:dyDescent="0.3"/>
    <row r="805" ht="13.5" customHeight="1" x14ac:dyDescent="0.3"/>
    <row r="806" ht="13.5" customHeight="1" x14ac:dyDescent="0.3"/>
    <row r="807" ht="13.5" customHeight="1" x14ac:dyDescent="0.3"/>
    <row r="808" ht="13.5" customHeight="1" x14ac:dyDescent="0.3"/>
    <row r="809" ht="13.5" customHeight="1" x14ac:dyDescent="0.3"/>
    <row r="810" ht="13.5" customHeight="1" x14ac:dyDescent="0.3"/>
    <row r="811" ht="13.5" customHeight="1" x14ac:dyDescent="0.3"/>
    <row r="812" ht="13.5" customHeight="1" x14ac:dyDescent="0.3"/>
    <row r="813" ht="13.5" customHeight="1" x14ac:dyDescent="0.3"/>
    <row r="814" ht="13.5" customHeight="1" x14ac:dyDescent="0.3"/>
    <row r="815" ht="13.5" customHeight="1" x14ac:dyDescent="0.3"/>
    <row r="816" ht="13.5" customHeight="1" x14ac:dyDescent="0.3"/>
    <row r="817" ht="13.5" customHeight="1" x14ac:dyDescent="0.3"/>
    <row r="818" ht="13.5" customHeight="1" x14ac:dyDescent="0.3"/>
    <row r="819" ht="13.5" customHeight="1" x14ac:dyDescent="0.3"/>
    <row r="820" ht="13.5" customHeight="1" x14ac:dyDescent="0.3"/>
    <row r="821" ht="13.5" customHeight="1" x14ac:dyDescent="0.3"/>
    <row r="822" ht="13.5" customHeight="1" x14ac:dyDescent="0.3"/>
    <row r="823" ht="13.5" customHeight="1" x14ac:dyDescent="0.3"/>
    <row r="824" ht="13.5" customHeight="1" x14ac:dyDescent="0.3"/>
    <row r="825" ht="13.5" customHeight="1" x14ac:dyDescent="0.3"/>
    <row r="826" ht="13.5" customHeight="1" x14ac:dyDescent="0.3"/>
    <row r="827" ht="13.5" customHeight="1" x14ac:dyDescent="0.3"/>
    <row r="828" ht="13.5" customHeight="1" x14ac:dyDescent="0.3"/>
    <row r="829" ht="13.5" customHeight="1" x14ac:dyDescent="0.3"/>
    <row r="830" ht="13.5" customHeight="1" x14ac:dyDescent="0.3"/>
    <row r="831" ht="13.5" customHeight="1" x14ac:dyDescent="0.3"/>
    <row r="832" ht="13.5" customHeight="1" x14ac:dyDescent="0.3"/>
    <row r="833" ht="13.5" customHeight="1" x14ac:dyDescent="0.3"/>
    <row r="834" ht="13.5" customHeight="1" x14ac:dyDescent="0.3"/>
    <row r="835" ht="13.5" customHeight="1" x14ac:dyDescent="0.3"/>
    <row r="836" ht="13.5" customHeight="1" x14ac:dyDescent="0.3"/>
    <row r="837" ht="13.5" customHeight="1" x14ac:dyDescent="0.3"/>
    <row r="838" ht="13.5" customHeight="1" x14ac:dyDescent="0.3"/>
    <row r="839" ht="13.5" customHeight="1" x14ac:dyDescent="0.3"/>
    <row r="840" ht="13.5" customHeight="1" x14ac:dyDescent="0.3"/>
    <row r="841" ht="13.5" customHeight="1" x14ac:dyDescent="0.3"/>
    <row r="842" ht="13.5" customHeight="1" x14ac:dyDescent="0.3"/>
    <row r="843" ht="13.5" customHeight="1" x14ac:dyDescent="0.3"/>
    <row r="844" ht="13.5" customHeight="1" x14ac:dyDescent="0.3"/>
    <row r="845" ht="13.5" customHeight="1" x14ac:dyDescent="0.3"/>
    <row r="846" ht="13.5" customHeight="1" x14ac:dyDescent="0.3"/>
    <row r="847" ht="13.5" customHeight="1" x14ac:dyDescent="0.3"/>
    <row r="848" ht="13.5" customHeight="1" x14ac:dyDescent="0.3"/>
    <row r="849" ht="13.5" customHeight="1" x14ac:dyDescent="0.3"/>
    <row r="850" ht="13.5" customHeight="1" x14ac:dyDescent="0.3"/>
    <row r="851" ht="13.5" customHeight="1" x14ac:dyDescent="0.3"/>
    <row r="852" ht="13.5" customHeight="1" x14ac:dyDescent="0.3"/>
    <row r="853" ht="13.5" customHeight="1" x14ac:dyDescent="0.3"/>
    <row r="854" ht="13.5" customHeight="1" x14ac:dyDescent="0.3"/>
    <row r="855" ht="13.5" customHeight="1" x14ac:dyDescent="0.3"/>
    <row r="856" ht="13.5" customHeight="1" x14ac:dyDescent="0.3"/>
    <row r="857" ht="13.5" customHeight="1" x14ac:dyDescent="0.3"/>
    <row r="858" ht="13.5" customHeight="1" x14ac:dyDescent="0.3"/>
    <row r="859" ht="13.5" customHeight="1" x14ac:dyDescent="0.3"/>
    <row r="860" ht="13.5" customHeight="1" x14ac:dyDescent="0.3"/>
    <row r="861" ht="13.5" customHeight="1" x14ac:dyDescent="0.3"/>
    <row r="862" ht="13.5" customHeight="1" x14ac:dyDescent="0.3"/>
    <row r="863" ht="13.5" customHeight="1" x14ac:dyDescent="0.3"/>
    <row r="864" ht="13.5" customHeight="1" x14ac:dyDescent="0.3"/>
    <row r="865" ht="13.5" customHeight="1" x14ac:dyDescent="0.3"/>
    <row r="866" ht="13.5" customHeight="1" x14ac:dyDescent="0.3"/>
    <row r="867" ht="13.5" customHeight="1" x14ac:dyDescent="0.3"/>
    <row r="868" ht="13.5" customHeight="1" x14ac:dyDescent="0.3"/>
    <row r="869" ht="13.5" customHeight="1" x14ac:dyDescent="0.3"/>
    <row r="870" ht="13.5" customHeight="1" x14ac:dyDescent="0.3"/>
    <row r="871" ht="13.5" customHeight="1" x14ac:dyDescent="0.3"/>
    <row r="872" ht="13.5" customHeight="1" x14ac:dyDescent="0.3"/>
    <row r="873" ht="13.5" customHeight="1" x14ac:dyDescent="0.3"/>
    <row r="874" ht="13.5" customHeight="1" x14ac:dyDescent="0.3"/>
    <row r="875" ht="13.5" customHeight="1" x14ac:dyDescent="0.3"/>
    <row r="876" ht="13.5" customHeight="1" x14ac:dyDescent="0.3"/>
    <row r="877" ht="13.5" customHeight="1" x14ac:dyDescent="0.3"/>
    <row r="878" ht="13.5" customHeight="1" x14ac:dyDescent="0.3"/>
    <row r="879" ht="13.5" customHeight="1" x14ac:dyDescent="0.3"/>
    <row r="880" ht="13.5" customHeight="1" x14ac:dyDescent="0.3"/>
    <row r="881" ht="13.5" customHeight="1" x14ac:dyDescent="0.3"/>
    <row r="882" ht="13.5" customHeight="1" x14ac:dyDescent="0.3"/>
    <row r="883" ht="13.5" customHeight="1" x14ac:dyDescent="0.3"/>
    <row r="884" ht="13.5" customHeight="1" x14ac:dyDescent="0.3"/>
    <row r="885" ht="13.5" customHeight="1" x14ac:dyDescent="0.3"/>
    <row r="886" ht="13.5" customHeight="1" x14ac:dyDescent="0.3"/>
    <row r="887" ht="13.5" customHeight="1" x14ac:dyDescent="0.3"/>
    <row r="888" ht="13.5" customHeight="1" x14ac:dyDescent="0.3"/>
    <row r="889" ht="13.5" customHeight="1" x14ac:dyDescent="0.3"/>
    <row r="890" ht="13.5" customHeight="1" x14ac:dyDescent="0.3"/>
    <row r="891" ht="13.5" customHeight="1" x14ac:dyDescent="0.3"/>
    <row r="892" ht="13.5" customHeight="1" x14ac:dyDescent="0.3"/>
    <row r="893" ht="13.5" customHeight="1" x14ac:dyDescent="0.3"/>
    <row r="894" ht="13.5" customHeight="1" x14ac:dyDescent="0.3"/>
    <row r="895" ht="13.5" customHeight="1" x14ac:dyDescent="0.3"/>
    <row r="896" ht="13.5" customHeight="1" x14ac:dyDescent="0.3"/>
    <row r="897" ht="13.5" customHeight="1" x14ac:dyDescent="0.3"/>
    <row r="898" ht="13.5" customHeight="1" x14ac:dyDescent="0.3"/>
    <row r="899" ht="13.5" customHeight="1" x14ac:dyDescent="0.3"/>
    <row r="900" ht="13.5" customHeight="1" x14ac:dyDescent="0.3"/>
    <row r="901" ht="13.5" customHeight="1" x14ac:dyDescent="0.3"/>
    <row r="902" ht="13.5" customHeight="1" x14ac:dyDescent="0.3"/>
    <row r="903" ht="13.5" customHeight="1" x14ac:dyDescent="0.3"/>
    <row r="904" ht="13.5" customHeight="1" x14ac:dyDescent="0.3"/>
    <row r="905" ht="13.5" customHeight="1" x14ac:dyDescent="0.3"/>
    <row r="906" ht="13.5" customHeight="1" x14ac:dyDescent="0.3"/>
    <row r="907" ht="13.5" customHeight="1" x14ac:dyDescent="0.3"/>
    <row r="908" ht="13.5" customHeight="1" x14ac:dyDescent="0.3"/>
    <row r="909" ht="13.5" customHeight="1" x14ac:dyDescent="0.3"/>
    <row r="910" ht="13.5" customHeight="1" x14ac:dyDescent="0.3"/>
    <row r="911" ht="13.5" customHeight="1" x14ac:dyDescent="0.3"/>
    <row r="912" ht="13.5" customHeight="1" x14ac:dyDescent="0.3"/>
    <row r="913" ht="13.5" customHeight="1" x14ac:dyDescent="0.3"/>
    <row r="914" ht="13.5" customHeight="1" x14ac:dyDescent="0.3"/>
    <row r="915" ht="13.5" customHeight="1" x14ac:dyDescent="0.3"/>
    <row r="916" ht="13.5" customHeight="1" x14ac:dyDescent="0.3"/>
    <row r="917" ht="13.5" customHeight="1" x14ac:dyDescent="0.3"/>
    <row r="918" ht="13.5" customHeight="1" x14ac:dyDescent="0.3"/>
    <row r="919" ht="13.5" customHeight="1" x14ac:dyDescent="0.3"/>
    <row r="920" ht="13.5" customHeight="1" x14ac:dyDescent="0.3"/>
    <row r="921" ht="13.5" customHeight="1" x14ac:dyDescent="0.3"/>
    <row r="922" ht="13.5" customHeight="1" x14ac:dyDescent="0.3"/>
    <row r="923" ht="13.5" customHeight="1" x14ac:dyDescent="0.3"/>
    <row r="924" ht="13.5" customHeight="1" x14ac:dyDescent="0.3"/>
    <row r="925" ht="13.5" customHeight="1" x14ac:dyDescent="0.3"/>
    <row r="926" ht="13.5" customHeight="1" x14ac:dyDescent="0.3"/>
    <row r="927" ht="13.5" customHeight="1" x14ac:dyDescent="0.3"/>
    <row r="928" ht="13.5" customHeight="1" x14ac:dyDescent="0.3"/>
    <row r="929" ht="13.5" customHeight="1" x14ac:dyDescent="0.3"/>
    <row r="930" ht="13.5" customHeight="1" x14ac:dyDescent="0.3"/>
    <row r="931" ht="13.5" customHeight="1" x14ac:dyDescent="0.3"/>
    <row r="932" ht="13.5" customHeight="1" x14ac:dyDescent="0.3"/>
    <row r="933" ht="13.5" customHeight="1" x14ac:dyDescent="0.3"/>
    <row r="934" ht="13.5" customHeight="1" x14ac:dyDescent="0.3"/>
    <row r="935" ht="13.5" customHeight="1" x14ac:dyDescent="0.3"/>
    <row r="936" ht="13.5" customHeight="1" x14ac:dyDescent="0.3"/>
    <row r="937" ht="13.5" customHeight="1" x14ac:dyDescent="0.3"/>
    <row r="938" ht="13.5" customHeight="1" x14ac:dyDescent="0.3"/>
    <row r="939" ht="13.5" customHeight="1" x14ac:dyDescent="0.3"/>
    <row r="940" ht="13.5" customHeight="1" x14ac:dyDescent="0.3"/>
    <row r="941" ht="13.5" customHeight="1" x14ac:dyDescent="0.3"/>
    <row r="942" ht="13.5" customHeight="1" x14ac:dyDescent="0.3"/>
    <row r="943" ht="13.5" customHeight="1" x14ac:dyDescent="0.3"/>
    <row r="944" ht="13.5" customHeight="1" x14ac:dyDescent="0.3"/>
    <row r="945" ht="13.5" customHeight="1" x14ac:dyDescent="0.3"/>
    <row r="946" ht="13.5" customHeight="1" x14ac:dyDescent="0.3"/>
    <row r="947" ht="13.5" customHeight="1" x14ac:dyDescent="0.3"/>
    <row r="948" ht="13.5" customHeight="1" x14ac:dyDescent="0.3"/>
    <row r="949" ht="13.5" customHeight="1" x14ac:dyDescent="0.3"/>
    <row r="950" ht="13.5" customHeight="1" x14ac:dyDescent="0.3"/>
    <row r="951" ht="13.5" customHeight="1" x14ac:dyDescent="0.3"/>
    <row r="952" ht="13.5" customHeight="1" x14ac:dyDescent="0.3"/>
    <row r="953" ht="13.5" customHeight="1" x14ac:dyDescent="0.3"/>
    <row r="954" ht="13.5" customHeight="1" x14ac:dyDescent="0.3"/>
    <row r="955" ht="13.5" customHeight="1" x14ac:dyDescent="0.3"/>
    <row r="956" ht="13.5" customHeight="1" x14ac:dyDescent="0.3"/>
    <row r="957" ht="13.5" customHeight="1" x14ac:dyDescent="0.3"/>
    <row r="958" ht="13.5" customHeight="1" x14ac:dyDescent="0.3"/>
    <row r="959" ht="13.5" customHeight="1" x14ac:dyDescent="0.3"/>
    <row r="960" ht="13.5" customHeight="1" x14ac:dyDescent="0.3"/>
    <row r="961" ht="13.5" customHeight="1" x14ac:dyDescent="0.3"/>
    <row r="962" ht="13.5" customHeight="1" x14ac:dyDescent="0.3"/>
    <row r="963" ht="13.5" customHeight="1" x14ac:dyDescent="0.3"/>
    <row r="964" ht="13.5" customHeight="1" x14ac:dyDescent="0.3"/>
    <row r="965" ht="13.5" customHeight="1" x14ac:dyDescent="0.3"/>
    <row r="966" ht="13.5" customHeight="1" x14ac:dyDescent="0.3"/>
    <row r="967" ht="13.5" customHeight="1" x14ac:dyDescent="0.3"/>
    <row r="968" ht="13.5" customHeight="1" x14ac:dyDescent="0.3"/>
    <row r="969" ht="13.5" customHeight="1" x14ac:dyDescent="0.3"/>
    <row r="970" ht="13.5" customHeight="1" x14ac:dyDescent="0.3"/>
    <row r="971" ht="13.5" customHeight="1" x14ac:dyDescent="0.3"/>
    <row r="972" ht="13.5" customHeight="1" x14ac:dyDescent="0.3"/>
    <row r="973" ht="13.5" customHeight="1" x14ac:dyDescent="0.3"/>
    <row r="974" ht="13.5" customHeight="1" x14ac:dyDescent="0.3"/>
    <row r="975" ht="13.5" customHeight="1" x14ac:dyDescent="0.3"/>
    <row r="976" ht="13.5" customHeight="1" x14ac:dyDescent="0.3"/>
    <row r="977" ht="13.5" customHeight="1" x14ac:dyDescent="0.3"/>
    <row r="978" ht="13.5" customHeight="1" x14ac:dyDescent="0.3"/>
    <row r="979" ht="13.5" customHeight="1" x14ac:dyDescent="0.3"/>
    <row r="980" ht="13.5" customHeight="1" x14ac:dyDescent="0.3"/>
    <row r="981" ht="13.5" customHeight="1" x14ac:dyDescent="0.3"/>
    <row r="982" ht="13.5" customHeight="1" x14ac:dyDescent="0.3"/>
    <row r="983" ht="13.5" customHeight="1" x14ac:dyDescent="0.3"/>
    <row r="984" ht="13.5" customHeight="1" x14ac:dyDescent="0.3"/>
    <row r="985" ht="13.5" customHeight="1" x14ac:dyDescent="0.3"/>
    <row r="986" ht="13.5" customHeight="1" x14ac:dyDescent="0.3"/>
    <row r="987" ht="13.5" customHeight="1" x14ac:dyDescent="0.3"/>
    <row r="988" ht="13.5" customHeight="1" x14ac:dyDescent="0.3"/>
    <row r="989" ht="13.5" customHeight="1" x14ac:dyDescent="0.3"/>
    <row r="990" ht="13.5" customHeight="1" x14ac:dyDescent="0.3"/>
    <row r="991" ht="13.5" customHeight="1" x14ac:dyDescent="0.3"/>
    <row r="992" ht="13.5" customHeight="1" x14ac:dyDescent="0.3"/>
    <row r="993" ht="13.5" customHeight="1" x14ac:dyDescent="0.3"/>
    <row r="994" ht="13.5" customHeight="1" x14ac:dyDescent="0.3"/>
    <row r="995" ht="13.5" customHeight="1" x14ac:dyDescent="0.3"/>
    <row r="996" ht="13.5" customHeight="1" x14ac:dyDescent="0.3"/>
    <row r="997" ht="13.5" customHeight="1" x14ac:dyDescent="0.3"/>
    <row r="998" ht="13.5" customHeight="1" x14ac:dyDescent="0.3"/>
    <row r="999" ht="13.5" customHeight="1" x14ac:dyDescent="0.3"/>
    <row r="1000" ht="13.5" customHeight="1" x14ac:dyDescent="0.3"/>
  </sheetData>
  <pageMargins left="0.511811024" right="0.511811024" top="0.78740157499999996" bottom="0.78740157499999996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E6694-B902-4046-AB78-43592CD6AE15}">
  <dimension ref="B3:D22"/>
  <sheetViews>
    <sheetView workbookViewId="0">
      <selection activeCell="C6" sqref="C6"/>
    </sheetView>
  </sheetViews>
  <sheetFormatPr defaultRowHeight="13.8" x14ac:dyDescent="0.3"/>
  <cols>
    <col min="2" max="2" width="14.44140625" bestFit="1" customWidth="1"/>
    <col min="3" max="3" width="14.5546875" bestFit="1" customWidth="1"/>
  </cols>
  <sheetData>
    <row r="3" spans="2:4" x14ac:dyDescent="0.3">
      <c r="B3" s="142" t="s">
        <v>136</v>
      </c>
    </row>
    <row r="4" spans="2:4" x14ac:dyDescent="0.3">
      <c r="B4" t="s">
        <v>137</v>
      </c>
      <c r="C4" s="149">
        <f>C11*0.95</f>
        <v>237.5</v>
      </c>
    </row>
    <row r="5" spans="2:4" x14ac:dyDescent="0.3">
      <c r="B5" t="s">
        <v>138</v>
      </c>
      <c r="C5" s="149">
        <f>C12*1.05</f>
        <v>118152.54149999999</v>
      </c>
    </row>
    <row r="6" spans="2:4" x14ac:dyDescent="0.3">
      <c r="B6" t="s">
        <v>139</v>
      </c>
      <c r="C6" s="139">
        <v>1.2800000000000001E-2</v>
      </c>
    </row>
    <row r="8" spans="2:4" x14ac:dyDescent="0.3">
      <c r="B8" t="s">
        <v>140</v>
      </c>
      <c r="C8" s="154">
        <v>21328439.251313549</v>
      </c>
      <c r="D8" s="152">
        <f>(C8-C15)/C15</f>
        <v>-0.67742870651416309</v>
      </c>
    </row>
    <row r="10" spans="2:4" x14ac:dyDescent="0.3">
      <c r="B10" s="142" t="s">
        <v>141</v>
      </c>
    </row>
    <row r="11" spans="2:4" x14ac:dyDescent="0.3">
      <c r="B11" t="s">
        <v>137</v>
      </c>
      <c r="C11" s="149">
        <f>SENSIBILIDADE!B7</f>
        <v>250</v>
      </c>
    </row>
    <row r="12" spans="2:4" x14ac:dyDescent="0.3">
      <c r="B12" t="s">
        <v>138</v>
      </c>
      <c r="C12" s="149">
        <f>SENSIBILIDADE!J7</f>
        <v>112526.22999999998</v>
      </c>
    </row>
    <row r="13" spans="2:4" x14ac:dyDescent="0.3">
      <c r="B13" t="s">
        <v>139</v>
      </c>
      <c r="C13" s="139">
        <v>1.2699999999999999E-2</v>
      </c>
    </row>
    <row r="15" spans="2:4" x14ac:dyDescent="0.3">
      <c r="B15" t="s">
        <v>140</v>
      </c>
      <c r="C15" s="154">
        <v>66120078.512969166</v>
      </c>
    </row>
    <row r="17" spans="2:4" x14ac:dyDescent="0.3">
      <c r="B17" s="142" t="s">
        <v>142</v>
      </c>
    </row>
    <row r="18" spans="2:4" x14ac:dyDescent="0.3">
      <c r="B18" t="s">
        <v>137</v>
      </c>
      <c r="C18" s="149">
        <f>C11*1.05</f>
        <v>262.5</v>
      </c>
    </row>
    <row r="19" spans="2:4" x14ac:dyDescent="0.3">
      <c r="B19" t="s">
        <v>138</v>
      </c>
      <c r="C19" s="149">
        <f>C12*0.95</f>
        <v>106899.91849999997</v>
      </c>
    </row>
    <row r="20" spans="2:4" x14ac:dyDescent="0.3">
      <c r="B20" t="s">
        <v>139</v>
      </c>
      <c r="C20" s="139">
        <f>SENSIBILIDADE!S5</f>
        <v>1.0200000000000001E-2</v>
      </c>
    </row>
    <row r="22" spans="2:4" x14ac:dyDescent="0.3">
      <c r="B22" t="s">
        <v>140</v>
      </c>
      <c r="C22" s="154">
        <v>113166099.85536219</v>
      </c>
      <c r="D22" s="152">
        <f>(C22-C15)/C15</f>
        <v>0.71152397880418661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PINI</vt:lpstr>
      <vt:lpstr>BDI</vt:lpstr>
      <vt:lpstr>DADOS</vt:lpstr>
      <vt:lpstr>FC</vt:lpstr>
      <vt:lpstr>ANÁLISES</vt:lpstr>
      <vt:lpstr>SENSIBILIDADE</vt:lpstr>
      <vt:lpstr>CENÁRIOS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lfpdr</dc:creator>
  <cp:lastModifiedBy>Luiz F P Droubi</cp:lastModifiedBy>
  <dcterms:created xsi:type="dcterms:W3CDTF">2023-05-04T15:58:00Z</dcterms:created>
  <dcterms:modified xsi:type="dcterms:W3CDTF">2025-09-18T22:30:27Z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4534442D8FF74E878E0BA8FBD28BB4AF</vt:lpwstr>
  </property>
  <property fmtid="{D5CDD505-2E9C-101B-9397-08002B2CF9AE}" pid="3" name="KSOProductBuildVer">
    <vt:lpwstr>1046-11.2.0.11417</vt:lpwstr>
  </property>
</Properties>
</file>