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eroportos - SAC - 2024\01 Florianópolis\Laudos\Involutivo\"/>
    </mc:Choice>
  </mc:AlternateContent>
  <bookViews>
    <workbookView xWindow="0" yWindow="0" windowWidth="20460" windowHeight="8220" activeTab="3"/>
  </bookViews>
  <sheets>
    <sheet name="PINI" sheetId="1" r:id="rId1"/>
    <sheet name="BDI" sheetId="2" r:id="rId2"/>
    <sheet name="DADOS" sheetId="3" r:id="rId3"/>
    <sheet name="FC" sheetId="4" r:id="rId4"/>
    <sheet name="ANÁLISES" sheetId="5" r:id="rId5"/>
    <sheet name="SENSIBILIDADE" sheetId="6" r:id="rId6"/>
  </sheets>
  <calcPr calcId="162913"/>
  <extLst>
    <ext uri="GoogleSheetsCustomDataVersion2">
      <go:sheetsCustomData xmlns:go="http://customooxmlschemas.google.com/" r:id="rId10" roundtripDataChecksum="qqvZixToe1egXEPAzcXNKqzNVTRkpZHAcfkp73DlcBo="/>
    </ext>
  </extLst>
</workbook>
</file>

<file path=xl/calcChain.xml><?xml version="1.0" encoding="utf-8"?>
<calcChain xmlns="http://schemas.openxmlformats.org/spreadsheetml/2006/main">
  <c r="X103" i="4" l="1"/>
  <c r="AA1" i="4"/>
  <c r="I17" i="3" l="1"/>
  <c r="I15" i="3"/>
  <c r="H16" i="3"/>
  <c r="G16" i="3"/>
  <c r="B17" i="5"/>
  <c r="B18" i="5" s="1"/>
  <c r="B19" i="5" s="1"/>
  <c r="AA2" i="4" s="1"/>
  <c r="D18" i="2"/>
  <c r="C18" i="2"/>
  <c r="C4" i="2"/>
  <c r="C3" i="2"/>
  <c r="A8" i="6"/>
  <c r="K17" i="5"/>
  <c r="B15" i="5"/>
  <c r="G13" i="5"/>
  <c r="B13" i="5"/>
  <c r="B7" i="5"/>
  <c r="B8" i="5" s="1"/>
  <c r="G4" i="5"/>
  <c r="E99" i="4"/>
  <c r="E65" i="4"/>
  <c r="E39" i="4"/>
  <c r="E38" i="4"/>
  <c r="E17" i="4"/>
  <c r="E16" i="4"/>
  <c r="E15" i="4"/>
  <c r="E14" i="4"/>
  <c r="E13" i="4"/>
  <c r="E12" i="4"/>
  <c r="E11" i="4"/>
  <c r="E10" i="4"/>
  <c r="E9" i="4"/>
  <c r="E8" i="4"/>
  <c r="H7" i="4"/>
  <c r="F7" i="4"/>
  <c r="E7" i="4"/>
  <c r="Q6" i="4"/>
  <c r="W2" i="4"/>
  <c r="G2" i="4"/>
  <c r="AJ40" i="3"/>
  <c r="AI40" i="3"/>
  <c r="E18" i="3"/>
  <c r="C18" i="3"/>
  <c r="B18" i="3"/>
  <c r="H17" i="3"/>
  <c r="E17" i="3"/>
  <c r="D17" i="3"/>
  <c r="E16" i="3"/>
  <c r="D16" i="3"/>
  <c r="H15" i="3"/>
  <c r="H18" i="3" s="1"/>
  <c r="K7" i="5" s="1"/>
  <c r="E15" i="3"/>
  <c r="D15" i="3"/>
  <c r="B11" i="3"/>
  <c r="B9" i="3"/>
  <c r="B6" i="3"/>
  <c r="C6" i="3" s="1"/>
  <c r="C5" i="3"/>
  <c r="C4" i="3"/>
  <c r="C3" i="3"/>
  <c r="F12" i="2"/>
  <c r="E12" i="2"/>
  <c r="E11" i="2"/>
  <c r="F10" i="2"/>
  <c r="E10" i="2"/>
  <c r="C5" i="2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F14" i="1" s="1"/>
  <c r="F16" i="3" s="1"/>
  <c r="D5" i="1"/>
  <c r="H4" i="1"/>
  <c r="H14" i="1" s="1"/>
  <c r="F17" i="3" s="1"/>
  <c r="G17" i="3" s="1"/>
  <c r="O2" i="4" s="1"/>
  <c r="F4" i="1"/>
  <c r="D4" i="1"/>
  <c r="D14" i="1" s="1"/>
  <c r="M2" i="4" l="1"/>
  <c r="B20" i="6"/>
  <c r="F15" i="3"/>
  <c r="G15" i="3" s="1"/>
  <c r="O98" i="4"/>
  <c r="O96" i="4"/>
  <c r="O94" i="4"/>
  <c r="O92" i="4"/>
  <c r="O90" i="4"/>
  <c r="O88" i="4"/>
  <c r="O99" i="4"/>
  <c r="O97" i="4"/>
  <c r="O89" i="4"/>
  <c r="O95" i="4"/>
  <c r="O87" i="4"/>
  <c r="O85" i="4"/>
  <c r="O83" i="4"/>
  <c r="O86" i="4"/>
  <c r="O80" i="4"/>
  <c r="O78" i="4"/>
  <c r="O76" i="4"/>
  <c r="O74" i="4"/>
  <c r="O72" i="4"/>
  <c r="O70" i="4"/>
  <c r="O68" i="4"/>
  <c r="O93" i="4"/>
  <c r="O82" i="4"/>
  <c r="O91" i="4"/>
  <c r="O84" i="4"/>
  <c r="O81" i="4"/>
  <c r="O79" i="4"/>
  <c r="O77" i="4"/>
  <c r="O75" i="4"/>
  <c r="O73" i="4"/>
  <c r="O71" i="4"/>
  <c r="O69" i="4"/>
  <c r="O67" i="4"/>
  <c r="O63" i="4"/>
  <c r="O61" i="4"/>
  <c r="O59" i="4"/>
  <c r="O57" i="4"/>
  <c r="O55" i="4"/>
  <c r="O65" i="4"/>
  <c r="O64" i="4"/>
  <c r="O62" i="4"/>
  <c r="O60" i="4"/>
  <c r="O58" i="4"/>
  <c r="O56" i="4"/>
  <c r="O66" i="4"/>
  <c r="O53" i="4"/>
  <c r="O49" i="4"/>
  <c r="O45" i="4"/>
  <c r="O54" i="4"/>
  <c r="O50" i="4"/>
  <c r="O46" i="4"/>
  <c r="O42" i="4"/>
  <c r="O41" i="4"/>
  <c r="O39" i="4"/>
  <c r="O36" i="4"/>
  <c r="O34" i="4"/>
  <c r="O32" i="4"/>
  <c r="O30" i="4"/>
  <c r="O28" i="4"/>
  <c r="O26" i="4"/>
  <c r="O24" i="4"/>
  <c r="O22" i="4"/>
  <c r="O20" i="4"/>
  <c r="O18" i="4"/>
  <c r="O51" i="4"/>
  <c r="O47" i="4"/>
  <c r="O43" i="4"/>
  <c r="O38" i="4"/>
  <c r="O52" i="4"/>
  <c r="O48" i="4"/>
  <c r="O44" i="4"/>
  <c r="O40" i="4"/>
  <c r="O37" i="4"/>
  <c r="O35" i="4"/>
  <c r="O33" i="4"/>
  <c r="O31" i="4"/>
  <c r="O29" i="4"/>
  <c r="O27" i="4"/>
  <c r="O25" i="4"/>
  <c r="O23" i="4"/>
  <c r="O21" i="4"/>
  <c r="O19" i="4"/>
  <c r="O17" i="4"/>
  <c r="O13" i="4"/>
  <c r="O9" i="4"/>
  <c r="O16" i="4"/>
  <c r="O12" i="4"/>
  <c r="O8" i="4"/>
  <c r="O15" i="4"/>
  <c r="O11" i="4"/>
  <c r="O7" i="4"/>
  <c r="O14" i="4"/>
  <c r="O10" i="4"/>
  <c r="O6" i="4"/>
  <c r="C6" i="2"/>
  <c r="F11" i="2"/>
  <c r="F13" i="2" s="1"/>
  <c r="G99" i="4"/>
  <c r="F97" i="4"/>
  <c r="F95" i="4"/>
  <c r="F93" i="4"/>
  <c r="F91" i="4"/>
  <c r="F89" i="4"/>
  <c r="F87" i="4"/>
  <c r="F99" i="4"/>
  <c r="F98" i="4"/>
  <c r="G97" i="4"/>
  <c r="G96" i="4"/>
  <c r="F90" i="4"/>
  <c r="G89" i="4"/>
  <c r="G88" i="4"/>
  <c r="G86" i="4"/>
  <c r="G84" i="4"/>
  <c r="F96" i="4"/>
  <c r="G95" i="4"/>
  <c r="G94" i="4"/>
  <c r="F88" i="4"/>
  <c r="G87" i="4"/>
  <c r="F86" i="4"/>
  <c r="F84" i="4"/>
  <c r="F94" i="4"/>
  <c r="G93" i="4"/>
  <c r="G92" i="4"/>
  <c r="G83" i="4"/>
  <c r="G81" i="4"/>
  <c r="G79" i="4"/>
  <c r="G77" i="4"/>
  <c r="G75" i="4"/>
  <c r="F92" i="4"/>
  <c r="G91" i="4"/>
  <c r="G90" i="4"/>
  <c r="F83" i="4"/>
  <c r="F81" i="4"/>
  <c r="F79" i="4"/>
  <c r="F77" i="4"/>
  <c r="F75" i="4"/>
  <c r="F73" i="4"/>
  <c r="F71" i="4"/>
  <c r="F69" i="4"/>
  <c r="H99" i="4"/>
  <c r="G85" i="4"/>
  <c r="G82" i="4"/>
  <c r="G80" i="4"/>
  <c r="G78" i="4"/>
  <c r="G76" i="4"/>
  <c r="G98" i="4"/>
  <c r="F85" i="4"/>
  <c r="F82" i="4"/>
  <c r="F80" i="4"/>
  <c r="F78" i="4"/>
  <c r="F76" i="4"/>
  <c r="F74" i="4"/>
  <c r="F72" i="4"/>
  <c r="F70" i="4"/>
  <c r="F68" i="4"/>
  <c r="G74" i="4"/>
  <c r="G70" i="4"/>
  <c r="G66" i="4"/>
  <c r="F64" i="4"/>
  <c r="H63" i="4"/>
  <c r="F62" i="4"/>
  <c r="H61" i="4"/>
  <c r="F60" i="4"/>
  <c r="H59" i="4"/>
  <c r="F58" i="4"/>
  <c r="H57" i="4"/>
  <c r="F56" i="4"/>
  <c r="G71" i="4"/>
  <c r="F66" i="4"/>
  <c r="H65" i="4"/>
  <c r="G72" i="4"/>
  <c r="G68" i="4"/>
  <c r="G67" i="4"/>
  <c r="G65" i="4"/>
  <c r="H64" i="4"/>
  <c r="F63" i="4"/>
  <c r="H62" i="4"/>
  <c r="F61" i="4"/>
  <c r="H60" i="4"/>
  <c r="F59" i="4"/>
  <c r="H58" i="4"/>
  <c r="F57" i="4"/>
  <c r="H56" i="4"/>
  <c r="G73" i="4"/>
  <c r="G69" i="4"/>
  <c r="F67" i="4"/>
  <c r="F65" i="4"/>
  <c r="H55" i="4"/>
  <c r="F54" i="4"/>
  <c r="H51" i="4"/>
  <c r="F50" i="4"/>
  <c r="H47" i="4"/>
  <c r="F46" i="4"/>
  <c r="H43" i="4"/>
  <c r="F42" i="4"/>
  <c r="F38" i="4"/>
  <c r="I38" i="4" s="1"/>
  <c r="G37" i="4"/>
  <c r="G35" i="4"/>
  <c r="G33" i="4"/>
  <c r="G31" i="4"/>
  <c r="G29" i="4"/>
  <c r="F55" i="4"/>
  <c r="H52" i="4"/>
  <c r="F51" i="4"/>
  <c r="H48" i="4"/>
  <c r="F47" i="4"/>
  <c r="H44" i="4"/>
  <c r="F43" i="4"/>
  <c r="H41" i="4"/>
  <c r="F40" i="4"/>
  <c r="H39" i="4"/>
  <c r="H36" i="4"/>
  <c r="H34" i="4"/>
  <c r="H32" i="4"/>
  <c r="H30" i="4"/>
  <c r="H28" i="4"/>
  <c r="H26" i="4"/>
  <c r="H24" i="4"/>
  <c r="H22" i="4"/>
  <c r="H20" i="4"/>
  <c r="H18" i="4"/>
  <c r="H53" i="4"/>
  <c r="F52" i="4"/>
  <c r="H49" i="4"/>
  <c r="F48" i="4"/>
  <c r="H45" i="4"/>
  <c r="F44" i="4"/>
  <c r="G39" i="4"/>
  <c r="H38" i="4"/>
  <c r="G36" i="4"/>
  <c r="G34" i="4"/>
  <c r="G32" i="4"/>
  <c r="G30" i="4"/>
  <c r="G28" i="4"/>
  <c r="H54" i="4"/>
  <c r="F53" i="4"/>
  <c r="H50" i="4"/>
  <c r="F49" i="4"/>
  <c r="H46" i="4"/>
  <c r="F45" i="4"/>
  <c r="H42" i="4"/>
  <c r="F41" i="4"/>
  <c r="H40" i="4"/>
  <c r="F39" i="4"/>
  <c r="I39" i="4" s="1"/>
  <c r="G38" i="4"/>
  <c r="H37" i="4"/>
  <c r="H35" i="4"/>
  <c r="H33" i="4"/>
  <c r="H31" i="4"/>
  <c r="H29" i="4"/>
  <c r="H27" i="4"/>
  <c r="H25" i="4"/>
  <c r="H23" i="4"/>
  <c r="H21" i="4"/>
  <c r="H19" i="4"/>
  <c r="G7" i="4"/>
  <c r="F8" i="4"/>
  <c r="H10" i="4"/>
  <c r="G11" i="4"/>
  <c r="F12" i="4"/>
  <c r="H14" i="4"/>
  <c r="G15" i="4"/>
  <c r="F16" i="4"/>
  <c r="G20" i="4"/>
  <c r="G24" i="4"/>
  <c r="D98" i="4"/>
  <c r="D96" i="4"/>
  <c r="D94" i="4"/>
  <c r="D92" i="4"/>
  <c r="D90" i="4"/>
  <c r="D88" i="4"/>
  <c r="D93" i="4"/>
  <c r="D91" i="4"/>
  <c r="D85" i="4"/>
  <c r="D83" i="4"/>
  <c r="D97" i="4"/>
  <c r="D95" i="4"/>
  <c r="D86" i="4"/>
  <c r="D82" i="4"/>
  <c r="D80" i="4"/>
  <c r="D78" i="4"/>
  <c r="D76" i="4"/>
  <c r="D74" i="4"/>
  <c r="D72" i="4"/>
  <c r="D70" i="4"/>
  <c r="D68" i="4"/>
  <c r="D89" i="4"/>
  <c r="D87" i="4"/>
  <c r="D84" i="4"/>
  <c r="D81" i="4"/>
  <c r="D79" i="4"/>
  <c r="D77" i="4"/>
  <c r="D75" i="4"/>
  <c r="D73" i="4"/>
  <c r="D71" i="4"/>
  <c r="D69" i="4"/>
  <c r="D67" i="4"/>
  <c r="D66" i="4"/>
  <c r="G8" i="4"/>
  <c r="F9" i="4"/>
  <c r="H11" i="4"/>
  <c r="G12" i="4"/>
  <c r="F13" i="4"/>
  <c r="H15" i="4"/>
  <c r="G16" i="4"/>
  <c r="F17" i="4"/>
  <c r="G19" i="4"/>
  <c r="G23" i="4"/>
  <c r="G27" i="4"/>
  <c r="B36" i="4"/>
  <c r="B34" i="4"/>
  <c r="B32" i="4"/>
  <c r="B30" i="4"/>
  <c r="B28" i="4"/>
  <c r="B26" i="4"/>
  <c r="B24" i="4"/>
  <c r="B22" i="4"/>
  <c r="B20" i="4"/>
  <c r="B18" i="4"/>
  <c r="B37" i="4"/>
  <c r="B35" i="4"/>
  <c r="B33" i="4"/>
  <c r="B31" i="4"/>
  <c r="B29" i="4"/>
  <c r="B27" i="4"/>
  <c r="B25" i="4"/>
  <c r="B23" i="4"/>
  <c r="B21" i="4"/>
  <c r="B19" i="4"/>
  <c r="H8" i="4"/>
  <c r="G9" i="4"/>
  <c r="F10" i="4"/>
  <c r="H12" i="4"/>
  <c r="G13" i="4"/>
  <c r="F14" i="4"/>
  <c r="H16" i="4"/>
  <c r="G17" i="4"/>
  <c r="G18" i="4"/>
  <c r="G22" i="4"/>
  <c r="G26" i="4"/>
  <c r="C63" i="4"/>
  <c r="C61" i="4"/>
  <c r="C59" i="4"/>
  <c r="C57" i="4"/>
  <c r="C64" i="4"/>
  <c r="C62" i="4"/>
  <c r="C60" i="4"/>
  <c r="C58" i="4"/>
  <c r="C56" i="4"/>
  <c r="C53" i="4"/>
  <c r="C49" i="4"/>
  <c r="C45" i="4"/>
  <c r="C54" i="4"/>
  <c r="C50" i="4"/>
  <c r="C46" i="4"/>
  <c r="C42" i="4"/>
  <c r="C41" i="4"/>
  <c r="C55" i="4"/>
  <c r="C51" i="4"/>
  <c r="C47" i="4"/>
  <c r="C43" i="4"/>
  <c r="C52" i="4"/>
  <c r="C48" i="4"/>
  <c r="C44" i="4"/>
  <c r="C40" i="4"/>
  <c r="H9" i="4"/>
  <c r="G10" i="4"/>
  <c r="F11" i="4"/>
  <c r="H13" i="4"/>
  <c r="G14" i="4"/>
  <c r="F15" i="4"/>
  <c r="I15" i="4" s="1"/>
  <c r="H17" i="4"/>
  <c r="G21" i="4"/>
  <c r="G25" i="4"/>
  <c r="B27" i="6"/>
  <c r="B20" i="5"/>
  <c r="I11" i="4" l="1"/>
  <c r="C100" i="4"/>
  <c r="G40" i="4"/>
  <c r="E40" i="4"/>
  <c r="G43" i="4"/>
  <c r="E43" i="4"/>
  <c r="E41" i="4"/>
  <c r="G41" i="4"/>
  <c r="E54" i="4"/>
  <c r="G54" i="4"/>
  <c r="I54" i="4" s="1"/>
  <c r="E56" i="4"/>
  <c r="G56" i="4"/>
  <c r="E64" i="4"/>
  <c r="G64" i="4"/>
  <c r="G63" i="4"/>
  <c r="E63" i="4"/>
  <c r="F25" i="4"/>
  <c r="I25" i="4" s="1"/>
  <c r="E25" i="4"/>
  <c r="F33" i="4"/>
  <c r="I33" i="4" s="1"/>
  <c r="E33" i="4"/>
  <c r="F20" i="4"/>
  <c r="I20" i="4" s="1"/>
  <c r="E20" i="4"/>
  <c r="E28" i="4"/>
  <c r="F28" i="4"/>
  <c r="I28" i="4" s="1"/>
  <c r="E36" i="4"/>
  <c r="F36" i="4"/>
  <c r="I36" i="4" s="1"/>
  <c r="I17" i="4"/>
  <c r="H69" i="4"/>
  <c r="E69" i="4"/>
  <c r="E77" i="4"/>
  <c r="H77" i="4"/>
  <c r="H87" i="4"/>
  <c r="E87" i="4"/>
  <c r="H72" i="4"/>
  <c r="E72" i="4"/>
  <c r="E80" i="4"/>
  <c r="H80" i="4"/>
  <c r="E97" i="4"/>
  <c r="H97" i="4"/>
  <c r="H93" i="4"/>
  <c r="E93" i="4"/>
  <c r="H94" i="4"/>
  <c r="E94" i="4"/>
  <c r="I12" i="4"/>
  <c r="I72" i="4"/>
  <c r="I80" i="4"/>
  <c r="I94" i="4"/>
  <c r="I99" i="4"/>
  <c r="I93" i="4"/>
  <c r="O100" i="4"/>
  <c r="B22" i="6"/>
  <c r="B19" i="6"/>
  <c r="B21" i="6"/>
  <c r="B18" i="6"/>
  <c r="E44" i="4"/>
  <c r="G44" i="4"/>
  <c r="G47" i="4"/>
  <c r="E47" i="4"/>
  <c r="E42" i="4"/>
  <c r="G42" i="4"/>
  <c r="G45" i="4"/>
  <c r="G100" i="4" s="1"/>
  <c r="E45" i="4"/>
  <c r="E58" i="4"/>
  <c r="G58" i="4"/>
  <c r="I58" i="4" s="1"/>
  <c r="G57" i="4"/>
  <c r="E57" i="4"/>
  <c r="I10" i="4"/>
  <c r="F19" i="4"/>
  <c r="I19" i="4" s="1"/>
  <c r="E19" i="4"/>
  <c r="F27" i="4"/>
  <c r="I27" i="4" s="1"/>
  <c r="E27" i="4"/>
  <c r="F35" i="4"/>
  <c r="I35" i="4" s="1"/>
  <c r="E35" i="4"/>
  <c r="F22" i="4"/>
  <c r="I22" i="4" s="1"/>
  <c r="E22" i="4"/>
  <c r="E30" i="4"/>
  <c r="F30" i="4"/>
  <c r="I30" i="4" s="1"/>
  <c r="H71" i="4"/>
  <c r="E71" i="4"/>
  <c r="E79" i="4"/>
  <c r="H79" i="4"/>
  <c r="E89" i="4"/>
  <c r="H89" i="4"/>
  <c r="H74" i="4"/>
  <c r="E74" i="4"/>
  <c r="E82" i="4"/>
  <c r="H82" i="4"/>
  <c r="E83" i="4"/>
  <c r="H83" i="4"/>
  <c r="I83" i="4" s="1"/>
  <c r="H88" i="4"/>
  <c r="I88" i="4" s="1"/>
  <c r="E88" i="4"/>
  <c r="H96" i="4"/>
  <c r="E96" i="4"/>
  <c r="I16" i="4"/>
  <c r="I45" i="4"/>
  <c r="I43" i="4"/>
  <c r="I51" i="4"/>
  <c r="I59" i="4"/>
  <c r="I63" i="4"/>
  <c r="I74" i="4"/>
  <c r="I82" i="4"/>
  <c r="I87" i="4"/>
  <c r="D5" i="2"/>
  <c r="D3" i="2"/>
  <c r="E48" i="4"/>
  <c r="G48" i="4"/>
  <c r="I48" i="4" s="1"/>
  <c r="G51" i="4"/>
  <c r="E51" i="4"/>
  <c r="E46" i="4"/>
  <c r="G46" i="4"/>
  <c r="I46" i="4" s="1"/>
  <c r="G49" i="4"/>
  <c r="E49" i="4"/>
  <c r="E60" i="4"/>
  <c r="G60" i="4"/>
  <c r="G59" i="4"/>
  <c r="E59" i="4"/>
  <c r="I14" i="4"/>
  <c r="F21" i="4"/>
  <c r="I21" i="4" s="1"/>
  <c r="E21" i="4"/>
  <c r="F29" i="4"/>
  <c r="I29" i="4" s="1"/>
  <c r="E29" i="4"/>
  <c r="F37" i="4"/>
  <c r="I37" i="4" s="1"/>
  <c r="E37" i="4"/>
  <c r="F24" i="4"/>
  <c r="I24" i="4" s="1"/>
  <c r="E24" i="4"/>
  <c r="E32" i="4"/>
  <c r="F32" i="4"/>
  <c r="I32" i="4" s="1"/>
  <c r="I9" i="4"/>
  <c r="D100" i="4"/>
  <c r="E66" i="4"/>
  <c r="H66" i="4"/>
  <c r="H100" i="4" s="1"/>
  <c r="H73" i="4"/>
  <c r="I73" i="4" s="1"/>
  <c r="E73" i="4"/>
  <c r="E81" i="4"/>
  <c r="H81" i="4"/>
  <c r="I81" i="4" s="1"/>
  <c r="H68" i="4"/>
  <c r="E68" i="4"/>
  <c r="E76" i="4"/>
  <c r="H76" i="4"/>
  <c r="E86" i="4"/>
  <c r="H86" i="4"/>
  <c r="E85" i="4"/>
  <c r="H85" i="4"/>
  <c r="H90" i="4"/>
  <c r="I90" i="4" s="1"/>
  <c r="E90" i="4"/>
  <c r="H98" i="4"/>
  <c r="E98" i="4"/>
  <c r="I44" i="4"/>
  <c r="I42" i="4"/>
  <c r="I65" i="4"/>
  <c r="I56" i="4"/>
  <c r="I60" i="4"/>
  <c r="I64" i="4"/>
  <c r="I68" i="4"/>
  <c r="I76" i="4"/>
  <c r="I85" i="4"/>
  <c r="I69" i="4"/>
  <c r="I77" i="4"/>
  <c r="I86" i="4"/>
  <c r="I89" i="4"/>
  <c r="I97" i="4"/>
  <c r="I7" i="4"/>
  <c r="I16" i="3"/>
  <c r="I18" i="3" s="1"/>
  <c r="E52" i="4"/>
  <c r="G52" i="4"/>
  <c r="I52" i="4" s="1"/>
  <c r="G55" i="4"/>
  <c r="E55" i="4"/>
  <c r="E50" i="4"/>
  <c r="G50" i="4"/>
  <c r="I50" i="4" s="1"/>
  <c r="G53" i="4"/>
  <c r="I53" i="4" s="1"/>
  <c r="E53" i="4"/>
  <c r="E62" i="4"/>
  <c r="G62" i="4"/>
  <c r="I62" i="4" s="1"/>
  <c r="G61" i="4"/>
  <c r="E61" i="4"/>
  <c r="F23" i="4"/>
  <c r="I23" i="4" s="1"/>
  <c r="E23" i="4"/>
  <c r="F31" i="4"/>
  <c r="I31" i="4" s="1"/>
  <c r="E31" i="4"/>
  <c r="B100" i="4"/>
  <c r="F18" i="4"/>
  <c r="I18" i="4" s="1"/>
  <c r="E18" i="4"/>
  <c r="F26" i="4"/>
  <c r="I26" i="4" s="1"/>
  <c r="E26" i="4"/>
  <c r="E34" i="4"/>
  <c r="F34" i="4"/>
  <c r="I34" i="4" s="1"/>
  <c r="I13" i="4"/>
  <c r="E67" i="4"/>
  <c r="H67" i="4"/>
  <c r="I67" i="4" s="1"/>
  <c r="E75" i="4"/>
  <c r="H75" i="4"/>
  <c r="I75" i="4" s="1"/>
  <c r="H84" i="4"/>
  <c r="I84" i="4" s="1"/>
  <c r="E84" i="4"/>
  <c r="H70" i="4"/>
  <c r="E70" i="4"/>
  <c r="E78" i="4"/>
  <c r="H78" i="4"/>
  <c r="I78" i="4" s="1"/>
  <c r="H95" i="4"/>
  <c r="I95" i="4" s="1"/>
  <c r="E95" i="4"/>
  <c r="E91" i="4"/>
  <c r="H91" i="4"/>
  <c r="H92" i="4"/>
  <c r="I92" i="4" s="1"/>
  <c r="E92" i="4"/>
  <c r="I8" i="4"/>
  <c r="I41" i="4"/>
  <c r="I49" i="4"/>
  <c r="I40" i="4"/>
  <c r="I47" i="4"/>
  <c r="I55" i="4"/>
  <c r="I57" i="4"/>
  <c r="I61" i="4"/>
  <c r="I70" i="4"/>
  <c r="I71" i="4"/>
  <c r="I79" i="4"/>
  <c r="I96" i="4"/>
  <c r="I98" i="4"/>
  <c r="I91" i="4"/>
  <c r="D4" i="2"/>
  <c r="G18" i="3"/>
  <c r="K2" i="4"/>
  <c r="M99" i="4"/>
  <c r="M98" i="4"/>
  <c r="M91" i="4"/>
  <c r="M90" i="4"/>
  <c r="M86" i="4"/>
  <c r="M84" i="4"/>
  <c r="M97" i="4"/>
  <c r="M96" i="4"/>
  <c r="M89" i="4"/>
  <c r="M88" i="4"/>
  <c r="M87" i="4"/>
  <c r="M85" i="4"/>
  <c r="M81" i="4"/>
  <c r="M79" i="4"/>
  <c r="M77" i="4"/>
  <c r="M75" i="4"/>
  <c r="M95" i="4"/>
  <c r="M94" i="4"/>
  <c r="M83" i="4"/>
  <c r="M80" i="4"/>
  <c r="M78" i="4"/>
  <c r="M76" i="4"/>
  <c r="M93" i="4"/>
  <c r="M92" i="4"/>
  <c r="M82" i="4"/>
  <c r="M72" i="4"/>
  <c r="M68" i="4"/>
  <c r="M66" i="4"/>
  <c r="M73" i="4"/>
  <c r="M69" i="4"/>
  <c r="M63" i="4"/>
  <c r="M61" i="4"/>
  <c r="M59" i="4"/>
  <c r="M57" i="4"/>
  <c r="M55" i="4"/>
  <c r="M53" i="4"/>
  <c r="M51" i="4"/>
  <c r="M49" i="4"/>
  <c r="M47" i="4"/>
  <c r="M45" i="4"/>
  <c r="M43" i="4"/>
  <c r="M74" i="4"/>
  <c r="M70" i="4"/>
  <c r="M65" i="4"/>
  <c r="M71" i="4"/>
  <c r="M67" i="4"/>
  <c r="M64" i="4"/>
  <c r="M62" i="4"/>
  <c r="M60" i="4"/>
  <c r="M58" i="4"/>
  <c r="M56" i="4"/>
  <c r="M54" i="4"/>
  <c r="M52" i="4"/>
  <c r="M50" i="4"/>
  <c r="M48" i="4"/>
  <c r="M46" i="4"/>
  <c r="M44" i="4"/>
  <c r="M42" i="4"/>
  <c r="M40" i="4"/>
  <c r="M37" i="4"/>
  <c r="M35" i="4"/>
  <c r="M33" i="4"/>
  <c r="M31" i="4"/>
  <c r="M29" i="4"/>
  <c r="M41" i="4"/>
  <c r="M39" i="4"/>
  <c r="M36" i="4"/>
  <c r="M34" i="4"/>
  <c r="M32" i="4"/>
  <c r="M30" i="4"/>
  <c r="M28" i="4"/>
  <c r="M38" i="4"/>
  <c r="M27" i="4"/>
  <c r="M23" i="4"/>
  <c r="M19" i="4"/>
  <c r="M14" i="4"/>
  <c r="M10" i="4"/>
  <c r="M6" i="4"/>
  <c r="M24" i="4"/>
  <c r="M20" i="4"/>
  <c r="M17" i="4"/>
  <c r="M13" i="4"/>
  <c r="M9" i="4"/>
  <c r="M25" i="4"/>
  <c r="M21" i="4"/>
  <c r="M16" i="4"/>
  <c r="M12" i="4"/>
  <c r="M8" i="4"/>
  <c r="M26" i="4"/>
  <c r="M22" i="4"/>
  <c r="M18" i="4"/>
  <c r="M15" i="4"/>
  <c r="M11" i="4"/>
  <c r="M7" i="4"/>
  <c r="S67" i="4" l="1"/>
  <c r="S52" i="4"/>
  <c r="S46" i="4"/>
  <c r="S54" i="4"/>
  <c r="K97" i="4"/>
  <c r="P97" i="4" s="1"/>
  <c r="K95" i="4"/>
  <c r="P95" i="4" s="1"/>
  <c r="S95" i="4" s="1"/>
  <c r="K93" i="4"/>
  <c r="P93" i="4" s="1"/>
  <c r="K91" i="4"/>
  <c r="P91" i="4" s="1"/>
  <c r="K89" i="4"/>
  <c r="P89" i="4" s="1"/>
  <c r="K87" i="4"/>
  <c r="P87" i="4" s="1"/>
  <c r="K92" i="4"/>
  <c r="P92" i="4" s="1"/>
  <c r="K99" i="4"/>
  <c r="P99" i="4" s="1"/>
  <c r="K98" i="4"/>
  <c r="P98" i="4" s="1"/>
  <c r="K90" i="4"/>
  <c r="P90" i="4" s="1"/>
  <c r="K86" i="4"/>
  <c r="P86" i="4" s="1"/>
  <c r="K84" i="4"/>
  <c r="P84" i="4" s="1"/>
  <c r="S84" i="4" s="1"/>
  <c r="K82" i="4"/>
  <c r="P82" i="4" s="1"/>
  <c r="K88" i="4"/>
  <c r="P88" i="4" s="1"/>
  <c r="K85" i="4"/>
  <c r="P85" i="4" s="1"/>
  <c r="K81" i="4"/>
  <c r="P81" i="4" s="1"/>
  <c r="K79" i="4"/>
  <c r="P79" i="4" s="1"/>
  <c r="K77" i="4"/>
  <c r="P77" i="4" s="1"/>
  <c r="K75" i="4"/>
  <c r="P75" i="4" s="1"/>
  <c r="K73" i="4"/>
  <c r="P73" i="4" s="1"/>
  <c r="S73" i="4" s="1"/>
  <c r="K71" i="4"/>
  <c r="P71" i="4" s="1"/>
  <c r="K69" i="4"/>
  <c r="P69" i="4" s="1"/>
  <c r="K67" i="4"/>
  <c r="P67" i="4" s="1"/>
  <c r="K96" i="4"/>
  <c r="P96" i="4" s="1"/>
  <c r="S96" i="4" s="1"/>
  <c r="K94" i="4"/>
  <c r="P94" i="4" s="1"/>
  <c r="K83" i="4"/>
  <c r="P83" i="4" s="1"/>
  <c r="K80" i="4"/>
  <c r="P80" i="4" s="1"/>
  <c r="K78" i="4"/>
  <c r="P78" i="4" s="1"/>
  <c r="S78" i="4" s="1"/>
  <c r="K76" i="4"/>
  <c r="P76" i="4" s="1"/>
  <c r="K74" i="4"/>
  <c r="P74" i="4" s="1"/>
  <c r="K72" i="4"/>
  <c r="P72" i="4" s="1"/>
  <c r="K70" i="4"/>
  <c r="P70" i="4" s="1"/>
  <c r="S70" i="4" s="1"/>
  <c r="K68" i="4"/>
  <c r="P68" i="4" s="1"/>
  <c r="K64" i="4"/>
  <c r="P64" i="4" s="1"/>
  <c r="K62" i="4"/>
  <c r="P62" i="4" s="1"/>
  <c r="K60" i="4"/>
  <c r="P60" i="4" s="1"/>
  <c r="K58" i="4"/>
  <c r="P58" i="4" s="1"/>
  <c r="S58" i="4" s="1"/>
  <c r="K56" i="4"/>
  <c r="P56" i="4" s="1"/>
  <c r="K66" i="4"/>
  <c r="P66" i="4" s="1"/>
  <c r="K63" i="4"/>
  <c r="P63" i="4" s="1"/>
  <c r="K61" i="4"/>
  <c r="P61" i="4" s="1"/>
  <c r="K59" i="4"/>
  <c r="P59" i="4" s="1"/>
  <c r="K57" i="4"/>
  <c r="P57" i="4" s="1"/>
  <c r="K65" i="4"/>
  <c r="P65" i="4" s="1"/>
  <c r="S65" i="4" s="1"/>
  <c r="K52" i="4"/>
  <c r="P52" i="4" s="1"/>
  <c r="K48" i="4"/>
  <c r="P48" i="4" s="1"/>
  <c r="S48" i="4" s="1"/>
  <c r="K44" i="4"/>
  <c r="P44" i="4" s="1"/>
  <c r="K38" i="4"/>
  <c r="P38" i="4" s="1"/>
  <c r="K53" i="4"/>
  <c r="P53" i="4" s="1"/>
  <c r="S53" i="4" s="1"/>
  <c r="K49" i="4"/>
  <c r="P49" i="4" s="1"/>
  <c r="K45" i="4"/>
  <c r="P45" i="4" s="1"/>
  <c r="K40" i="4"/>
  <c r="P40" i="4" s="1"/>
  <c r="K37" i="4"/>
  <c r="P37" i="4" s="1"/>
  <c r="K35" i="4"/>
  <c r="P35" i="4" s="1"/>
  <c r="K33" i="4"/>
  <c r="P33" i="4" s="1"/>
  <c r="K31" i="4"/>
  <c r="P31" i="4" s="1"/>
  <c r="K29" i="4"/>
  <c r="P29" i="4" s="1"/>
  <c r="K27" i="4"/>
  <c r="P27" i="4" s="1"/>
  <c r="K25" i="4"/>
  <c r="P25" i="4" s="1"/>
  <c r="K23" i="4"/>
  <c r="P23" i="4" s="1"/>
  <c r="K21" i="4"/>
  <c r="P21" i="4" s="1"/>
  <c r="K19" i="4"/>
  <c r="P19" i="4" s="1"/>
  <c r="K54" i="4"/>
  <c r="P54" i="4" s="1"/>
  <c r="K50" i="4"/>
  <c r="P50" i="4" s="1"/>
  <c r="S50" i="4" s="1"/>
  <c r="K46" i="4"/>
  <c r="P46" i="4" s="1"/>
  <c r="K42" i="4"/>
  <c r="P42" i="4" s="1"/>
  <c r="K55" i="4"/>
  <c r="P55" i="4" s="1"/>
  <c r="K51" i="4"/>
  <c r="P51" i="4" s="1"/>
  <c r="K47" i="4"/>
  <c r="P47" i="4" s="1"/>
  <c r="K43" i="4"/>
  <c r="P43" i="4" s="1"/>
  <c r="K41" i="4"/>
  <c r="P41" i="4" s="1"/>
  <c r="K39" i="4"/>
  <c r="P39" i="4" s="1"/>
  <c r="K36" i="4"/>
  <c r="P36" i="4" s="1"/>
  <c r="K34" i="4"/>
  <c r="P34" i="4" s="1"/>
  <c r="K32" i="4"/>
  <c r="P32" i="4" s="1"/>
  <c r="K30" i="4"/>
  <c r="P30" i="4" s="1"/>
  <c r="K28" i="4"/>
  <c r="P28" i="4" s="1"/>
  <c r="K26" i="4"/>
  <c r="P26" i="4" s="1"/>
  <c r="K24" i="4"/>
  <c r="P24" i="4" s="1"/>
  <c r="K22" i="4"/>
  <c r="P22" i="4" s="1"/>
  <c r="S22" i="4" s="1"/>
  <c r="K20" i="4"/>
  <c r="P20" i="4" s="1"/>
  <c r="K18" i="4"/>
  <c r="P18" i="4" s="1"/>
  <c r="K15" i="4"/>
  <c r="P15" i="4" s="1"/>
  <c r="K11" i="4"/>
  <c r="P11" i="4" s="1"/>
  <c r="K7" i="4"/>
  <c r="K14" i="4"/>
  <c r="P14" i="4" s="1"/>
  <c r="K10" i="4"/>
  <c r="P10" i="4" s="1"/>
  <c r="K6" i="4"/>
  <c r="P6" i="4" s="1"/>
  <c r="K17" i="4"/>
  <c r="P17" i="4" s="1"/>
  <c r="K13" i="4"/>
  <c r="P13" i="4" s="1"/>
  <c r="K9" i="4"/>
  <c r="P9" i="4" s="1"/>
  <c r="K16" i="4"/>
  <c r="P16" i="4" s="1"/>
  <c r="K12" i="4"/>
  <c r="P12" i="4" s="1"/>
  <c r="K8" i="4"/>
  <c r="P8" i="4" s="1"/>
  <c r="S98" i="4"/>
  <c r="S34" i="4"/>
  <c r="S31" i="4"/>
  <c r="S86" i="4"/>
  <c r="S76" i="4"/>
  <c r="S56" i="4"/>
  <c r="S14" i="4"/>
  <c r="S87" i="4"/>
  <c r="S82" i="4"/>
  <c r="S51" i="4"/>
  <c r="S16" i="4"/>
  <c r="S27" i="4"/>
  <c r="S36" i="4"/>
  <c r="K8" i="5"/>
  <c r="C24" i="3"/>
  <c r="S55" i="4"/>
  <c r="S41" i="4"/>
  <c r="Q7" i="4"/>
  <c r="S77" i="4"/>
  <c r="S68" i="4"/>
  <c r="S44" i="4"/>
  <c r="S9" i="4"/>
  <c r="S24" i="4"/>
  <c r="S29" i="4"/>
  <c r="G10" i="2"/>
  <c r="D6" i="2"/>
  <c r="E3" i="2"/>
  <c r="S74" i="4"/>
  <c r="S43" i="4"/>
  <c r="S30" i="4"/>
  <c r="S93" i="4"/>
  <c r="S94" i="4"/>
  <c r="S80" i="4"/>
  <c r="I66" i="4"/>
  <c r="S20" i="4"/>
  <c r="S25" i="4"/>
  <c r="M100" i="4"/>
  <c r="G11" i="2"/>
  <c r="H11" i="2" s="1"/>
  <c r="E4" i="2"/>
  <c r="S79" i="4"/>
  <c r="S61" i="4"/>
  <c r="S47" i="4"/>
  <c r="S8" i="4"/>
  <c r="Q8" i="4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S23" i="4"/>
  <c r="S97" i="4"/>
  <c r="S69" i="4"/>
  <c r="S64" i="4"/>
  <c r="S32" i="4"/>
  <c r="E5" i="2"/>
  <c r="G12" i="2"/>
  <c r="H12" i="2" s="1"/>
  <c r="S63" i="4"/>
  <c r="S35" i="4"/>
  <c r="S19" i="4"/>
  <c r="S99" i="4"/>
  <c r="S72" i="4"/>
  <c r="S12" i="4"/>
  <c r="S28" i="4"/>
  <c r="S11" i="4"/>
  <c r="S91" i="4"/>
  <c r="S71" i="4"/>
  <c r="S57" i="4"/>
  <c r="S40" i="4"/>
  <c r="S13" i="4"/>
  <c r="S26" i="4"/>
  <c r="F100" i="4"/>
  <c r="S89" i="4"/>
  <c r="S85" i="4"/>
  <c r="S60" i="4"/>
  <c r="S42" i="4"/>
  <c r="S37" i="4"/>
  <c r="S21" i="4"/>
  <c r="S59" i="4"/>
  <c r="S45" i="4"/>
  <c r="S10" i="4"/>
  <c r="S17" i="4"/>
  <c r="S33" i="4"/>
  <c r="L8" i="5" l="1"/>
  <c r="S15" i="4"/>
  <c r="S75" i="4"/>
  <c r="S62" i="4"/>
  <c r="H10" i="2"/>
  <c r="H13" i="2" s="1"/>
  <c r="G13" i="2"/>
  <c r="S83" i="4"/>
  <c r="Q66" i="4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S66" i="4"/>
  <c r="I100" i="4"/>
  <c r="S18" i="4"/>
  <c r="S49" i="4"/>
  <c r="K100" i="4"/>
  <c r="P7" i="4"/>
  <c r="S88" i="4"/>
  <c r="S92" i="4"/>
  <c r="E6" i="2"/>
  <c r="B3" i="5" s="1"/>
  <c r="W101" i="4" s="1"/>
  <c r="AA101" i="4" s="1"/>
  <c r="R6" i="4"/>
  <c r="S6" i="4"/>
  <c r="T6" i="4" s="1"/>
  <c r="S39" i="4"/>
  <c r="W40" i="4"/>
  <c r="AA40" i="4" s="1"/>
  <c r="S38" i="4"/>
  <c r="W70" i="4"/>
  <c r="AA70" i="4" s="1"/>
  <c r="W84" i="4"/>
  <c r="AA84" i="4" s="1"/>
  <c r="S81" i="4"/>
  <c r="S90" i="4"/>
  <c r="W94" i="4" l="1"/>
  <c r="AA94" i="4" s="1"/>
  <c r="W29" i="4"/>
  <c r="AA29" i="4" s="1"/>
  <c r="W64" i="4"/>
  <c r="AA64" i="4" s="1"/>
  <c r="W42" i="4"/>
  <c r="AA42" i="4" s="1"/>
  <c r="W75" i="4"/>
  <c r="AA75" i="4" s="1"/>
  <c r="W33" i="4"/>
  <c r="AA33" i="4" s="1"/>
  <c r="W81" i="4"/>
  <c r="AA81" i="4" s="1"/>
  <c r="W63" i="4"/>
  <c r="AA63" i="4" s="1"/>
  <c r="W31" i="4"/>
  <c r="AA31" i="4" s="1"/>
  <c r="W39" i="4"/>
  <c r="AA39" i="4" s="1"/>
  <c r="W76" i="4"/>
  <c r="AA76" i="4" s="1"/>
  <c r="W46" i="4"/>
  <c r="AA46" i="4" s="1"/>
  <c r="W87" i="4"/>
  <c r="AA87" i="4" s="1"/>
  <c r="W48" i="4"/>
  <c r="AA48" i="4" s="1"/>
  <c r="W14" i="4"/>
  <c r="AA14" i="4" s="1"/>
  <c r="W62" i="4"/>
  <c r="AA62" i="4" s="1"/>
  <c r="W32" i="4"/>
  <c r="AA32" i="4" s="1"/>
  <c r="W96" i="4"/>
  <c r="AA96" i="4" s="1"/>
  <c r="W65" i="4"/>
  <c r="AA65" i="4" s="1"/>
  <c r="W23" i="4"/>
  <c r="AA23" i="4" s="1"/>
  <c r="W22" i="4"/>
  <c r="AA22" i="4" s="1"/>
  <c r="W6" i="4"/>
  <c r="AA6" i="4" s="1"/>
  <c r="W61" i="4"/>
  <c r="AA61" i="4" s="1"/>
  <c r="W28" i="4"/>
  <c r="AA28" i="4" s="1"/>
  <c r="W12" i="4"/>
  <c r="AA12" i="4" s="1"/>
  <c r="W88" i="4"/>
  <c r="AA88" i="4" s="1"/>
  <c r="W49" i="4"/>
  <c r="AA49" i="4" s="1"/>
  <c r="W13" i="4"/>
  <c r="AA13" i="4" s="1"/>
  <c r="W66" i="4"/>
  <c r="AA66" i="4" s="1"/>
  <c r="W99" i="4"/>
  <c r="AA99" i="4" s="1"/>
  <c r="W78" i="4"/>
  <c r="AA78" i="4" s="1"/>
  <c r="W51" i="4"/>
  <c r="AA51" i="4" s="1"/>
  <c r="W11" i="4"/>
  <c r="AA11" i="4" s="1"/>
  <c r="W16" i="4"/>
  <c r="AA16" i="4" s="1"/>
  <c r="W89" i="4"/>
  <c r="AA89" i="4" s="1"/>
  <c r="W52" i="4"/>
  <c r="AA52" i="4" s="1"/>
  <c r="W20" i="4"/>
  <c r="AA20" i="4" s="1"/>
  <c r="W74" i="4"/>
  <c r="AA74" i="4" s="1"/>
  <c r="W19" i="4"/>
  <c r="AA19" i="4" s="1"/>
  <c r="W85" i="4"/>
  <c r="AA85" i="4" s="1"/>
  <c r="W45" i="4"/>
  <c r="AA45" i="4" s="1"/>
  <c r="W82" i="4"/>
  <c r="AA82" i="4" s="1"/>
  <c r="W68" i="4"/>
  <c r="AA68" i="4" s="1"/>
  <c r="W53" i="4"/>
  <c r="AA53" i="4" s="1"/>
  <c r="W47" i="4"/>
  <c r="AA47" i="4" s="1"/>
  <c r="W77" i="4"/>
  <c r="AA77" i="4" s="1"/>
  <c r="W56" i="4"/>
  <c r="AA56" i="4" s="1"/>
  <c r="W35" i="4"/>
  <c r="AA35" i="4" s="1"/>
  <c r="W43" i="4"/>
  <c r="AA43" i="4" s="1"/>
  <c r="W8" i="4"/>
  <c r="AA8" i="4" s="1"/>
  <c r="W80" i="4"/>
  <c r="AA80" i="4" s="1"/>
  <c r="W57" i="4"/>
  <c r="AA57" i="4" s="1"/>
  <c r="W54" i="4"/>
  <c r="AA54" i="4" s="1"/>
  <c r="W24" i="4"/>
  <c r="AA24" i="4" s="1"/>
  <c r="W91" i="4"/>
  <c r="AA91" i="4" s="1"/>
  <c r="W73" i="4"/>
  <c r="AA73" i="4" s="1"/>
  <c r="W60" i="4"/>
  <c r="AA60" i="4" s="1"/>
  <c r="W38" i="4"/>
  <c r="AA38" i="4" s="1"/>
  <c r="W50" i="4"/>
  <c r="AA50" i="4" s="1"/>
  <c r="W30" i="4"/>
  <c r="AA30" i="4" s="1"/>
  <c r="W79" i="4"/>
  <c r="AA79" i="4" s="1"/>
  <c r="W58" i="4"/>
  <c r="AA58" i="4" s="1"/>
  <c r="W37" i="4"/>
  <c r="AA37" i="4" s="1"/>
  <c r="W36" i="4"/>
  <c r="AA36" i="4" s="1"/>
  <c r="W95" i="4"/>
  <c r="AA95" i="4" s="1"/>
  <c r="W69" i="4"/>
  <c r="AA69" i="4" s="1"/>
  <c r="W59" i="4"/>
  <c r="AA59" i="4" s="1"/>
  <c r="W27" i="4"/>
  <c r="AA27" i="4" s="1"/>
  <c r="W34" i="4"/>
  <c r="AA34" i="4" s="1"/>
  <c r="W86" i="4"/>
  <c r="AA86" i="4" s="1"/>
  <c r="W72" i="4"/>
  <c r="AA72" i="4" s="1"/>
  <c r="W44" i="4"/>
  <c r="AA44" i="4" s="1"/>
  <c r="W55" i="4"/>
  <c r="AA55" i="4" s="1"/>
  <c r="W41" i="4"/>
  <c r="AA41" i="4" s="1"/>
  <c r="W97" i="4"/>
  <c r="AA97" i="4" s="1"/>
  <c r="W98" i="4"/>
  <c r="AA98" i="4" s="1"/>
  <c r="W17" i="4"/>
  <c r="AA17" i="4" s="1"/>
  <c r="W26" i="4"/>
  <c r="AA26" i="4" s="1"/>
  <c r="W93" i="4"/>
  <c r="AA93" i="4" s="1"/>
  <c r="W25" i="4"/>
  <c r="AA25" i="4" s="1"/>
  <c r="W10" i="4"/>
  <c r="AA10" i="4" s="1"/>
  <c r="B4" i="5"/>
  <c r="B18" i="2"/>
  <c r="W71" i="4"/>
  <c r="AA71" i="4" s="1"/>
  <c r="W21" i="4"/>
  <c r="AA21" i="4" s="1"/>
  <c r="P100" i="4"/>
  <c r="W7" i="4"/>
  <c r="AA7" i="4" s="1"/>
  <c r="R7" i="4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S7" i="4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W90" i="4"/>
  <c r="AA90" i="4" s="1"/>
  <c r="W83" i="4"/>
  <c r="AA83" i="4" s="1"/>
  <c r="W18" i="4"/>
  <c r="AA18" i="4" s="1"/>
  <c r="W92" i="4"/>
  <c r="AA92" i="4" s="1"/>
  <c r="W67" i="4"/>
  <c r="AA67" i="4" s="1"/>
  <c r="W15" i="4"/>
  <c r="AA15" i="4" s="1"/>
  <c r="W9" i="4"/>
  <c r="AA9" i="4" s="1"/>
  <c r="B6" i="5" l="1"/>
  <c r="AA100" i="4" s="1"/>
  <c r="B5" i="5"/>
  <c r="W100" i="4" s="1"/>
  <c r="V6" i="4" l="1"/>
  <c r="X6" i="4" s="1"/>
  <c r="V15" i="4"/>
  <c r="X15" i="4" s="1"/>
  <c r="V38" i="4"/>
  <c r="X38" i="4" s="1"/>
  <c r="V39" i="4"/>
  <c r="X39" i="4" s="1"/>
  <c r="V67" i="4"/>
  <c r="X67" i="4" s="1"/>
  <c r="V62" i="4"/>
  <c r="X62" i="4" s="1"/>
  <c r="V84" i="4"/>
  <c r="X84" i="4" s="1"/>
  <c r="V73" i="4"/>
  <c r="X73" i="4" s="1"/>
  <c r="V58" i="4"/>
  <c r="X58" i="4" s="1"/>
  <c r="V75" i="4"/>
  <c r="X75" i="4" s="1"/>
  <c r="V92" i="4"/>
  <c r="X92" i="4" s="1"/>
  <c r="V83" i="4"/>
  <c r="X83" i="4" s="1"/>
  <c r="V49" i="4"/>
  <c r="X49" i="4" s="1"/>
  <c r="V22" i="4"/>
  <c r="X22" i="4" s="1"/>
  <c r="V65" i="4"/>
  <c r="X65" i="4" s="1"/>
  <c r="V43" i="4"/>
  <c r="X43" i="4" s="1"/>
  <c r="V47" i="4"/>
  <c r="X47" i="4" s="1"/>
  <c r="V26" i="4"/>
  <c r="X26" i="4" s="1"/>
  <c r="V60" i="4"/>
  <c r="X60" i="4" s="1"/>
  <c r="V37" i="4"/>
  <c r="X37" i="4" s="1"/>
  <c r="V10" i="4"/>
  <c r="X10" i="4" s="1"/>
  <c r="V33" i="4"/>
  <c r="X33" i="4" s="1"/>
  <c r="V52" i="4"/>
  <c r="X52" i="4" s="1"/>
  <c r="V81" i="4"/>
  <c r="X81" i="4" s="1"/>
  <c r="V95" i="4"/>
  <c r="X95" i="4" s="1"/>
  <c r="V34" i="4"/>
  <c r="X34" i="4" s="1"/>
  <c r="V76" i="4"/>
  <c r="X76" i="4" s="1"/>
  <c r="V16" i="4"/>
  <c r="X16" i="4" s="1"/>
  <c r="V36" i="4"/>
  <c r="X36" i="4" s="1"/>
  <c r="V93" i="4"/>
  <c r="X93" i="4" s="1"/>
  <c r="V79" i="4"/>
  <c r="X79" i="4" s="1"/>
  <c r="V23" i="4"/>
  <c r="X23" i="4" s="1"/>
  <c r="V97" i="4"/>
  <c r="X97" i="4" s="1"/>
  <c r="V69" i="4"/>
  <c r="X69" i="4" s="1"/>
  <c r="V64" i="4"/>
  <c r="X64" i="4" s="1"/>
  <c r="V99" i="4"/>
  <c r="X99" i="4" s="1"/>
  <c r="V12" i="4"/>
  <c r="X12" i="4" s="1"/>
  <c r="V28" i="4"/>
  <c r="X28" i="4" s="1"/>
  <c r="V59" i="4"/>
  <c r="X59" i="4" s="1"/>
  <c r="V45" i="4"/>
  <c r="X45" i="4" s="1"/>
  <c r="V55" i="4"/>
  <c r="X55" i="4" s="1"/>
  <c r="V29" i="4"/>
  <c r="X29" i="4" s="1"/>
  <c r="V25" i="4"/>
  <c r="X25" i="4" s="1"/>
  <c r="V85" i="4"/>
  <c r="X85" i="4" s="1"/>
  <c r="V78" i="4"/>
  <c r="X78" i="4" s="1"/>
  <c r="V50" i="4"/>
  <c r="X50" i="4" s="1"/>
  <c r="V90" i="4"/>
  <c r="X90" i="4" s="1"/>
  <c r="V53" i="4"/>
  <c r="X53" i="4" s="1"/>
  <c r="V48" i="4"/>
  <c r="X48" i="4" s="1"/>
  <c r="V88" i="4"/>
  <c r="X88" i="4" s="1"/>
  <c r="V98" i="4"/>
  <c r="X98" i="4" s="1"/>
  <c r="V51" i="4"/>
  <c r="X51" i="4" s="1"/>
  <c r="V96" i="4"/>
  <c r="X96" i="4" s="1"/>
  <c r="V70" i="4"/>
  <c r="X70" i="4" s="1"/>
  <c r="V18" i="4"/>
  <c r="X18" i="4" s="1"/>
  <c r="V7" i="4"/>
  <c r="X7" i="4" s="1"/>
  <c r="V77" i="4"/>
  <c r="X77" i="4" s="1"/>
  <c r="V61" i="4"/>
  <c r="X61" i="4" s="1"/>
  <c r="V42" i="4"/>
  <c r="X42" i="4" s="1"/>
  <c r="V46" i="4"/>
  <c r="X46" i="4" s="1"/>
  <c r="V54" i="4"/>
  <c r="X54" i="4" s="1"/>
  <c r="V31" i="4"/>
  <c r="X31" i="4" s="1"/>
  <c r="V86" i="4"/>
  <c r="X86" i="4" s="1"/>
  <c r="V56" i="4"/>
  <c r="X56" i="4" s="1"/>
  <c r="V14" i="4"/>
  <c r="X14" i="4" s="1"/>
  <c r="V87" i="4"/>
  <c r="X87" i="4" s="1"/>
  <c r="V82" i="4"/>
  <c r="X82" i="4" s="1"/>
  <c r="V27" i="4"/>
  <c r="X27" i="4" s="1"/>
  <c r="V41" i="4"/>
  <c r="X41" i="4" s="1"/>
  <c r="V68" i="4"/>
  <c r="X68" i="4" s="1"/>
  <c r="V44" i="4"/>
  <c r="X44" i="4" s="1"/>
  <c r="V9" i="4"/>
  <c r="X9" i="4" s="1"/>
  <c r="V24" i="4"/>
  <c r="X24" i="4" s="1"/>
  <c r="V74" i="4"/>
  <c r="X74" i="4" s="1"/>
  <c r="V30" i="4"/>
  <c r="X30" i="4" s="1"/>
  <c r="V94" i="4"/>
  <c r="X94" i="4" s="1"/>
  <c r="V80" i="4"/>
  <c r="X80" i="4" s="1"/>
  <c r="V20" i="4"/>
  <c r="X20" i="4" s="1"/>
  <c r="V8" i="4"/>
  <c r="X8" i="4" s="1"/>
  <c r="V32" i="4"/>
  <c r="X32" i="4" s="1"/>
  <c r="V35" i="4"/>
  <c r="X35" i="4" s="1"/>
  <c r="V19" i="4"/>
  <c r="X19" i="4" s="1"/>
  <c r="V11" i="4"/>
  <c r="X11" i="4" s="1"/>
  <c r="V91" i="4"/>
  <c r="X91" i="4" s="1"/>
  <c r="V71" i="4"/>
  <c r="X71" i="4" s="1"/>
  <c r="V40" i="4"/>
  <c r="X40" i="4" s="1"/>
  <c r="V63" i="4"/>
  <c r="X63" i="4" s="1"/>
  <c r="V72" i="4"/>
  <c r="X72" i="4" s="1"/>
  <c r="V57" i="4"/>
  <c r="X57" i="4" s="1"/>
  <c r="V13" i="4"/>
  <c r="X13" i="4" s="1"/>
  <c r="V89" i="4"/>
  <c r="X89" i="4" s="1"/>
  <c r="V21" i="4"/>
  <c r="X21" i="4" s="1"/>
  <c r="V17" i="4"/>
  <c r="X17" i="4" s="1"/>
  <c r="V66" i="4"/>
  <c r="X66" i="4" s="1"/>
  <c r="Z6" i="4"/>
  <c r="AB6" i="4" s="1"/>
  <c r="Z39" i="4"/>
  <c r="AB39" i="4" s="1"/>
  <c r="AD39" i="4" s="1"/>
  <c r="Z15" i="4"/>
  <c r="AB15" i="4" s="1"/>
  <c r="AD15" i="4" s="1"/>
  <c r="Z38" i="4"/>
  <c r="AB38" i="4" s="1"/>
  <c r="AD38" i="4" s="1"/>
  <c r="Z78" i="4"/>
  <c r="AB78" i="4" s="1"/>
  <c r="AD78" i="4" s="1"/>
  <c r="Z50" i="4"/>
  <c r="AB50" i="4" s="1"/>
  <c r="AD50" i="4" s="1"/>
  <c r="Z52" i="4"/>
  <c r="AB52" i="4" s="1"/>
  <c r="AD52" i="4" s="1"/>
  <c r="Z95" i="4"/>
  <c r="AB95" i="4" s="1"/>
  <c r="AD95" i="4" s="1"/>
  <c r="Z98" i="4"/>
  <c r="AB98" i="4" s="1"/>
  <c r="AD98" i="4" s="1"/>
  <c r="Z96" i="4"/>
  <c r="AB96" i="4" s="1"/>
  <c r="AD96" i="4" s="1"/>
  <c r="Z70" i="4"/>
  <c r="AB70" i="4" s="1"/>
  <c r="AD70" i="4" s="1"/>
  <c r="Z55" i="4"/>
  <c r="AB55" i="4" s="1"/>
  <c r="AD55" i="4" s="1"/>
  <c r="Z18" i="4"/>
  <c r="AB18" i="4" s="1"/>
  <c r="AD18" i="4" s="1"/>
  <c r="Z7" i="4"/>
  <c r="AB7" i="4" s="1"/>
  <c r="Z77" i="4"/>
  <c r="AB77" i="4" s="1"/>
  <c r="AD77" i="4" s="1"/>
  <c r="Z29" i="4"/>
  <c r="AB29" i="4" s="1"/>
  <c r="AD29" i="4" s="1"/>
  <c r="Z93" i="4"/>
  <c r="AB93" i="4" s="1"/>
  <c r="AD93" i="4" s="1"/>
  <c r="Z94" i="4"/>
  <c r="AB94" i="4" s="1"/>
  <c r="AD94" i="4" s="1"/>
  <c r="Z61" i="4"/>
  <c r="AB61" i="4" s="1"/>
  <c r="AD61" i="4" s="1"/>
  <c r="Z23" i="4"/>
  <c r="AB23" i="4" s="1"/>
  <c r="AD23" i="4" s="1"/>
  <c r="Z45" i="4"/>
  <c r="AB45" i="4" s="1"/>
  <c r="AD45" i="4" s="1"/>
  <c r="Z90" i="4"/>
  <c r="AB90" i="4" s="1"/>
  <c r="AD90" i="4" s="1"/>
  <c r="Z53" i="4"/>
  <c r="AB53" i="4" s="1"/>
  <c r="AD53" i="4" s="1"/>
  <c r="Z46" i="4"/>
  <c r="AB46" i="4" s="1"/>
  <c r="AD46" i="4" s="1"/>
  <c r="Z48" i="4"/>
  <c r="AB48" i="4" s="1"/>
  <c r="AD48" i="4" s="1"/>
  <c r="Z54" i="4"/>
  <c r="AB54" i="4" s="1"/>
  <c r="AD54" i="4" s="1"/>
  <c r="Z83" i="4"/>
  <c r="AB83" i="4" s="1"/>
  <c r="AD83" i="4" s="1"/>
  <c r="Z31" i="4"/>
  <c r="AB31" i="4" s="1"/>
  <c r="AD31" i="4" s="1"/>
  <c r="Z86" i="4"/>
  <c r="AB86" i="4" s="1"/>
  <c r="AD86" i="4" s="1"/>
  <c r="Z56" i="4"/>
  <c r="AB56" i="4" s="1"/>
  <c r="AD56" i="4" s="1"/>
  <c r="Z14" i="4"/>
  <c r="AB14" i="4" s="1"/>
  <c r="AD14" i="4" s="1"/>
  <c r="Z87" i="4"/>
  <c r="AB87" i="4" s="1"/>
  <c r="AD87" i="4" s="1"/>
  <c r="Z82" i="4"/>
  <c r="AB82" i="4" s="1"/>
  <c r="AD82" i="4" s="1"/>
  <c r="Z27" i="4"/>
  <c r="AB27" i="4" s="1"/>
  <c r="AD27" i="4" s="1"/>
  <c r="Z41" i="4"/>
  <c r="AB41" i="4" s="1"/>
  <c r="AD41" i="4" s="1"/>
  <c r="Z68" i="4"/>
  <c r="AB68" i="4" s="1"/>
  <c r="AD68" i="4" s="1"/>
  <c r="Z9" i="4"/>
  <c r="AB9" i="4" s="1"/>
  <c r="AD9" i="4" s="1"/>
  <c r="Z24" i="4"/>
  <c r="AB24" i="4" s="1"/>
  <c r="AD24" i="4" s="1"/>
  <c r="Z74" i="4"/>
  <c r="AB74" i="4" s="1"/>
  <c r="AD74" i="4" s="1"/>
  <c r="Z43" i="4"/>
  <c r="AB43" i="4" s="1"/>
  <c r="AD43" i="4" s="1"/>
  <c r="Z30" i="4"/>
  <c r="AB30" i="4" s="1"/>
  <c r="AD30" i="4" s="1"/>
  <c r="Z80" i="4"/>
  <c r="AB80" i="4" s="1"/>
  <c r="AD80" i="4" s="1"/>
  <c r="Z20" i="4"/>
  <c r="AB20" i="4" s="1"/>
  <c r="AD20" i="4" s="1"/>
  <c r="Z25" i="4"/>
  <c r="AB25" i="4" s="1"/>
  <c r="AD25" i="4" s="1"/>
  <c r="Z47" i="4"/>
  <c r="AB47" i="4" s="1"/>
  <c r="AD47" i="4" s="1"/>
  <c r="Z8" i="4"/>
  <c r="AB8" i="4" s="1"/>
  <c r="AD8" i="4" s="1"/>
  <c r="Z32" i="4"/>
  <c r="AB32" i="4" s="1"/>
  <c r="AD32" i="4" s="1"/>
  <c r="Z35" i="4"/>
  <c r="AB35" i="4" s="1"/>
  <c r="AD35" i="4" s="1"/>
  <c r="Z11" i="4"/>
  <c r="AB11" i="4" s="1"/>
  <c r="AD11" i="4" s="1"/>
  <c r="Z91" i="4"/>
  <c r="AB91" i="4" s="1"/>
  <c r="AD91" i="4" s="1"/>
  <c r="Z40" i="4"/>
  <c r="AB40" i="4" s="1"/>
  <c r="AD40" i="4" s="1"/>
  <c r="Z65" i="4"/>
  <c r="AB65" i="4" s="1"/>
  <c r="AD65" i="4" s="1"/>
  <c r="Z71" i="4"/>
  <c r="AB71" i="4" s="1"/>
  <c r="AD71" i="4" s="1"/>
  <c r="Z57" i="4"/>
  <c r="AB57" i="4" s="1"/>
  <c r="AD57" i="4" s="1"/>
  <c r="Z13" i="4"/>
  <c r="AB13" i="4" s="1"/>
  <c r="AD13" i="4" s="1"/>
  <c r="Z26" i="4"/>
  <c r="AB26" i="4" s="1"/>
  <c r="AD26" i="4" s="1"/>
  <c r="Z60" i="4"/>
  <c r="AB60" i="4" s="1"/>
  <c r="AD60" i="4" s="1"/>
  <c r="Z37" i="4"/>
  <c r="AB37" i="4" s="1"/>
  <c r="AD37" i="4" s="1"/>
  <c r="Z10" i="4"/>
  <c r="AB10" i="4" s="1"/>
  <c r="AD10" i="4" s="1"/>
  <c r="Z17" i="4"/>
  <c r="AB17" i="4" s="1"/>
  <c r="AD17" i="4" s="1"/>
  <c r="Z62" i="4"/>
  <c r="AB62" i="4" s="1"/>
  <c r="AD62" i="4" s="1"/>
  <c r="Z58" i="4"/>
  <c r="AB58" i="4" s="1"/>
  <c r="AD58" i="4" s="1"/>
  <c r="Z75" i="4"/>
  <c r="AB75" i="4" s="1"/>
  <c r="AD75" i="4" s="1"/>
  <c r="Z92" i="4"/>
  <c r="AB92" i="4" s="1"/>
  <c r="AD92" i="4" s="1"/>
  <c r="Z22" i="4"/>
  <c r="AB22" i="4" s="1"/>
  <c r="AD22" i="4" s="1"/>
  <c r="Z44" i="4"/>
  <c r="AB44" i="4" s="1"/>
  <c r="AD44" i="4" s="1"/>
  <c r="Z63" i="4"/>
  <c r="AB63" i="4" s="1"/>
  <c r="AD63" i="4" s="1"/>
  <c r="Z19" i="4"/>
  <c r="AB19" i="4" s="1"/>
  <c r="AD19" i="4" s="1"/>
  <c r="Z72" i="4"/>
  <c r="AB72" i="4" s="1"/>
  <c r="AD72" i="4" s="1"/>
  <c r="Z89" i="4"/>
  <c r="AB89" i="4" s="1"/>
  <c r="AD89" i="4" s="1"/>
  <c r="Z33" i="4"/>
  <c r="AB33" i="4" s="1"/>
  <c r="AD33" i="4" s="1"/>
  <c r="Z67" i="4"/>
  <c r="AB67" i="4" s="1"/>
  <c r="AD67" i="4" s="1"/>
  <c r="Z84" i="4"/>
  <c r="AB84" i="4" s="1"/>
  <c r="AD84" i="4" s="1"/>
  <c r="Z73" i="4"/>
  <c r="AB73" i="4" s="1"/>
  <c r="AD73" i="4" s="1"/>
  <c r="Z81" i="4"/>
  <c r="AB81" i="4" s="1"/>
  <c r="AD81" i="4" s="1"/>
  <c r="Z88" i="4"/>
  <c r="AB88" i="4" s="1"/>
  <c r="AD88" i="4" s="1"/>
  <c r="Z49" i="4"/>
  <c r="AB49" i="4" s="1"/>
  <c r="AD49" i="4" s="1"/>
  <c r="Z34" i="4"/>
  <c r="AB34" i="4" s="1"/>
  <c r="AD34" i="4" s="1"/>
  <c r="Z76" i="4"/>
  <c r="AB76" i="4" s="1"/>
  <c r="AD76" i="4" s="1"/>
  <c r="Z51" i="4"/>
  <c r="AB51" i="4" s="1"/>
  <c r="AD51" i="4" s="1"/>
  <c r="Z16" i="4"/>
  <c r="AB16" i="4" s="1"/>
  <c r="AD16" i="4" s="1"/>
  <c r="Z36" i="4"/>
  <c r="AB36" i="4" s="1"/>
  <c r="AD36" i="4" s="1"/>
  <c r="Z79" i="4"/>
  <c r="AB79" i="4" s="1"/>
  <c r="AD79" i="4" s="1"/>
  <c r="Z97" i="4"/>
  <c r="AB97" i="4" s="1"/>
  <c r="AD97" i="4" s="1"/>
  <c r="Z64" i="4"/>
  <c r="AB64" i="4" s="1"/>
  <c r="AD64" i="4" s="1"/>
  <c r="Z99" i="4"/>
  <c r="AB99" i="4" s="1"/>
  <c r="AD99" i="4" s="1"/>
  <c r="Z12" i="4"/>
  <c r="AB12" i="4" s="1"/>
  <c r="AD12" i="4" s="1"/>
  <c r="Z28" i="4"/>
  <c r="AB28" i="4" s="1"/>
  <c r="AD28" i="4" s="1"/>
  <c r="Z21" i="4"/>
  <c r="AB21" i="4" s="1"/>
  <c r="AD21" i="4" s="1"/>
  <c r="Z59" i="4"/>
  <c r="AB59" i="4" s="1"/>
  <c r="AD59" i="4" s="1"/>
  <c r="Z69" i="4"/>
  <c r="AB69" i="4" s="1"/>
  <c r="AD69" i="4" s="1"/>
  <c r="Z85" i="4"/>
  <c r="AB85" i="4" s="1"/>
  <c r="AD85" i="4" s="1"/>
  <c r="Z42" i="4"/>
  <c r="AB42" i="4" s="1"/>
  <c r="AD42" i="4" s="1"/>
  <c r="Z66" i="4"/>
  <c r="AB66" i="4" s="1"/>
  <c r="AD66" i="4" s="1"/>
  <c r="X102" i="4" l="1"/>
  <c r="F4" i="5"/>
  <c r="AD7" i="4"/>
  <c r="AB102" i="4" a="1"/>
  <c r="AB102" i="4" s="1"/>
  <c r="F13" i="5" s="1"/>
  <c r="AE7" i="4" l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C23" i="3"/>
  <c r="C22" i="3"/>
  <c r="E23" i="3" l="1"/>
  <c r="C25" i="3"/>
  <c r="F5" i="5" l="1"/>
  <c r="Y6" i="4" s="1"/>
  <c r="X100" i="4" s="1"/>
  <c r="F14" i="5"/>
  <c r="AD6" i="4" s="1"/>
  <c r="AE103" i="4" s="1"/>
  <c r="C7" i="6" l="1"/>
  <c r="C20" i="6" s="1"/>
  <c r="G14" i="5"/>
  <c r="K9" i="5"/>
  <c r="K10" i="5" s="1"/>
  <c r="K5" i="5"/>
  <c r="L5" i="5" s="1"/>
  <c r="AE101" i="4" l="1"/>
  <c r="K16" i="5" s="1"/>
  <c r="AE6" i="4"/>
  <c r="L9" i="5"/>
  <c r="K13" i="5"/>
  <c r="N9" i="5"/>
  <c r="N10" i="5" l="1"/>
  <c r="L10" i="5"/>
  <c r="K12" i="5"/>
  <c r="K11" i="5"/>
  <c r="K14" i="5"/>
</calcChain>
</file>

<file path=xl/comments1.xml><?xml version="1.0" encoding="utf-8"?>
<comments xmlns="http://schemas.openxmlformats.org/spreadsheetml/2006/main">
  <authors>
    <author>NH</author>
  </authors>
  <commentList>
    <comment ref="C4" authorId="0" shapeId="0">
      <text>
        <r>
          <rPr>
            <b/>
            <sz val="9"/>
            <color indexed="81"/>
            <rFont val="Segoe UI"/>
            <charset val="1"/>
          </rPr>
          <t>NH:</t>
        </r>
        <r>
          <rPr>
            <sz val="9"/>
            <color indexed="81"/>
            <rFont val="Segoe UI"/>
            <charset val="1"/>
          </rPr>
          <t xml:space="preserve">
=PINI!B8*PINI!C8+PINI!B9*PINI!C9+PINI!B10*PINI!C10+PINI!B11*PINI!C11+PINI!B4/2*PINI!C4 para deixar genérico</t>
        </r>
      </text>
    </comment>
    <comment ref="B16" authorId="0" shapeId="0">
      <text>
        <r>
          <rPr>
            <b/>
            <sz val="9"/>
            <color indexed="81"/>
            <rFont val="Segoe UI"/>
            <charset val="1"/>
          </rPr>
          <t>NH:</t>
        </r>
        <r>
          <rPr>
            <sz val="9"/>
            <color indexed="81"/>
            <rFont val="Segoe UI"/>
            <charset val="1"/>
          </rPr>
          <t xml:space="preserve">
talvez o lucro "original" de 20% seja muito elevado, aos olhos do acórdão do TCU</t>
        </r>
      </text>
    </comment>
  </commentList>
</comments>
</file>

<file path=xl/comments2.xml><?xml version="1.0" encoding="utf-8"?>
<comments xmlns="http://schemas.openxmlformats.org/spreadsheetml/2006/main">
  <authors>
    <author>NH</author>
  </authors>
  <commentList>
    <comment ref="J5" authorId="0" shapeId="0">
      <text>
        <r>
          <rPr>
            <b/>
            <sz val="9"/>
            <color indexed="81"/>
            <rFont val="Segoe UI"/>
            <charset val="1"/>
          </rPr>
          <t>NH:</t>
        </r>
        <r>
          <rPr>
            <sz val="9"/>
            <color indexed="81"/>
            <rFont val="Segoe UI"/>
            <charset val="1"/>
          </rPr>
          <t xml:space="preserve">
critério para obtenção destas porcentagens?</t>
        </r>
      </text>
    </comment>
    <comment ref="AD6" authorId="0" shapeId="0">
      <text>
        <r>
          <rPr>
            <b/>
            <sz val="9"/>
            <color indexed="81"/>
            <rFont val="Segoe UI"/>
            <charset val="1"/>
          </rPr>
          <t>NH:</t>
        </r>
        <r>
          <rPr>
            <sz val="9"/>
            <color indexed="81"/>
            <rFont val="Segoe UI"/>
            <charset val="1"/>
          </rPr>
          <t xml:space="preserve">
deve-se incluir as despesas iniciais, pois estas também são pagas pelo empreendedor</t>
        </r>
      </text>
    </comment>
    <comment ref="X102" authorId="0" shapeId="0">
      <text>
        <r>
          <rPr>
            <b/>
            <sz val="9"/>
            <color indexed="81"/>
            <rFont val="Segoe UI"/>
            <charset val="1"/>
          </rPr>
          <t>NH:</t>
        </r>
        <r>
          <rPr>
            <sz val="9"/>
            <color indexed="81"/>
            <rFont val="Segoe UI"/>
            <charset val="1"/>
          </rPr>
          <t xml:space="preserve">
acho que este resultado é o que deve ser usado, descontando um lucro para o empreendedor (talvez 20% seja muito elevado) - vide comentários sobre isto feitos no laudo.
A fórmula tinha um erro, começava em x8 ao invés de x7</t>
        </r>
      </text>
    </comment>
    <comment ref="X103" authorId="0" shapeId="0">
      <text>
        <r>
          <rPr>
            <b/>
            <sz val="9"/>
            <color indexed="81"/>
            <rFont val="Segoe UI"/>
            <charset val="1"/>
          </rPr>
          <t>NH:</t>
        </r>
        <r>
          <rPr>
            <sz val="9"/>
            <color indexed="81"/>
            <rFont val="Segoe UI"/>
            <charset val="1"/>
          </rPr>
          <t xml:space="preserve">
Este seria o valor com uma determinada taxa de lucro e uma tma ajustada ao risco, sem lucro embutido
</t>
        </r>
      </text>
    </comment>
    <comment ref="Y103" authorId="0" shapeId="0">
      <text>
        <r>
          <rPr>
            <b/>
            <sz val="9"/>
            <color indexed="81"/>
            <rFont val="Segoe UI"/>
            <charset val="1"/>
          </rPr>
          <t>NH:
simulação com</t>
        </r>
        <r>
          <rPr>
            <sz val="9"/>
            <color indexed="81"/>
            <rFont val="Segoe UI"/>
            <charset val="1"/>
          </rPr>
          <t xml:space="preserve">
lucro = 8%
risco = 25%</t>
        </r>
      </text>
    </comment>
  </commentList>
</comments>
</file>

<file path=xl/comments3.xml><?xml version="1.0" encoding="utf-8"?>
<comments xmlns="http://schemas.openxmlformats.org/spreadsheetml/2006/main">
  <authors>
    <author>NH</author>
  </authors>
  <commentList>
    <comment ref="C19" authorId="0" shapeId="0">
      <text>
        <r>
          <rPr>
            <b/>
            <sz val="9"/>
            <color indexed="81"/>
            <rFont val="Segoe UI"/>
            <charset val="1"/>
          </rPr>
          <t>NH:</t>
        </r>
        <r>
          <rPr>
            <sz val="9"/>
            <color indexed="81"/>
            <rFont val="Segoe UI"/>
            <charset val="1"/>
          </rPr>
          <t xml:space="preserve">
taxa de risco sem lucro embutido</t>
        </r>
      </text>
    </comment>
  </commentList>
</comments>
</file>

<file path=xl/sharedStrings.xml><?xml version="1.0" encoding="utf-8"?>
<sst xmlns="http://schemas.openxmlformats.org/spreadsheetml/2006/main" count="198" uniqueCount="136">
  <si>
    <t>Florianópolis</t>
  </si>
  <si>
    <t>Serviço</t>
  </si>
  <si>
    <t>Custo</t>
  </si>
  <si>
    <t>1ª Fase</t>
  </si>
  <si>
    <t>2ª Fase</t>
  </si>
  <si>
    <t>3ª Fase</t>
  </si>
  <si>
    <t>%</t>
  </si>
  <si>
    <t>R$</t>
  </si>
  <si>
    <t>Serviços de topografia</t>
  </si>
  <si>
    <t>Terraplanagem Leve</t>
  </si>
  <si>
    <t xml:space="preserve">Terraplanagem médio </t>
  </si>
  <si>
    <t>Terraplanagem pesado</t>
  </si>
  <si>
    <t>Rede de Água potável</t>
  </si>
  <si>
    <t>Rede de Esgoto</t>
  </si>
  <si>
    <t>Drenagem de Águas pluviais - galerias</t>
  </si>
  <si>
    <t>Drenagem de Águas pluviais - guias e sarjetas</t>
  </si>
  <si>
    <t xml:space="preserve">Pavimentação </t>
  </si>
  <si>
    <t>Rede de iluminação pública</t>
  </si>
  <si>
    <t>Urbanizador:</t>
  </si>
  <si>
    <t>Tipo de obra</t>
  </si>
  <si>
    <t>BDI acórdão</t>
  </si>
  <si>
    <t>Custos</t>
  </si>
  <si>
    <t>Peso</t>
  </si>
  <si>
    <t>BDI Urb.</t>
  </si>
  <si>
    <t>BDI Rodovias</t>
  </si>
  <si>
    <t>BDI redes (água + esgoto)</t>
  </si>
  <si>
    <t>BDI rede elétrica</t>
  </si>
  <si>
    <t>Somas</t>
  </si>
  <si>
    <t>Loteador:</t>
  </si>
  <si>
    <t>Adm. Central</t>
  </si>
  <si>
    <t>S+G</t>
  </si>
  <si>
    <t>DF</t>
  </si>
  <si>
    <t>Soma</t>
  </si>
  <si>
    <t>BDI Lot.</t>
  </si>
  <si>
    <t>Comercialização</t>
  </si>
  <si>
    <t>Lucro Loteador</t>
  </si>
  <si>
    <t>Impostos</t>
  </si>
  <si>
    <t>IRPJ, CSLL, PIS e COFINS para SPE</t>
  </si>
  <si>
    <t>BDI Loteador</t>
  </si>
  <si>
    <t>Florianóopolis/SC</t>
  </si>
  <si>
    <t>Área da Gleba</t>
  </si>
  <si>
    <t>m2</t>
  </si>
  <si>
    <t>Áreas Verdes e de Lazer</t>
  </si>
  <si>
    <t>Área Institucional</t>
  </si>
  <si>
    <t>Área dos Lotes (útil)</t>
  </si>
  <si>
    <t>Arruamento e outros</t>
  </si>
  <si>
    <t>Área do Lote</t>
  </si>
  <si>
    <t>Quantidade de lotes</t>
  </si>
  <si>
    <t>Valor do Lote</t>
  </si>
  <si>
    <t>VU Lote</t>
  </si>
  <si>
    <t>Lotes</t>
  </si>
  <si>
    <t>Duração</t>
  </si>
  <si>
    <t>Velocidade de Venda</t>
  </si>
  <si>
    <t>Área útil</t>
  </si>
  <si>
    <t>Custo (PINI)</t>
  </si>
  <si>
    <t>Custo Total</t>
  </si>
  <si>
    <t>Receita Total</t>
  </si>
  <si>
    <t>Lucro</t>
  </si>
  <si>
    <t>un.</t>
  </si>
  <si>
    <t>meses</t>
  </si>
  <si>
    <t>lotes/mês</t>
  </si>
  <si>
    <t>R$/1.000m2</t>
  </si>
  <si>
    <t>1ª Etapa</t>
  </si>
  <si>
    <t>2ª Etapa</t>
  </si>
  <si>
    <t>3ª Etapa</t>
  </si>
  <si>
    <t>TOTAL</t>
  </si>
  <si>
    <t>-</t>
  </si>
  <si>
    <t>Despesas Iniciais</t>
  </si>
  <si>
    <t>Despesas de compra (ITBI)</t>
  </si>
  <si>
    <t>ref.: valor da gleba</t>
  </si>
  <si>
    <t>Legalização (cartório)</t>
  </si>
  <si>
    <t>Projeto</t>
  </si>
  <si>
    <t>ref.: custos urbanização</t>
  </si>
  <si>
    <t>Total</t>
  </si>
  <si>
    <t>Obs.: Considerou-se que a valorização dos imóveis no período do empreendimento é suficiente para compensar o ITU</t>
  </si>
  <si>
    <t>Sens.</t>
  </si>
  <si>
    <t>Vlote</t>
  </si>
  <si>
    <t>Taxa</t>
  </si>
  <si>
    <t>Mês</t>
  </si>
  <si>
    <t>VENDAS</t>
  </si>
  <si>
    <t>RECEITAS</t>
  </si>
  <si>
    <t>DESPESAS</t>
  </si>
  <si>
    <t>BALANÇO</t>
  </si>
  <si>
    <t>FC usando TMA sem risco e considerando lucro separadamente</t>
  </si>
  <si>
    <t>FC usando TMA ajustada ao risco e com lucro embutido na TMA</t>
  </si>
  <si>
    <t>FC para TIR</t>
  </si>
  <si>
    <t>Receitas Acum.</t>
  </si>
  <si>
    <t>Despesas Acum.</t>
  </si>
  <si>
    <t>Saldo</t>
  </si>
  <si>
    <t>Saldo Acumulado</t>
  </si>
  <si>
    <t>Receitas menos BDI Empr</t>
  </si>
  <si>
    <t>Despesas mais BDI Urb</t>
  </si>
  <si>
    <t>Saldo com BDI</t>
  </si>
  <si>
    <t>Receitas menos DI Empr</t>
  </si>
  <si>
    <t>TOTAIS</t>
  </si>
  <si>
    <t>BDI Urbanizador</t>
  </si>
  <si>
    <t>TIR</t>
  </si>
  <si>
    <t>VPL</t>
  </si>
  <si>
    <t>Análise com Lucro</t>
  </si>
  <si>
    <t>acórdão TCU</t>
  </si>
  <si>
    <t>Lucro após pgto terreno:</t>
  </si>
  <si>
    <t>DI Loteador</t>
  </si>
  <si>
    <t xml:space="preserve">VPL: </t>
  </si>
  <si>
    <t>Líquido</t>
  </si>
  <si>
    <t>Sobre VGV</t>
  </si>
  <si>
    <t xml:space="preserve">VPL - Desp. Iniciais: </t>
  </si>
  <si>
    <t>BDI Empreendedor - Lucro</t>
  </si>
  <si>
    <t>Taxa de desconto sem risco (a.a.)</t>
  </si>
  <si>
    <t>VGV</t>
  </si>
  <si>
    <t>Taxa de desconto sem risco (a.m.)</t>
  </si>
  <si>
    <t>Terreno</t>
  </si>
  <si>
    <t>Resultado</t>
  </si>
  <si>
    <t>Análise com Risco</t>
  </si>
  <si>
    <t>Lucratividade</t>
  </si>
  <si>
    <t>Taxa básica (Selic) (a.a.)</t>
  </si>
  <si>
    <t>Prêmio Risco</t>
  </si>
  <si>
    <t>Rentabilidade</t>
  </si>
  <si>
    <t>Taxa básica (Selic) (a.m.)</t>
  </si>
  <si>
    <t>Custos/Área líquida</t>
  </si>
  <si>
    <t>Inflação (IPCA) (a.a)</t>
  </si>
  <si>
    <t>IPCA Fevereiro 2023</t>
  </si>
  <si>
    <t>Resultado/Área líquida</t>
  </si>
  <si>
    <t>Inflação (IPCA) (a.m)</t>
  </si>
  <si>
    <t>Prêmio de Risco (em % da taxa básica)</t>
  </si>
  <si>
    <t>TIR (% a.m) =</t>
  </si>
  <si>
    <t>Taxa com inflação, com risco (a.a.)</t>
  </si>
  <si>
    <t>PB (meses) =</t>
  </si>
  <si>
    <t>Taxa sem inflação, com risco (a.a.)</t>
  </si>
  <si>
    <t>Taxa sem inflação, com risco (a.m.)</t>
  </si>
  <si>
    <t>Variação</t>
  </si>
  <si>
    <t>Valor da Gleba</t>
  </si>
  <si>
    <t>Custos Urb.</t>
  </si>
  <si>
    <t>Prêmio de Risco</t>
  </si>
  <si>
    <t>TMA (a.m.)</t>
  </si>
  <si>
    <t>= VPL</t>
  </si>
  <si>
    <t>Taxa sem lucro embutido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</si>
</sst>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R$&quot;#,##0.00;[Red]\-&quot;R$&quot;#,##0.00"/>
    <numFmt numFmtId="164" formatCode="_-&quot;R$&quot;\ * #,##0.00_-;\-&quot;R$&quot;\ * #,##0.00_-;_-&quot;R$&quot;\ * &quot;-&quot;??_-;_-@"/>
    <numFmt numFmtId="165" formatCode="0.000"/>
    <numFmt numFmtId="166" formatCode="0.0%"/>
    <numFmt numFmtId="167" formatCode="_-* #,##0_-;\-* #,##0_-;_-* &quot;-&quot;??_-;_-@"/>
    <numFmt numFmtId="168" formatCode="_-* #,##0.00_-;\-* #,##0.00_-;_-* &quot;-&quot;??_-;_-@"/>
    <numFmt numFmtId="169" formatCode="0.0"/>
    <numFmt numFmtId="170" formatCode="#,##0.00_ ;\-#,##0.00\ "/>
    <numFmt numFmtId="171" formatCode="0.000%"/>
    <numFmt numFmtId="172" formatCode="&quot;R$&quot;\ #,##0.00;[Red]\-&quot;R$&quot;\ #,##0.00"/>
    <numFmt numFmtId="173" formatCode="#,##0.00_ ;[Red]\-#,##0.00\ "/>
    <numFmt numFmtId="174" formatCode="[$R$ -416]#,##0.00"/>
  </numFmts>
  <fonts count="12" x14ac:knownFonts="1">
    <font>
      <sz val="10"/>
      <color theme="1"/>
      <name val="Calibri"/>
      <scheme val="minor"/>
    </font>
    <font>
      <sz val="12"/>
      <color theme="1"/>
      <name val="Calibri"/>
    </font>
    <font>
      <sz val="10"/>
      <name val="Calibri"/>
    </font>
    <font>
      <b/>
      <sz val="12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  <scheme val="minor"/>
    </font>
    <font>
      <sz val="10"/>
      <color rgb="FF0070C0"/>
      <name val="Calibri"/>
    </font>
    <font>
      <b/>
      <sz val="10"/>
      <color rgb="FFFF0000"/>
      <name val="Calibri"/>
    </font>
    <font>
      <b/>
      <sz val="10"/>
      <color theme="1"/>
      <name val="Calibri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66"/>
        <bgColor rgb="FFFFFF66"/>
      </patternFill>
    </fill>
    <fill>
      <patternFill patternType="solid">
        <fgColor rgb="FFCCFF99"/>
        <bgColor rgb="FFCCFF99"/>
      </patternFill>
    </fill>
    <fill>
      <patternFill patternType="solid">
        <fgColor rgb="FFA5A5A5"/>
        <bgColor rgb="FFA5A5A5"/>
      </patternFill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/>
    <xf numFmtId="0" fontId="1" fillId="2" borderId="8" xfId="0" applyFont="1" applyFill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4" fontId="1" fillId="3" borderId="9" xfId="0" applyNumberFormat="1" applyFont="1" applyFill="1" applyBorder="1" applyAlignment="1">
      <alignment horizontal="right" vertical="center"/>
    </xf>
    <xf numFmtId="9" fontId="1" fillId="3" borderId="9" xfId="0" applyNumberFormat="1" applyFont="1" applyFill="1" applyBorder="1" applyAlignment="1">
      <alignment horizontal="center" vertical="center"/>
    </xf>
    <xf numFmtId="4" fontId="1" fillId="0" borderId="8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/>
    <xf numFmtId="4" fontId="1" fillId="0" borderId="0" xfId="0" applyNumberFormat="1" applyFont="1" applyAlignment="1"/>
    <xf numFmtId="4" fontId="1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0" fontId="1" fillId="3" borderId="10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10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0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0" fontId="3" fillId="0" borderId="0" xfId="0" applyNumberFormat="1" applyFont="1" applyAlignment="1"/>
    <xf numFmtId="0" fontId="4" fillId="0" borderId="0" xfId="0" applyFont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10" fontId="4" fillId="3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7" fontId="4" fillId="3" borderId="10" xfId="0" applyNumberFormat="1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4" fontId="4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3" borderId="10" xfId="0" applyFont="1" applyFill="1" applyBorder="1" applyAlignment="1">
      <alignment vertical="center"/>
    </xf>
    <xf numFmtId="167" fontId="4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68" fontId="4" fillId="3" borderId="10" xfId="0" applyNumberFormat="1" applyFont="1" applyFill="1" applyBorder="1" applyAlignment="1">
      <alignment vertical="center"/>
    </xf>
    <xf numFmtId="168" fontId="4" fillId="0" borderId="0" xfId="0" applyNumberFormat="1" applyFont="1" applyAlignment="1">
      <alignment vertical="center"/>
    </xf>
    <xf numFmtId="166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69" fontId="4" fillId="3" borderId="10" xfId="0" applyNumberFormat="1" applyFont="1" applyFill="1" applyBorder="1" applyAlignment="1">
      <alignment vertical="center"/>
    </xf>
    <xf numFmtId="2" fontId="4" fillId="0" borderId="0" xfId="0" applyNumberFormat="1" applyFont="1" applyAlignment="1">
      <alignment vertical="center"/>
    </xf>
    <xf numFmtId="169" fontId="5" fillId="0" borderId="0" xfId="0" applyNumberFormat="1" applyFont="1" applyAlignment="1">
      <alignment vertical="center"/>
    </xf>
    <xf numFmtId="16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3" borderId="10" xfId="0" applyNumberFormat="1" applyFont="1" applyFill="1" applyBorder="1" applyAlignment="1">
      <alignment horizontal="center" vertical="center"/>
    </xf>
    <xf numFmtId="4" fontId="5" fillId="0" borderId="0" xfId="0" applyNumberFormat="1" applyFont="1" applyAlignment="1">
      <alignment vertical="center"/>
    </xf>
    <xf numFmtId="0" fontId="5" fillId="4" borderId="10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3" fontId="4" fillId="0" borderId="0" xfId="0" applyNumberFormat="1" applyFont="1" applyAlignment="1">
      <alignment vertical="center"/>
    </xf>
    <xf numFmtId="17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8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5" fillId="5" borderId="39" xfId="0" applyFont="1" applyFill="1" applyBorder="1" applyAlignment="1">
      <alignment vertical="center"/>
    </xf>
    <xf numFmtId="0" fontId="5" fillId="5" borderId="40" xfId="0" applyFont="1" applyFill="1" applyBorder="1" applyAlignment="1">
      <alignment vertical="center"/>
    </xf>
    <xf numFmtId="0" fontId="5" fillId="5" borderId="41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5" borderId="31" xfId="0" applyFont="1" applyFill="1" applyBorder="1" applyAlignment="1">
      <alignment vertical="center"/>
    </xf>
    <xf numFmtId="0" fontId="5" fillId="5" borderId="32" xfId="0" applyFont="1" applyFill="1" applyBorder="1" applyAlignment="1">
      <alignment vertical="center"/>
    </xf>
    <xf numFmtId="0" fontId="5" fillId="5" borderId="33" xfId="0" applyFont="1" applyFill="1" applyBorder="1" applyAlignment="1">
      <alignment vertical="center"/>
    </xf>
    <xf numFmtId="166" fontId="5" fillId="5" borderId="42" xfId="0" applyNumberFormat="1" applyFont="1" applyFill="1" applyBorder="1" applyAlignment="1">
      <alignment vertical="center"/>
    </xf>
    <xf numFmtId="166" fontId="5" fillId="5" borderId="43" xfId="0" applyNumberFormat="1" applyFont="1" applyFill="1" applyBorder="1" applyAlignment="1">
      <alignment vertical="center"/>
    </xf>
    <xf numFmtId="0" fontId="5" fillId="5" borderId="36" xfId="0" applyFont="1" applyFill="1" applyBorder="1" applyAlignment="1">
      <alignment horizontal="right" vertical="center"/>
    </xf>
    <xf numFmtId="0" fontId="4" fillId="0" borderId="21" xfId="0" applyFont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4" fillId="0" borderId="29" xfId="0" applyFont="1" applyBorder="1" applyAlignment="1">
      <alignment vertical="center"/>
    </xf>
    <xf numFmtId="168" fontId="4" fillId="0" borderId="8" xfId="0" applyNumberFormat="1" applyFont="1" applyBorder="1" applyAlignment="1">
      <alignment vertical="center"/>
    </xf>
    <xf numFmtId="166" fontId="4" fillId="3" borderId="28" xfId="0" applyNumberFormat="1" applyFont="1" applyFill="1" applyBorder="1" applyAlignment="1">
      <alignment vertical="center"/>
    </xf>
    <xf numFmtId="168" fontId="4" fillId="0" borderId="48" xfId="0" applyNumberFormat="1" applyFont="1" applyBorder="1" applyAlignment="1">
      <alignment vertical="center"/>
    </xf>
    <xf numFmtId="166" fontId="4" fillId="3" borderId="48" xfId="0" applyNumberFormat="1" applyFont="1" applyFill="1" applyBorder="1" applyAlignment="1">
      <alignment vertical="center"/>
    </xf>
    <xf numFmtId="168" fontId="4" fillId="0" borderId="49" xfId="0" applyNumberFormat="1" applyFont="1" applyBorder="1" applyAlignment="1">
      <alignment vertical="center"/>
    </xf>
    <xf numFmtId="168" fontId="4" fillId="0" borderId="28" xfId="0" applyNumberFormat="1" applyFont="1" applyBorder="1" applyAlignment="1">
      <alignment vertical="center"/>
    </xf>
    <xf numFmtId="168" fontId="4" fillId="0" borderId="47" xfId="0" applyNumberFormat="1" applyFont="1" applyBorder="1" applyAlignment="1">
      <alignment vertical="center"/>
    </xf>
    <xf numFmtId="168" fontId="4" fillId="0" borderId="36" xfId="0" applyNumberFormat="1" applyFont="1" applyBorder="1" applyAlignment="1">
      <alignment vertical="center"/>
    </xf>
    <xf numFmtId="168" fontId="4" fillId="0" borderId="37" xfId="0" applyNumberFormat="1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3" fontId="4" fillId="3" borderId="36" xfId="0" applyNumberFormat="1" applyFont="1" applyFill="1" applyBorder="1" applyAlignment="1">
      <alignment vertical="center"/>
    </xf>
    <xf numFmtId="3" fontId="4" fillId="3" borderId="8" xfId="0" applyNumberFormat="1" applyFont="1" applyFill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166" fontId="4" fillId="3" borderId="6" xfId="0" applyNumberFormat="1" applyFont="1" applyFill="1" applyBorder="1" applyAlignment="1">
      <alignment vertical="center"/>
    </xf>
    <xf numFmtId="166" fontId="4" fillId="3" borderId="8" xfId="0" applyNumberFormat="1" applyFont="1" applyFill="1" applyBorder="1" applyAlignment="1">
      <alignment vertical="center"/>
    </xf>
    <xf numFmtId="168" fontId="4" fillId="0" borderId="6" xfId="0" applyNumberFormat="1" applyFont="1" applyBorder="1" applyAlignment="1">
      <alignment vertical="center"/>
    </xf>
    <xf numFmtId="170" fontId="4" fillId="0" borderId="8" xfId="0" applyNumberFormat="1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3" fontId="4" fillId="3" borderId="52" xfId="0" applyNumberFormat="1" applyFont="1" applyFill="1" applyBorder="1" applyAlignment="1">
      <alignment vertical="center"/>
    </xf>
    <xf numFmtId="3" fontId="4" fillId="3" borderId="53" xfId="0" applyNumberFormat="1" applyFont="1" applyFill="1" applyBorder="1" applyAlignment="1">
      <alignment vertical="center"/>
    </xf>
    <xf numFmtId="3" fontId="4" fillId="0" borderId="54" xfId="0" applyNumberFormat="1" applyFont="1" applyBorder="1" applyAlignment="1">
      <alignment vertical="center"/>
    </xf>
    <xf numFmtId="166" fontId="4" fillId="3" borderId="55" xfId="0" applyNumberFormat="1" applyFont="1" applyFill="1" applyBorder="1" applyAlignment="1">
      <alignment vertical="center"/>
    </xf>
    <xf numFmtId="168" fontId="4" fillId="0" borderId="53" xfId="0" applyNumberFormat="1" applyFont="1" applyBorder="1" applyAlignment="1">
      <alignment vertical="center"/>
    </xf>
    <xf numFmtId="166" fontId="4" fillId="3" borderId="53" xfId="0" applyNumberFormat="1" applyFont="1" applyFill="1" applyBorder="1" applyAlignment="1">
      <alignment vertical="center"/>
    </xf>
    <xf numFmtId="168" fontId="4" fillId="0" borderId="56" xfId="0" applyNumberFormat="1" applyFont="1" applyBorder="1" applyAlignment="1">
      <alignment vertical="center"/>
    </xf>
    <xf numFmtId="168" fontId="4" fillId="0" borderId="55" xfId="0" applyNumberFormat="1" applyFont="1" applyBorder="1" applyAlignment="1">
      <alignment vertical="center"/>
    </xf>
    <xf numFmtId="170" fontId="4" fillId="0" borderId="53" xfId="0" applyNumberFormat="1" applyFont="1" applyBorder="1" applyAlignment="1">
      <alignment vertical="center"/>
    </xf>
    <xf numFmtId="168" fontId="4" fillId="0" borderId="52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70" fontId="5" fillId="0" borderId="0" xfId="0" applyNumberFormat="1" applyFont="1" applyAlignment="1">
      <alignment vertical="center"/>
    </xf>
    <xf numFmtId="171" fontId="4" fillId="0" borderId="0" xfId="0" applyNumberFormat="1" applyFont="1" applyAlignment="1">
      <alignment vertical="center"/>
    </xf>
    <xf numFmtId="172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horizontal="right" vertical="center"/>
    </xf>
    <xf numFmtId="168" fontId="5" fillId="6" borderId="10" xfId="0" applyNumberFormat="1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0" borderId="47" xfId="0" applyFont="1" applyBorder="1" applyAlignment="1">
      <alignment horizontal="right" vertical="center"/>
    </xf>
    <xf numFmtId="173" fontId="4" fillId="0" borderId="48" xfId="0" applyNumberFormat="1" applyFont="1" applyBorder="1" applyAlignment="1">
      <alignment vertical="center"/>
    </xf>
    <xf numFmtId="9" fontId="4" fillId="0" borderId="49" xfId="0" applyNumberFormat="1" applyFont="1" applyBorder="1" applyAlignment="1">
      <alignment vertical="center"/>
    </xf>
    <xf numFmtId="168" fontId="4" fillId="6" borderId="10" xfId="0" applyNumberFormat="1" applyFont="1" applyFill="1" applyBorder="1" applyAlignment="1">
      <alignment horizontal="right" vertical="center"/>
    </xf>
    <xf numFmtId="0" fontId="4" fillId="6" borderId="10" xfId="0" applyFont="1" applyFill="1" applyBorder="1" applyAlignment="1">
      <alignment horizontal="right" vertical="center"/>
    </xf>
    <xf numFmtId="0" fontId="4" fillId="0" borderId="36" xfId="0" applyFont="1" applyBorder="1" applyAlignment="1">
      <alignment horizontal="right" vertical="center"/>
    </xf>
    <xf numFmtId="173" fontId="8" fillId="0" borderId="8" xfId="0" applyNumberFormat="1" applyFont="1" applyBorder="1" applyAlignment="1">
      <alignment vertical="center"/>
    </xf>
    <xf numFmtId="9" fontId="4" fillId="0" borderId="37" xfId="0" applyNumberFormat="1" applyFont="1" applyBorder="1" applyAlignment="1">
      <alignment vertical="center"/>
    </xf>
    <xf numFmtId="168" fontId="4" fillId="6" borderId="10" xfId="0" applyNumberFormat="1" applyFont="1" applyFill="1" applyBorder="1" applyAlignment="1">
      <alignment vertical="center"/>
    </xf>
    <xf numFmtId="166" fontId="4" fillId="6" borderId="10" xfId="0" applyNumberFormat="1" applyFont="1" applyFill="1" applyBorder="1" applyAlignment="1">
      <alignment vertical="center"/>
    </xf>
    <xf numFmtId="173" fontId="4" fillId="3" borderId="8" xfId="0" applyNumberFormat="1" applyFont="1" applyFill="1" applyBorder="1" applyAlignment="1">
      <alignment vertical="center"/>
    </xf>
    <xf numFmtId="9" fontId="4" fillId="3" borderId="37" xfId="0" applyNumberFormat="1" applyFont="1" applyFill="1" applyBorder="1" applyAlignment="1">
      <alignment vertical="center"/>
    </xf>
    <xf numFmtId="173" fontId="4" fillId="0" borderId="8" xfId="0" applyNumberFormat="1" applyFont="1" applyBorder="1" applyAlignment="1">
      <alignment vertical="center"/>
    </xf>
    <xf numFmtId="0" fontId="4" fillId="4" borderId="10" xfId="0" applyFont="1" applyFill="1" applyBorder="1" applyAlignment="1">
      <alignment horizontal="right" vertical="center"/>
    </xf>
    <xf numFmtId="168" fontId="4" fillId="4" borderId="10" xfId="0" applyNumberFormat="1" applyFont="1" applyFill="1" applyBorder="1" applyAlignment="1">
      <alignment vertical="center"/>
    </xf>
    <xf numFmtId="173" fontId="4" fillId="4" borderId="10" xfId="0" applyNumberFormat="1" applyFont="1" applyFill="1" applyBorder="1" applyAlignment="1">
      <alignment vertical="center"/>
    </xf>
    <xf numFmtId="0" fontId="4" fillId="0" borderId="52" xfId="0" applyFont="1" applyBorder="1" applyAlignment="1">
      <alignment horizontal="right" vertical="center"/>
    </xf>
    <xf numFmtId="173" fontId="4" fillId="0" borderId="53" xfId="0" applyNumberFormat="1" applyFont="1" applyBorder="1" applyAlignment="1">
      <alignment vertical="center"/>
    </xf>
    <xf numFmtId="9" fontId="4" fillId="0" borderId="56" xfId="0" applyNumberFormat="1" applyFont="1" applyBorder="1" applyAlignment="1">
      <alignment vertical="center"/>
    </xf>
    <xf numFmtId="173" fontId="5" fillId="0" borderId="0" xfId="0" applyNumberFormat="1" applyFont="1" applyAlignment="1">
      <alignment vertical="center"/>
    </xf>
    <xf numFmtId="166" fontId="4" fillId="4" borderId="10" xfId="0" applyNumberFormat="1" applyFont="1" applyFill="1" applyBorder="1" applyAlignment="1">
      <alignment vertical="center"/>
    </xf>
    <xf numFmtId="10" fontId="4" fillId="3" borderId="10" xfId="0" applyNumberFormat="1" applyFont="1" applyFill="1" applyBorder="1" applyAlignment="1">
      <alignment horizontal="center"/>
    </xf>
    <xf numFmtId="166" fontId="4" fillId="0" borderId="12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horizontal="right" vertical="center"/>
    </xf>
    <xf numFmtId="10" fontId="4" fillId="0" borderId="0" xfId="0" applyNumberFormat="1" applyFont="1" applyAlignment="1">
      <alignment horizontal="center"/>
    </xf>
    <xf numFmtId="9" fontId="4" fillId="3" borderId="10" xfId="0" applyNumberFormat="1" applyFont="1" applyFill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7" borderId="10" xfId="0" applyFont="1" applyFill="1" applyBorder="1" applyAlignment="1">
      <alignment horizontal="right" vertical="center"/>
    </xf>
    <xf numFmtId="10" fontId="4" fillId="7" borderId="10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right" vertical="center"/>
    </xf>
    <xf numFmtId="169" fontId="4" fillId="7" borderId="10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174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0" fillId="8" borderId="0" xfId="0" applyFont="1" applyFill="1" applyAlignment="1">
      <alignment vertical="center"/>
    </xf>
    <xf numFmtId="10" fontId="0" fillId="8" borderId="0" xfId="0" applyNumberFormat="1" applyFon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5" fillId="5" borderId="35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vertical="center"/>
    </xf>
    <xf numFmtId="0" fontId="5" fillId="5" borderId="3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/>
    </xf>
    <xf numFmtId="0" fontId="5" fillId="5" borderId="11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5" fillId="5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5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166" fontId="5" fillId="5" borderId="21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166" fontId="5" fillId="5" borderId="29" xfId="0" applyNumberFormat="1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8" fontId="0" fillId="8" borderId="0" xfId="0" applyNumberFormat="1" applyFont="1" applyFill="1" applyAlignment="1">
      <alignment vertical="center"/>
    </xf>
    <xf numFmtId="168" fontId="4" fillId="8" borderId="37" xfId="0" applyNumberFormat="1" applyFont="1" applyFill="1" applyBorder="1" applyAlignment="1">
      <alignment vertical="center"/>
    </xf>
    <xf numFmtId="8" fontId="5" fillId="8" borderId="0" xfId="0" applyNumberFormat="1" applyFont="1" applyFill="1" applyAlignment="1">
      <alignment vertical="center"/>
    </xf>
    <xf numFmtId="0" fontId="5" fillId="8" borderId="0" xfId="0" quotePrefix="1" applyFont="1" applyFill="1" applyAlignment="1">
      <alignment vertical="center"/>
    </xf>
    <xf numFmtId="9" fontId="4" fillId="8" borderId="0" xfId="0" applyNumberFormat="1" applyFont="1" applyFill="1" applyAlignment="1">
      <alignment vertical="center"/>
    </xf>
    <xf numFmtId="171" fontId="4" fillId="8" borderId="0" xfId="0" applyNumberFormat="1" applyFont="1" applyFill="1" applyAlignment="1">
      <alignment horizontal="center"/>
    </xf>
    <xf numFmtId="168" fontId="4" fillId="8" borderId="36" xfId="0" applyNumberFormat="1" applyFont="1" applyFill="1" applyBorder="1" applyAlignment="1">
      <alignment vertical="center"/>
    </xf>
    <xf numFmtId="8" fontId="0" fillId="9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VPL-Despesas Iniciais versus Valor do Lote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SENSIBILIDADE!$B$4:$B$10</c:f>
              <c:numCache>
                <c:formatCode>[$R$ -416]#,##0.00</c:formatCode>
                <c:ptCount val="7"/>
                <c:pt idx="0">
                  <c:v>510000</c:v>
                </c:pt>
                <c:pt idx="1">
                  <c:v>540000</c:v>
                </c:pt>
                <c:pt idx="2">
                  <c:v>570000</c:v>
                </c:pt>
                <c:pt idx="3">
                  <c:v>600000</c:v>
                </c:pt>
                <c:pt idx="4">
                  <c:v>630000</c:v>
                </c:pt>
                <c:pt idx="5">
                  <c:v>660000</c:v>
                </c:pt>
                <c:pt idx="6">
                  <c:v>690000</c:v>
                </c:pt>
              </c:numCache>
            </c:numRef>
          </c:cat>
          <c:val>
            <c:numRef>
              <c:f>SENSIBILIDADE!$C$4:$C$10</c:f>
              <c:numCache>
                <c:formatCode>#,##0.00</c:formatCode>
                <c:ptCount val="7"/>
                <c:pt idx="0">
                  <c:v>886834703.20000005</c:v>
                </c:pt>
                <c:pt idx="1">
                  <c:v>948219026.71000004</c:v>
                </c:pt>
                <c:pt idx="2">
                  <c:v>1009603350.22</c:v>
                </c:pt>
                <c:pt idx="3">
                  <c:v>1070987673.734122</c:v>
                </c:pt>
                <c:pt idx="4">
                  <c:v>1132371997.24</c:v>
                </c:pt>
                <c:pt idx="5">
                  <c:v>1193756320.76</c:v>
                </c:pt>
                <c:pt idx="6">
                  <c:v>1255140644.27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F-41D2-9DE2-C4A12BD8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26552"/>
        <c:axId val="1634790280"/>
      </c:lineChart>
      <c:catAx>
        <c:axId val="37592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Valor do Lote</a:t>
                </a:r>
              </a:p>
            </c:rich>
          </c:tx>
          <c:layout/>
          <c:overlay val="0"/>
        </c:title>
        <c:numFmt formatCode="[$R$ -416]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4790280"/>
        <c:crosses val="autoZero"/>
        <c:auto val="1"/>
        <c:lblAlgn val="ctr"/>
        <c:lblOffset val="100"/>
        <c:noMultiLvlLbl val="1"/>
      </c:catAx>
      <c:valAx>
        <c:axId val="1634790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VPL-Despesas Iniciais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75926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VPL-Despesas Iniciais versus Custos Urb.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SENSIBILIDADE!$C$17</c:f>
              <c:strCache>
                <c:ptCount val="1"/>
                <c:pt idx="0">
                  <c:v>Valor da Gleba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SENSIBILIDADE!$B$18:$B$22</c:f>
              <c:numCache>
                <c:formatCode>#,##0.00</c:formatCode>
                <c:ptCount val="5"/>
                <c:pt idx="0">
                  <c:v>81880.344000000012</c:v>
                </c:pt>
                <c:pt idx="1">
                  <c:v>86429.251999999993</c:v>
                </c:pt>
                <c:pt idx="2">
                  <c:v>90978.16</c:v>
                </c:pt>
                <c:pt idx="3">
                  <c:v>95527.068000000014</c:v>
                </c:pt>
                <c:pt idx="4">
                  <c:v>100075.97600000001</c:v>
                </c:pt>
              </c:numCache>
            </c:numRef>
          </c:cat>
          <c:val>
            <c:numRef>
              <c:f>SENSIBILIDADE!$C$18:$C$22</c:f>
              <c:numCache>
                <c:formatCode>#,##0.00</c:formatCode>
                <c:ptCount val="5"/>
                <c:pt idx="0">
                  <c:v>1086321843.97</c:v>
                </c:pt>
                <c:pt idx="1">
                  <c:v>1078654758.8499999</c:v>
                </c:pt>
                <c:pt idx="2">
                  <c:v>1070987673.734122</c:v>
                </c:pt>
                <c:pt idx="3">
                  <c:v>1063320588.62</c:v>
                </c:pt>
                <c:pt idx="4">
                  <c:v>1055653503.5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639-88C5-066B7B1B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81798"/>
        <c:axId val="400594540"/>
      </c:lineChart>
      <c:catAx>
        <c:axId val="133481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Custos Urb.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00594540"/>
        <c:crosses val="autoZero"/>
        <c:auto val="1"/>
        <c:lblAlgn val="ctr"/>
        <c:lblOffset val="100"/>
        <c:noMultiLvlLbl val="1"/>
      </c:catAx>
      <c:valAx>
        <c:axId val="400594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VPL-Despesas Iniciais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348179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4876800" cy="3009900"/>
    <xdr:graphicFrame macro="">
      <xdr:nvGraphicFramePr>
        <xdr:cNvPr id="178572561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209550</xdr:colOff>
      <xdr:row>0</xdr:row>
      <xdr:rowOff>0</xdr:rowOff>
    </xdr:from>
    <xdr:ext cx="5086350" cy="3152775"/>
    <xdr:graphicFrame macro="">
      <xdr:nvGraphicFramePr>
        <xdr:cNvPr id="58440286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4" sqref="D14"/>
    </sheetView>
  </sheetViews>
  <sheetFormatPr defaultColWidth="14.42578125" defaultRowHeight="15" customHeight="1" x14ac:dyDescent="0.2"/>
  <cols>
    <col min="1" max="1" width="55.85546875" customWidth="1"/>
    <col min="2" max="2" width="13.42578125" customWidth="1"/>
    <col min="3" max="3" width="6.7109375" customWidth="1"/>
    <col min="4" max="4" width="10.5703125" customWidth="1"/>
    <col min="5" max="5" width="6.7109375" customWidth="1"/>
    <col min="6" max="6" width="10.5703125" customWidth="1"/>
    <col min="7" max="7" width="6.28515625" customWidth="1"/>
    <col min="8" max="8" width="10.5703125" customWidth="1"/>
    <col min="9" max="26" width="12.28515625" customWidth="1"/>
  </cols>
  <sheetData>
    <row r="1" spans="1:26" x14ac:dyDescent="0.25">
      <c r="A1" s="1"/>
      <c r="B1" s="1"/>
      <c r="C1" s="1"/>
      <c r="D1" s="163" t="s">
        <v>0</v>
      </c>
      <c r="E1" s="164"/>
      <c r="F1" s="164"/>
      <c r="G1" s="164"/>
      <c r="H1" s="16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6" t="s">
        <v>1</v>
      </c>
      <c r="B2" s="166" t="s">
        <v>2</v>
      </c>
      <c r="C2" s="168" t="s">
        <v>3</v>
      </c>
      <c r="D2" s="169"/>
      <c r="E2" s="170" t="s">
        <v>4</v>
      </c>
      <c r="F2" s="169"/>
      <c r="G2" s="168" t="s">
        <v>5</v>
      </c>
      <c r="H2" s="16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67"/>
      <c r="B3" s="167"/>
      <c r="C3" s="2" t="s">
        <v>6</v>
      </c>
      <c r="D3" s="3" t="s">
        <v>7</v>
      </c>
      <c r="E3" s="4" t="s">
        <v>6</v>
      </c>
      <c r="F3" s="3" t="s">
        <v>7</v>
      </c>
      <c r="G3" s="4" t="s">
        <v>6</v>
      </c>
      <c r="H3" s="3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5" t="s">
        <v>8</v>
      </c>
      <c r="B4" s="6">
        <v>12174.72</v>
      </c>
      <c r="C4" s="7">
        <v>1</v>
      </c>
      <c r="D4" s="8">
        <f t="shared" ref="D4:D13" si="0">C4*$B4</f>
        <v>12174.72</v>
      </c>
      <c r="E4" s="7">
        <v>1</v>
      </c>
      <c r="F4" s="8">
        <f t="shared" ref="F4:F13" si="1">E4*$B4</f>
        <v>12174.72</v>
      </c>
      <c r="G4" s="7">
        <v>1</v>
      </c>
      <c r="H4" s="8">
        <f t="shared" ref="H4:H13" si="2">G4*$B4</f>
        <v>12174.72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5" t="s">
        <v>9</v>
      </c>
      <c r="B5" s="6">
        <v>1953.63</v>
      </c>
      <c r="C5" s="7">
        <v>1</v>
      </c>
      <c r="D5" s="8">
        <f t="shared" si="0"/>
        <v>1953.63</v>
      </c>
      <c r="E5" s="7">
        <v>1</v>
      </c>
      <c r="F5" s="8">
        <f t="shared" si="1"/>
        <v>1953.63</v>
      </c>
      <c r="G5" s="7">
        <v>1</v>
      </c>
      <c r="H5" s="8">
        <f t="shared" si="2"/>
        <v>1953.63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5" t="s">
        <v>10</v>
      </c>
      <c r="B6" s="6">
        <v>5802.5</v>
      </c>
      <c r="C6" s="7">
        <v>0</v>
      </c>
      <c r="D6" s="8">
        <f t="shared" si="0"/>
        <v>0</v>
      </c>
      <c r="E6" s="7">
        <v>0</v>
      </c>
      <c r="F6" s="8">
        <f t="shared" si="1"/>
        <v>0</v>
      </c>
      <c r="G6" s="7">
        <v>0</v>
      </c>
      <c r="H6" s="8">
        <f t="shared" si="2"/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5" t="s">
        <v>11</v>
      </c>
      <c r="B7" s="6">
        <v>15424.91</v>
      </c>
      <c r="C7" s="7">
        <v>0</v>
      </c>
      <c r="D7" s="8">
        <f t="shared" si="0"/>
        <v>0</v>
      </c>
      <c r="E7" s="7">
        <v>0</v>
      </c>
      <c r="F7" s="8">
        <f t="shared" si="1"/>
        <v>0</v>
      </c>
      <c r="G7" s="7">
        <v>0</v>
      </c>
      <c r="H7" s="8">
        <f t="shared" si="2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5" t="s">
        <v>12</v>
      </c>
      <c r="B8" s="6">
        <v>11563.71</v>
      </c>
      <c r="C8" s="7">
        <v>1</v>
      </c>
      <c r="D8" s="8">
        <f t="shared" si="0"/>
        <v>11563.71</v>
      </c>
      <c r="E8" s="7">
        <v>1</v>
      </c>
      <c r="F8" s="8">
        <f t="shared" si="1"/>
        <v>11563.71</v>
      </c>
      <c r="G8" s="7">
        <v>1</v>
      </c>
      <c r="H8" s="8">
        <f t="shared" si="2"/>
        <v>11563.71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5" t="s">
        <v>13</v>
      </c>
      <c r="B9" s="6">
        <v>26133.32</v>
      </c>
      <c r="C9" s="7">
        <v>1</v>
      </c>
      <c r="D9" s="8">
        <f t="shared" si="0"/>
        <v>26133.32</v>
      </c>
      <c r="E9" s="7">
        <v>1</v>
      </c>
      <c r="F9" s="8">
        <f t="shared" si="1"/>
        <v>26133.32</v>
      </c>
      <c r="G9" s="7">
        <v>1</v>
      </c>
      <c r="H9" s="8">
        <f t="shared" si="2"/>
        <v>26133.32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5" t="s">
        <v>14</v>
      </c>
      <c r="B10" s="6">
        <v>11169.52</v>
      </c>
      <c r="C10" s="7">
        <v>1</v>
      </c>
      <c r="D10" s="8">
        <f t="shared" si="0"/>
        <v>11169.52</v>
      </c>
      <c r="E10" s="7">
        <v>1</v>
      </c>
      <c r="F10" s="8">
        <f t="shared" si="1"/>
        <v>11169.52</v>
      </c>
      <c r="G10" s="7">
        <v>1</v>
      </c>
      <c r="H10" s="8">
        <f t="shared" si="2"/>
        <v>11169.52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5" t="s">
        <v>15</v>
      </c>
      <c r="B11" s="6">
        <v>9563.5400000000009</v>
      </c>
      <c r="C11" s="7">
        <v>1</v>
      </c>
      <c r="D11" s="8">
        <f t="shared" si="0"/>
        <v>9563.5400000000009</v>
      </c>
      <c r="E11" s="7">
        <v>1</v>
      </c>
      <c r="F11" s="8">
        <f t="shared" si="1"/>
        <v>9563.5400000000009</v>
      </c>
      <c r="G11" s="7">
        <v>1</v>
      </c>
      <c r="H11" s="8">
        <f t="shared" si="2"/>
        <v>9563.5400000000009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5" t="s">
        <v>16</v>
      </c>
      <c r="B12" s="6">
        <v>29711.1</v>
      </c>
      <c r="C12" s="7">
        <v>0.5</v>
      </c>
      <c r="D12" s="8">
        <f t="shared" si="0"/>
        <v>14855.55</v>
      </c>
      <c r="E12" s="7">
        <v>0.5</v>
      </c>
      <c r="F12" s="8">
        <f t="shared" si="1"/>
        <v>14855.55</v>
      </c>
      <c r="G12" s="7">
        <v>0.5</v>
      </c>
      <c r="H12" s="8">
        <f t="shared" si="2"/>
        <v>14855.55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5" t="s">
        <v>17</v>
      </c>
      <c r="B13" s="6">
        <v>3564.17</v>
      </c>
      <c r="C13" s="7">
        <v>1</v>
      </c>
      <c r="D13" s="8">
        <f t="shared" si="0"/>
        <v>3564.17</v>
      </c>
      <c r="E13" s="7">
        <v>1</v>
      </c>
      <c r="F13" s="8">
        <f t="shared" si="1"/>
        <v>3564.17</v>
      </c>
      <c r="G13" s="7">
        <v>1</v>
      </c>
      <c r="H13" s="8">
        <f t="shared" si="2"/>
        <v>3564.17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"/>
      <c r="B14" s="10"/>
      <c r="C14" s="10"/>
      <c r="D14" s="11">
        <f>SUM(D4:D13)</f>
        <v>90978.16</v>
      </c>
      <c r="E14" s="12"/>
      <c r="F14" s="11">
        <f>SUM(F4:F13)</f>
        <v>90978.16</v>
      </c>
      <c r="G14" s="12"/>
      <c r="H14" s="11">
        <f>SUM(H4:H13)</f>
        <v>90978.16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D1:H1"/>
    <mergeCell ref="A2:A3"/>
    <mergeCell ref="B2:B3"/>
    <mergeCell ref="C2:D2"/>
    <mergeCell ref="E2:F2"/>
    <mergeCell ref="G2:H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0"/>
  <sheetViews>
    <sheetView workbookViewId="0">
      <selection activeCell="B16" sqref="B16"/>
    </sheetView>
  </sheetViews>
  <sheetFormatPr defaultColWidth="14.42578125" defaultRowHeight="15" customHeight="1" x14ac:dyDescent="0.2"/>
  <cols>
    <col min="1" max="1" width="24.85546875" customWidth="1"/>
    <col min="2" max="2" width="13.28515625" customWidth="1"/>
    <col min="3" max="4" width="9.85546875" customWidth="1"/>
    <col min="5" max="5" width="8.7109375" customWidth="1"/>
    <col min="6" max="6" width="9.85546875" customWidth="1"/>
    <col min="7" max="26" width="8.7109375" customWidth="1"/>
  </cols>
  <sheetData>
    <row r="1" spans="1:8" ht="13.5" customHeight="1" x14ac:dyDescent="0.25">
      <c r="A1" s="14" t="s">
        <v>18</v>
      </c>
      <c r="B1" s="12"/>
      <c r="C1" s="12"/>
      <c r="D1" s="1"/>
      <c r="E1" s="1"/>
      <c r="F1" s="1"/>
      <c r="G1" s="1"/>
      <c r="H1" s="1"/>
    </row>
    <row r="2" spans="1:8" ht="13.5" customHeight="1" x14ac:dyDescent="0.2">
      <c r="A2" s="15" t="s">
        <v>19</v>
      </c>
      <c r="B2" s="16" t="s">
        <v>20</v>
      </c>
      <c r="C2" s="17" t="s">
        <v>21</v>
      </c>
      <c r="D2" s="17" t="s">
        <v>22</v>
      </c>
      <c r="E2" s="17" t="s">
        <v>23</v>
      </c>
      <c r="G2" s="17"/>
    </row>
    <row r="3" spans="1:8" ht="13.5" customHeight="1" x14ac:dyDescent="0.2">
      <c r="A3" s="18" t="s">
        <v>24</v>
      </c>
      <c r="B3" s="19">
        <v>0.2097</v>
      </c>
      <c r="C3" s="20">
        <f>PINI!B4/2*PINI!C4+PINI!B5*PINI!C5+PINI!B12*PINI!C12</f>
        <v>22896.54</v>
      </c>
      <c r="D3" s="21">
        <f>C3/C6</f>
        <v>0.25167073064568463</v>
      </c>
      <c r="E3" s="22">
        <f t="shared" ref="E3:E5" si="0">B3*D3</f>
        <v>5.2775352216400062E-2</v>
      </c>
      <c r="G3" s="21"/>
    </row>
    <row r="4" spans="1:8" ht="13.5" customHeight="1" x14ac:dyDescent="0.2">
      <c r="A4" s="18" t="s">
        <v>25</v>
      </c>
      <c r="B4" s="19">
        <v>0.24179999999999999</v>
      </c>
      <c r="C4" s="20">
        <f>PINI!B8*PINI!C8+PINI!B9*PINI!C9+PINI!B10*PINI!C10+PINI!B11*PINI!C11+PINI!B4/2</f>
        <v>64517.450000000004</v>
      </c>
      <c r="D4" s="21">
        <f>C4/C6</f>
        <v>0.70915316379227722</v>
      </c>
      <c r="E4" s="22">
        <f t="shared" si="0"/>
        <v>0.17147323500497264</v>
      </c>
      <c r="G4" s="21"/>
    </row>
    <row r="5" spans="1:8" ht="13.5" customHeight="1" x14ac:dyDescent="0.2">
      <c r="A5" s="18" t="s">
        <v>26</v>
      </c>
      <c r="B5" s="19">
        <v>0.25840000000000002</v>
      </c>
      <c r="C5" s="20">
        <f>PINI!B13</f>
        <v>3564.17</v>
      </c>
      <c r="D5" s="21">
        <f>C5/C6</f>
        <v>3.9176105562038183E-2</v>
      </c>
      <c r="E5" s="22">
        <f t="shared" si="0"/>
        <v>1.0123105677230668E-2</v>
      </c>
      <c r="G5" s="21"/>
    </row>
    <row r="6" spans="1:8" ht="13.5" customHeight="1" x14ac:dyDescent="0.2">
      <c r="A6" s="18"/>
      <c r="B6" s="23" t="s">
        <v>27</v>
      </c>
      <c r="C6" s="20">
        <f t="shared" ref="C6:E6" si="1">SUM(C3:C5)</f>
        <v>90978.16</v>
      </c>
      <c r="D6" s="21">
        <f t="shared" si="1"/>
        <v>1</v>
      </c>
      <c r="E6" s="24">
        <f t="shared" si="1"/>
        <v>0.23437169289860338</v>
      </c>
      <c r="G6" s="21"/>
    </row>
    <row r="7" spans="1:8" ht="13.5" customHeight="1" x14ac:dyDescent="0.25">
      <c r="A7" s="1"/>
      <c r="B7" s="1"/>
      <c r="C7" s="1"/>
      <c r="D7" s="12"/>
      <c r="E7" s="12"/>
      <c r="F7" s="1"/>
      <c r="G7" s="1"/>
      <c r="H7" s="25"/>
    </row>
    <row r="8" spans="1:8" ht="13.5" customHeight="1" x14ac:dyDescent="0.25">
      <c r="A8" s="14" t="s">
        <v>28</v>
      </c>
      <c r="B8" s="1"/>
      <c r="C8" s="1"/>
      <c r="D8" s="1"/>
      <c r="E8" s="1"/>
      <c r="F8" s="1"/>
      <c r="G8" s="1"/>
      <c r="H8" s="1"/>
    </row>
    <row r="9" spans="1:8" ht="13.5" customHeight="1" x14ac:dyDescent="0.25">
      <c r="A9" s="15" t="s">
        <v>19</v>
      </c>
      <c r="B9" s="26" t="s">
        <v>29</v>
      </c>
      <c r="C9" s="26" t="s">
        <v>30</v>
      </c>
      <c r="D9" s="26" t="s">
        <v>31</v>
      </c>
      <c r="E9" s="26" t="s">
        <v>32</v>
      </c>
      <c r="F9" s="27" t="s">
        <v>21</v>
      </c>
      <c r="G9" s="27" t="s">
        <v>22</v>
      </c>
      <c r="H9" s="27" t="s">
        <v>33</v>
      </c>
    </row>
    <row r="10" spans="1:8" ht="13.5" customHeight="1" x14ac:dyDescent="0.25">
      <c r="A10" s="1" t="s">
        <v>24</v>
      </c>
      <c r="B10" s="28">
        <v>3.7999999999999999E-2</v>
      </c>
      <c r="C10" s="28">
        <v>3.2000000000000002E-3</v>
      </c>
      <c r="D10" s="28">
        <v>1.0200000000000001E-2</v>
      </c>
      <c r="E10" s="28">
        <f t="shared" ref="E10:E12" si="2">SUM(B10:D10)</f>
        <v>5.1400000000000001E-2</v>
      </c>
      <c r="F10" s="12">
        <f t="shared" ref="F10:G10" si="3">C3</f>
        <v>22896.54</v>
      </c>
      <c r="G10" s="29">
        <f t="shared" si="3"/>
        <v>0.25167073064568463</v>
      </c>
      <c r="H10" s="25">
        <f t="shared" ref="H10:H12" si="4">E10*G10</f>
        <v>1.293587555518819E-2</v>
      </c>
    </row>
    <row r="11" spans="1:8" ht="13.5" customHeight="1" x14ac:dyDescent="0.25">
      <c r="A11" s="1" t="s">
        <v>25</v>
      </c>
      <c r="B11" s="28">
        <v>3.4299999999999997E-2</v>
      </c>
      <c r="C11" s="28">
        <v>2.8E-3</v>
      </c>
      <c r="D11" s="28">
        <v>9.4000000000000004E-3</v>
      </c>
      <c r="E11" s="28">
        <f t="shared" si="2"/>
        <v>4.6499999999999993E-2</v>
      </c>
      <c r="F11" s="12">
        <f t="shared" ref="F11:G11" si="5">C4</f>
        <v>64517.450000000004</v>
      </c>
      <c r="G11" s="29">
        <f t="shared" si="5"/>
        <v>0.70915316379227722</v>
      </c>
      <c r="H11" s="25">
        <f t="shared" si="4"/>
        <v>3.2975622116340884E-2</v>
      </c>
    </row>
    <row r="12" spans="1:8" ht="13.5" customHeight="1" x14ac:dyDescent="0.25">
      <c r="A12" s="1" t="s">
        <v>26</v>
      </c>
      <c r="B12" s="28">
        <v>5.2900000000000003E-2</v>
      </c>
      <c r="C12" s="28">
        <v>2.5000000000000001E-3</v>
      </c>
      <c r="D12" s="28">
        <v>1.01E-2</v>
      </c>
      <c r="E12" s="28">
        <f t="shared" si="2"/>
        <v>6.5500000000000003E-2</v>
      </c>
      <c r="F12" s="12">
        <f t="shared" ref="F12:G12" si="6">C5</f>
        <v>3564.17</v>
      </c>
      <c r="G12" s="29">
        <f t="shared" si="6"/>
        <v>3.9176105562038183E-2</v>
      </c>
      <c r="H12" s="25">
        <f t="shared" si="4"/>
        <v>2.5660349143135012E-3</v>
      </c>
    </row>
    <row r="13" spans="1:8" ht="13.5" customHeight="1" x14ac:dyDescent="0.25">
      <c r="A13" s="1"/>
      <c r="B13" s="1"/>
      <c r="C13" s="1"/>
      <c r="D13" s="1"/>
      <c r="E13" s="1"/>
      <c r="F13" s="12">
        <f t="shared" ref="F13:H13" si="7">SUM(F10:F12)</f>
        <v>90978.16</v>
      </c>
      <c r="G13" s="29">
        <f t="shared" si="7"/>
        <v>1</v>
      </c>
      <c r="H13" s="30">
        <f t="shared" si="7"/>
        <v>4.847753258584258E-2</v>
      </c>
    </row>
    <row r="14" spans="1:8" ht="13.5" customHeight="1" x14ac:dyDescent="0.2"/>
    <row r="15" spans="1:8" ht="13.5" customHeight="1" x14ac:dyDescent="0.2">
      <c r="A15" s="31" t="s">
        <v>34</v>
      </c>
      <c r="B15" s="32">
        <v>0.06</v>
      </c>
    </row>
    <row r="16" spans="1:8" ht="13.5" customHeight="1" x14ac:dyDescent="0.2">
      <c r="A16" s="31" t="s">
        <v>35</v>
      </c>
      <c r="B16" s="56">
        <v>0.2</v>
      </c>
    </row>
    <row r="17" spans="1:4" ht="13.5" customHeight="1" x14ac:dyDescent="0.2">
      <c r="A17" s="31" t="s">
        <v>36</v>
      </c>
      <c r="B17" s="33">
        <v>6.7299999999999999E-2</v>
      </c>
      <c r="C17" s="34" t="s">
        <v>37</v>
      </c>
    </row>
    <row r="18" spans="1:4" ht="13.5" customHeight="1" x14ac:dyDescent="0.2">
      <c r="A18" s="31" t="s">
        <v>38</v>
      </c>
      <c r="B18" s="35">
        <f>H13+B15+B16+B17</f>
        <v>0.37577753258584257</v>
      </c>
      <c r="C18" s="161">
        <f>(1+B15)*(1+B17)*(1+H13)-1</f>
        <v>0.18618247476060201</v>
      </c>
      <c r="D18" s="162">
        <f>B15+B17+H13</f>
        <v>0.17577753258584258</v>
      </c>
    </row>
    <row r="19" spans="1:4" ht="13.5" customHeight="1" x14ac:dyDescent="0.2"/>
    <row r="20" spans="1:4" ht="13.5" customHeight="1" x14ac:dyDescent="0.2"/>
    <row r="21" spans="1:4" ht="13.5" customHeight="1" x14ac:dyDescent="0.2"/>
    <row r="22" spans="1:4" ht="13.5" customHeight="1" x14ac:dyDescent="0.2"/>
    <row r="23" spans="1:4" ht="13.5" customHeight="1" x14ac:dyDescent="0.2"/>
    <row r="24" spans="1:4" ht="13.5" customHeight="1" x14ac:dyDescent="0.2"/>
    <row r="25" spans="1:4" ht="13.5" customHeight="1" x14ac:dyDescent="0.2"/>
    <row r="26" spans="1:4" ht="13.5" customHeight="1" x14ac:dyDescent="0.2"/>
    <row r="27" spans="1:4" ht="13.5" customHeight="1" x14ac:dyDescent="0.2"/>
    <row r="28" spans="1:4" ht="13.5" customHeight="1" x14ac:dyDescent="0.2"/>
    <row r="29" spans="1:4" ht="13.5" customHeight="1" x14ac:dyDescent="0.2"/>
    <row r="30" spans="1:4" ht="13.5" customHeight="1" x14ac:dyDescent="0.2"/>
    <row r="31" spans="1:4" ht="13.5" customHeight="1" x14ac:dyDescent="0.2"/>
    <row r="32" spans="1:4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511811024" right="0.511811024" top="0.78740157499999996" bottom="0.78740157499999996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97"/>
  <sheetViews>
    <sheetView topLeftCell="A13" workbookViewId="0">
      <selection activeCell="C25" sqref="C25"/>
    </sheetView>
  </sheetViews>
  <sheetFormatPr defaultColWidth="14.42578125" defaultRowHeight="15" customHeight="1" x14ac:dyDescent="0.2"/>
  <cols>
    <col min="1" max="1" width="32.28515625" customWidth="1"/>
    <col min="2" max="2" width="19.42578125" customWidth="1"/>
    <col min="3" max="3" width="17.5703125" customWidth="1"/>
    <col min="4" max="4" width="17.28515625" customWidth="1"/>
    <col min="5" max="5" width="16.28515625" customWidth="1"/>
    <col min="6" max="8" width="16.7109375" customWidth="1"/>
    <col min="9" max="9" width="18.85546875" customWidth="1"/>
    <col min="10" max="31" width="16.7109375" customWidth="1"/>
    <col min="32" max="32" width="19.7109375" customWidth="1"/>
    <col min="33" max="34" width="15.5703125" customWidth="1"/>
    <col min="35" max="36" width="16" customWidth="1"/>
    <col min="37" max="56" width="15.5703125" customWidth="1"/>
  </cols>
  <sheetData>
    <row r="1" spans="1:56" ht="13.5" customHeight="1" x14ac:dyDescent="0.2">
      <c r="A1" s="36" t="s">
        <v>39</v>
      </c>
      <c r="N1" s="37"/>
      <c r="O1" s="37"/>
      <c r="P1" s="37"/>
    </row>
    <row r="2" spans="1:56" ht="13.5" customHeight="1" x14ac:dyDescent="0.2">
      <c r="A2" s="38" t="s">
        <v>40</v>
      </c>
      <c r="B2" s="39">
        <v>4792622.0599999996</v>
      </c>
      <c r="C2" s="38" t="s">
        <v>41</v>
      </c>
      <c r="D2" s="40"/>
      <c r="E2" s="40"/>
      <c r="N2" s="37"/>
      <c r="O2" s="37"/>
      <c r="P2" s="37"/>
    </row>
    <row r="3" spans="1:56" ht="13.5" customHeight="1" x14ac:dyDescent="0.2">
      <c r="A3" s="38" t="s">
        <v>42</v>
      </c>
      <c r="B3" s="39">
        <v>1155392.67</v>
      </c>
      <c r="C3" s="37">
        <f t="shared" ref="C3:C6" si="0">B3/$B$2</f>
        <v>0.24107735922744553</v>
      </c>
      <c r="D3" s="41"/>
      <c r="E3" s="42"/>
      <c r="N3" s="37"/>
      <c r="O3" s="37"/>
      <c r="P3" s="37"/>
    </row>
    <row r="4" spans="1:56" ht="13.5" customHeight="1" x14ac:dyDescent="0.2">
      <c r="A4" s="38" t="s">
        <v>43</v>
      </c>
      <c r="B4" s="39">
        <v>508985.99</v>
      </c>
      <c r="C4" s="37">
        <f t="shared" si="0"/>
        <v>0.10620198789470164</v>
      </c>
      <c r="D4" s="41"/>
      <c r="E4" s="42"/>
      <c r="N4" s="37"/>
      <c r="O4" s="37"/>
      <c r="P4" s="37"/>
    </row>
    <row r="5" spans="1:56" ht="13.5" customHeight="1" x14ac:dyDescent="0.2">
      <c r="A5" s="38" t="s">
        <v>44</v>
      </c>
      <c r="B5" s="39">
        <v>1845381.84</v>
      </c>
      <c r="C5" s="37">
        <f t="shared" si="0"/>
        <v>0.38504639358105369</v>
      </c>
      <c r="D5" s="41"/>
      <c r="E5" s="42"/>
      <c r="N5" s="37"/>
      <c r="O5" s="37"/>
      <c r="P5" s="37"/>
    </row>
    <row r="6" spans="1:56" ht="13.5" customHeight="1" x14ac:dyDescent="0.2">
      <c r="A6" s="38" t="s">
        <v>45</v>
      </c>
      <c r="B6" s="39">
        <f>B2-B3-B4-B5</f>
        <v>1282861.5599999994</v>
      </c>
      <c r="C6" s="37">
        <f t="shared" si="0"/>
        <v>0.26767425929679911</v>
      </c>
      <c r="D6" s="41"/>
      <c r="E6" s="42"/>
      <c r="N6" s="37"/>
      <c r="O6" s="37"/>
      <c r="P6" s="37"/>
    </row>
    <row r="7" spans="1:56" ht="13.5" customHeight="1" x14ac:dyDescent="0.2">
      <c r="D7" s="41"/>
      <c r="E7" s="42"/>
      <c r="N7" s="37"/>
      <c r="O7" s="37"/>
      <c r="P7" s="37"/>
    </row>
    <row r="8" spans="1:56" ht="13.5" customHeight="1" x14ac:dyDescent="0.2">
      <c r="A8" s="38" t="s">
        <v>46</v>
      </c>
      <c r="B8" s="43">
        <v>450</v>
      </c>
      <c r="C8" s="38" t="s">
        <v>41</v>
      </c>
      <c r="D8" s="34"/>
      <c r="N8" s="37"/>
      <c r="O8" s="37"/>
      <c r="P8" s="37"/>
    </row>
    <row r="9" spans="1:56" ht="13.5" customHeight="1" x14ac:dyDescent="0.2">
      <c r="A9" s="38" t="s">
        <v>47</v>
      </c>
      <c r="B9" s="39">
        <f>ROUNDDOWN(B5/B8,0)</f>
        <v>4100</v>
      </c>
      <c r="C9" s="44"/>
      <c r="D9" s="45"/>
      <c r="N9" s="37"/>
      <c r="O9" s="37"/>
      <c r="P9" s="37"/>
    </row>
    <row r="10" spans="1:56" ht="13.5" customHeight="1" x14ac:dyDescent="0.2">
      <c r="A10" s="38" t="s">
        <v>48</v>
      </c>
      <c r="B10" s="46">
        <v>600000</v>
      </c>
      <c r="C10" s="44"/>
      <c r="D10" s="45"/>
      <c r="N10" s="37"/>
      <c r="O10" s="37"/>
      <c r="P10" s="3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</row>
    <row r="11" spans="1:56" ht="13.5" customHeight="1" x14ac:dyDescent="0.2">
      <c r="A11" s="34" t="s">
        <v>49</v>
      </c>
      <c r="B11" s="47">
        <f>B10/B8</f>
        <v>1333.3333333333333</v>
      </c>
      <c r="C11" s="44"/>
      <c r="D11" s="45"/>
      <c r="N11" s="37"/>
      <c r="O11" s="37"/>
      <c r="P11" s="3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</row>
    <row r="12" spans="1:56" ht="13.5" customHeight="1" x14ac:dyDescent="0.2">
      <c r="B12" s="47"/>
      <c r="D12" s="48"/>
      <c r="E12" s="49"/>
      <c r="N12" s="37"/>
      <c r="O12" s="37"/>
      <c r="P12" s="3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</row>
    <row r="13" spans="1:56" ht="13.5" customHeight="1" x14ac:dyDescent="0.2">
      <c r="B13" s="36" t="s">
        <v>50</v>
      </c>
      <c r="C13" s="36" t="s">
        <v>51</v>
      </c>
      <c r="D13" s="36" t="s">
        <v>52</v>
      </c>
      <c r="E13" s="36" t="s">
        <v>53</v>
      </c>
      <c r="F13" s="36" t="s">
        <v>54</v>
      </c>
      <c r="G13" s="36" t="s">
        <v>55</v>
      </c>
      <c r="H13" s="36" t="s">
        <v>56</v>
      </c>
      <c r="I13" s="36" t="s">
        <v>57</v>
      </c>
      <c r="N13" s="37"/>
      <c r="O13" s="37"/>
      <c r="P13" s="37"/>
    </row>
    <row r="14" spans="1:56" ht="13.5" customHeight="1" x14ac:dyDescent="0.2">
      <c r="B14" s="34" t="s">
        <v>58</v>
      </c>
      <c r="C14" s="38" t="s">
        <v>59</v>
      </c>
      <c r="D14" s="38" t="s">
        <v>60</v>
      </c>
      <c r="E14" s="38" t="s">
        <v>41</v>
      </c>
      <c r="F14" s="38" t="s">
        <v>61</v>
      </c>
      <c r="G14" s="34" t="s">
        <v>7</v>
      </c>
      <c r="H14" s="34" t="s">
        <v>7</v>
      </c>
      <c r="I14" s="34" t="s">
        <v>7</v>
      </c>
      <c r="N14" s="37"/>
      <c r="O14" s="37"/>
      <c r="P14" s="37"/>
    </row>
    <row r="15" spans="1:56" ht="13.5" customHeight="1" x14ac:dyDescent="0.2">
      <c r="A15" s="38" t="s">
        <v>62</v>
      </c>
      <c r="B15" s="39">
        <v>1052</v>
      </c>
      <c r="C15" s="50">
        <v>21</v>
      </c>
      <c r="D15" s="51">
        <f t="shared" ref="D15:D17" si="1">ROUNDDOWN(B15/C15,0)</f>
        <v>50</v>
      </c>
      <c r="E15" s="47">
        <f t="shared" ref="E15:E17" si="2">$B$8*B15</f>
        <v>473400</v>
      </c>
      <c r="F15" s="47">
        <f>PINI!D14</f>
        <v>90978.16</v>
      </c>
      <c r="G15" s="47">
        <f t="shared" ref="G15:G17" si="3">E15*F15/1000</f>
        <v>43069060.943999998</v>
      </c>
      <c r="H15" s="47">
        <f t="shared" ref="H15:H17" si="4">B15*$B$10</f>
        <v>631200000</v>
      </c>
      <c r="I15" s="47">
        <f>H15-G15</f>
        <v>588130939.05599999</v>
      </c>
      <c r="N15" s="37"/>
      <c r="O15" s="37"/>
      <c r="P15" s="3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</row>
    <row r="16" spans="1:56" ht="13.5" customHeight="1" x14ac:dyDescent="0.2">
      <c r="A16" s="38" t="s">
        <v>63</v>
      </c>
      <c r="B16" s="39">
        <v>1344</v>
      </c>
      <c r="C16" s="50">
        <v>26.5</v>
      </c>
      <c r="D16" s="51">
        <f t="shared" si="1"/>
        <v>50</v>
      </c>
      <c r="E16" s="47">
        <f t="shared" si="2"/>
        <v>604800</v>
      </c>
      <c r="F16" s="47">
        <f>PINI!F14</f>
        <v>90978.16</v>
      </c>
      <c r="G16" s="47">
        <f>E16*F16/1000</f>
        <v>55023591.167999998</v>
      </c>
      <c r="H16" s="47">
        <f>B16*$B$10</f>
        <v>806400000</v>
      </c>
      <c r="I16" s="47">
        <f t="shared" ref="I16" si="5">H16-G16</f>
        <v>751376408.83200002</v>
      </c>
      <c r="N16" s="37"/>
      <c r="O16" s="37"/>
      <c r="P16" s="3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</row>
    <row r="17" spans="1:56" ht="13.5" customHeight="1" x14ac:dyDescent="0.2">
      <c r="A17" s="38" t="s">
        <v>64</v>
      </c>
      <c r="B17" s="39">
        <v>1704</v>
      </c>
      <c r="C17" s="50">
        <v>34</v>
      </c>
      <c r="D17" s="51">
        <f t="shared" si="1"/>
        <v>50</v>
      </c>
      <c r="E17" s="47">
        <f t="shared" si="2"/>
        <v>766800</v>
      </c>
      <c r="F17" s="47">
        <f>PINI!H14</f>
        <v>90978.16</v>
      </c>
      <c r="G17" s="47">
        <f t="shared" si="3"/>
        <v>69762053.088</v>
      </c>
      <c r="H17" s="47">
        <f t="shared" si="4"/>
        <v>1022400000</v>
      </c>
      <c r="I17" s="47">
        <f>H17-G17</f>
        <v>952637946.91199994</v>
      </c>
      <c r="N17" s="37"/>
      <c r="O17" s="37"/>
      <c r="P17" s="37"/>
    </row>
    <row r="18" spans="1:56" ht="13.5" customHeight="1" x14ac:dyDescent="0.2">
      <c r="A18" s="36" t="s">
        <v>65</v>
      </c>
      <c r="B18" s="44">
        <f t="shared" ref="B18:C18" si="6">SUM(B15:B17)</f>
        <v>4100</v>
      </c>
      <c r="C18" s="52">
        <f t="shared" si="6"/>
        <v>81.5</v>
      </c>
      <c r="D18" s="38" t="s">
        <v>66</v>
      </c>
      <c r="E18" s="53">
        <f>SUM(E15:E17)</f>
        <v>1845000</v>
      </c>
      <c r="G18" s="53">
        <f t="shared" ref="G18:I18" si="7">SUM(G15:G17)</f>
        <v>167854705.19999999</v>
      </c>
      <c r="H18" s="53">
        <f t="shared" si="7"/>
        <v>2460000000</v>
      </c>
      <c r="I18" s="53">
        <f t="shared" si="7"/>
        <v>2292145294.8000002</v>
      </c>
      <c r="N18" s="37"/>
      <c r="O18" s="37"/>
      <c r="P18" s="3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</row>
    <row r="19" spans="1:56" ht="13.5" customHeight="1" x14ac:dyDescent="0.2">
      <c r="N19" s="37"/>
      <c r="O19" s="37"/>
      <c r="P19" s="3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</row>
    <row r="20" spans="1:56" ht="13.5" customHeight="1" x14ac:dyDescent="0.2">
      <c r="A20" s="34"/>
      <c r="N20" s="37"/>
      <c r="O20" s="37"/>
      <c r="P20" s="37"/>
    </row>
    <row r="21" spans="1:56" ht="13.5" customHeight="1" x14ac:dyDescent="0.2">
      <c r="A21" s="54" t="s">
        <v>67</v>
      </c>
      <c r="N21" s="37"/>
      <c r="O21" s="37"/>
      <c r="P21" s="37"/>
    </row>
    <row r="22" spans="1:56" ht="13.5" customHeight="1" x14ac:dyDescent="0.2">
      <c r="A22" s="55" t="s">
        <v>68</v>
      </c>
      <c r="B22" s="56">
        <v>0.02</v>
      </c>
      <c r="C22" s="41">
        <f>B22*ANÁLISES!F13</f>
        <v>22151438.512126226</v>
      </c>
      <c r="D22" s="34" t="s">
        <v>69</v>
      </c>
      <c r="N22" s="37"/>
      <c r="O22" s="37"/>
      <c r="P22" s="37"/>
    </row>
    <row r="23" spans="1:56" ht="13.5" customHeight="1" x14ac:dyDescent="0.2">
      <c r="A23" s="55" t="s">
        <v>70</v>
      </c>
      <c r="B23" s="56">
        <v>0.01</v>
      </c>
      <c r="C23" s="41">
        <f>B23*ANÁLISES!F13</f>
        <v>11075719.256063113</v>
      </c>
      <c r="D23" s="34" t="s">
        <v>69</v>
      </c>
      <c r="E23" s="41">
        <f>C22+C23</f>
        <v>33227157.768189341</v>
      </c>
      <c r="N23" s="37"/>
      <c r="O23" s="37"/>
      <c r="P23" s="37"/>
    </row>
    <row r="24" spans="1:56" ht="13.5" customHeight="1" x14ac:dyDescent="0.2">
      <c r="A24" s="55" t="s">
        <v>71</v>
      </c>
      <c r="B24" s="56">
        <v>0.02</v>
      </c>
      <c r="C24" s="41">
        <f>B24*G18</f>
        <v>3357094.1039999998</v>
      </c>
      <c r="D24" s="34" t="s">
        <v>72</v>
      </c>
      <c r="N24" s="37"/>
      <c r="O24" s="37"/>
      <c r="P24" s="37"/>
    </row>
    <row r="25" spans="1:56" ht="13.5" customHeight="1" x14ac:dyDescent="0.2">
      <c r="A25" s="31" t="s">
        <v>73</v>
      </c>
      <c r="C25" s="57">
        <f>SUM(C22:C24)</f>
        <v>36584251.872189343</v>
      </c>
      <c r="N25" s="37"/>
      <c r="O25" s="37"/>
      <c r="P25" s="37"/>
    </row>
    <row r="26" spans="1:56" ht="13.5" customHeight="1" x14ac:dyDescent="0.2">
      <c r="N26" s="37"/>
      <c r="O26" s="37"/>
      <c r="P26" s="37"/>
    </row>
    <row r="27" spans="1:56" ht="13.5" customHeight="1" x14ac:dyDescent="0.2">
      <c r="A27" s="58" t="s">
        <v>74</v>
      </c>
      <c r="B27" s="59"/>
      <c r="C27" s="59"/>
      <c r="D27" s="59"/>
      <c r="E27" s="59"/>
      <c r="N27" s="37"/>
      <c r="O27" s="37"/>
      <c r="P27" s="37"/>
    </row>
    <row r="28" spans="1:56" ht="13.5" customHeight="1" x14ac:dyDescent="0.2">
      <c r="N28" s="37"/>
      <c r="O28" s="37"/>
      <c r="P28" s="37"/>
    </row>
    <row r="29" spans="1:56" ht="13.5" customHeight="1" x14ac:dyDescent="0.2">
      <c r="G29" s="60"/>
      <c r="H29" s="60"/>
      <c r="I29" s="60"/>
      <c r="J29" s="41"/>
      <c r="K29" s="41"/>
      <c r="L29" s="41"/>
      <c r="M29" s="61"/>
      <c r="N29" s="37"/>
      <c r="O29" s="37"/>
      <c r="P29" s="37"/>
      <c r="Q29" s="61"/>
      <c r="R29" s="61"/>
      <c r="S29" s="61"/>
      <c r="T29" s="61"/>
      <c r="U29" s="47"/>
      <c r="V29" s="47"/>
      <c r="X29" s="61"/>
      <c r="Y29" s="47"/>
      <c r="Z29" s="47"/>
      <c r="AA29" s="47"/>
      <c r="AB29" s="47"/>
      <c r="AC29" s="47"/>
      <c r="AE29" s="61"/>
      <c r="AF29" s="61"/>
      <c r="AG29" s="61"/>
      <c r="AI29" s="47"/>
      <c r="AJ29" s="47"/>
    </row>
    <row r="30" spans="1:56" ht="13.5" customHeight="1" x14ac:dyDescent="0.2">
      <c r="G30" s="60"/>
      <c r="H30" s="60"/>
      <c r="I30" s="60"/>
      <c r="J30" s="41"/>
      <c r="K30" s="41"/>
      <c r="L30" s="41"/>
      <c r="M30" s="61"/>
      <c r="N30" s="37"/>
      <c r="O30" s="37"/>
      <c r="P30" s="37"/>
      <c r="Q30" s="61"/>
      <c r="R30" s="61"/>
      <c r="S30" s="61"/>
      <c r="T30" s="61"/>
      <c r="U30" s="47"/>
      <c r="V30" s="47"/>
      <c r="X30" s="61"/>
      <c r="Y30" s="47"/>
      <c r="Z30" s="47"/>
      <c r="AA30" s="47"/>
      <c r="AB30" s="47"/>
      <c r="AC30" s="47"/>
      <c r="AE30" s="61"/>
      <c r="AF30" s="61"/>
      <c r="AG30" s="61"/>
      <c r="AI30" s="47"/>
      <c r="AJ30" s="47"/>
    </row>
    <row r="31" spans="1:56" ht="13.5" customHeight="1" x14ac:dyDescent="0.2">
      <c r="G31" s="60"/>
      <c r="H31" s="60"/>
      <c r="I31" s="60"/>
      <c r="J31" s="41"/>
      <c r="K31" s="41"/>
      <c r="L31" s="41"/>
      <c r="M31" s="61"/>
      <c r="N31" s="37"/>
      <c r="O31" s="37"/>
      <c r="P31" s="37"/>
      <c r="Q31" s="61"/>
      <c r="R31" s="61"/>
      <c r="S31" s="61"/>
      <c r="T31" s="61"/>
      <c r="U31" s="47"/>
      <c r="V31" s="47"/>
      <c r="X31" s="61"/>
      <c r="Y31" s="47"/>
      <c r="Z31" s="47"/>
      <c r="AA31" s="47"/>
      <c r="AB31" s="47"/>
      <c r="AC31" s="47"/>
      <c r="AE31" s="61"/>
      <c r="AF31" s="61"/>
      <c r="AG31" s="61"/>
      <c r="AI31" s="47"/>
      <c r="AJ31" s="47"/>
    </row>
    <row r="32" spans="1:56" ht="13.5" customHeight="1" x14ac:dyDescent="0.2">
      <c r="G32" s="60"/>
      <c r="H32" s="60"/>
      <c r="I32" s="60"/>
      <c r="J32" s="41"/>
      <c r="K32" s="41"/>
      <c r="L32" s="41"/>
      <c r="M32" s="61"/>
      <c r="N32" s="37"/>
      <c r="O32" s="37"/>
      <c r="P32" s="37"/>
      <c r="Q32" s="61"/>
      <c r="R32" s="61"/>
      <c r="S32" s="61"/>
      <c r="T32" s="61"/>
      <c r="U32" s="47"/>
      <c r="V32" s="47"/>
      <c r="X32" s="61"/>
      <c r="Y32" s="47"/>
      <c r="Z32" s="47"/>
      <c r="AA32" s="47"/>
      <c r="AB32" s="47"/>
      <c r="AC32" s="47"/>
      <c r="AE32" s="61"/>
      <c r="AF32" s="61"/>
      <c r="AG32" s="61"/>
      <c r="AI32" s="47"/>
      <c r="AJ32" s="47"/>
    </row>
    <row r="33" spans="7:36" ht="13.5" customHeight="1" x14ac:dyDescent="0.2">
      <c r="G33" s="60"/>
      <c r="H33" s="60"/>
      <c r="I33" s="60"/>
      <c r="J33" s="41"/>
      <c r="K33" s="41"/>
      <c r="L33" s="41"/>
      <c r="M33" s="61"/>
      <c r="N33" s="37"/>
      <c r="O33" s="37"/>
      <c r="P33" s="37"/>
      <c r="Q33" s="61"/>
      <c r="R33" s="61"/>
      <c r="S33" s="61"/>
      <c r="T33" s="61"/>
      <c r="U33" s="47"/>
      <c r="V33" s="47"/>
      <c r="X33" s="61"/>
      <c r="Y33" s="47"/>
      <c r="Z33" s="47"/>
      <c r="AA33" s="47"/>
      <c r="AB33" s="47"/>
      <c r="AC33" s="47"/>
      <c r="AE33" s="61"/>
      <c r="AF33" s="61"/>
      <c r="AG33" s="61"/>
      <c r="AI33" s="47"/>
      <c r="AJ33" s="47"/>
    </row>
    <row r="34" spans="7:36" ht="13.5" customHeight="1" x14ac:dyDescent="0.2">
      <c r="G34" s="60"/>
      <c r="H34" s="60"/>
      <c r="I34" s="60"/>
      <c r="J34" s="41"/>
      <c r="K34" s="41"/>
      <c r="L34" s="41"/>
      <c r="M34" s="61"/>
      <c r="N34" s="37"/>
      <c r="O34" s="37"/>
      <c r="P34" s="37"/>
      <c r="Q34" s="61"/>
      <c r="R34" s="61"/>
      <c r="S34" s="61"/>
      <c r="T34" s="61"/>
      <c r="U34" s="47"/>
      <c r="V34" s="47"/>
      <c r="X34" s="61"/>
      <c r="Y34" s="47"/>
      <c r="Z34" s="47"/>
      <c r="AA34" s="47"/>
      <c r="AB34" s="47"/>
      <c r="AC34" s="47"/>
      <c r="AE34" s="61"/>
      <c r="AF34" s="61"/>
      <c r="AG34" s="61"/>
      <c r="AI34" s="47"/>
      <c r="AJ34" s="47"/>
    </row>
    <row r="35" spans="7:36" ht="13.5" customHeight="1" x14ac:dyDescent="0.2">
      <c r="G35" s="60"/>
      <c r="H35" s="60"/>
      <c r="I35" s="60"/>
      <c r="J35" s="41"/>
      <c r="K35" s="41"/>
      <c r="L35" s="41"/>
      <c r="M35" s="61"/>
      <c r="N35" s="37"/>
      <c r="O35" s="37"/>
      <c r="P35" s="37"/>
      <c r="Q35" s="61"/>
      <c r="R35" s="61"/>
      <c r="S35" s="61"/>
      <c r="T35" s="61"/>
      <c r="U35" s="47"/>
      <c r="V35" s="47"/>
      <c r="X35" s="61"/>
      <c r="Y35" s="47"/>
      <c r="Z35" s="47"/>
      <c r="AA35" s="47"/>
      <c r="AB35" s="47"/>
      <c r="AC35" s="47"/>
      <c r="AE35" s="61"/>
      <c r="AF35" s="61"/>
      <c r="AG35" s="61"/>
      <c r="AI35" s="47"/>
      <c r="AJ35" s="47"/>
    </row>
    <row r="36" spans="7:36" ht="13.5" customHeight="1" x14ac:dyDescent="0.2">
      <c r="G36" s="60"/>
      <c r="H36" s="60"/>
      <c r="I36" s="60"/>
      <c r="J36" s="41"/>
      <c r="K36" s="41"/>
      <c r="L36" s="41"/>
      <c r="M36" s="61"/>
      <c r="N36" s="37"/>
      <c r="O36" s="37"/>
      <c r="P36" s="37"/>
      <c r="Q36" s="61"/>
      <c r="R36" s="61"/>
      <c r="S36" s="61"/>
      <c r="T36" s="61"/>
      <c r="U36" s="47"/>
      <c r="V36" s="47"/>
      <c r="X36" s="61"/>
      <c r="Y36" s="47"/>
      <c r="Z36" s="47"/>
      <c r="AA36" s="47"/>
      <c r="AB36" s="47"/>
      <c r="AC36" s="47"/>
      <c r="AE36" s="61"/>
      <c r="AF36" s="61"/>
      <c r="AG36" s="61"/>
      <c r="AI36" s="47"/>
      <c r="AJ36" s="47"/>
    </row>
    <row r="37" spans="7:36" ht="13.5" customHeight="1" x14ac:dyDescent="0.2">
      <c r="G37" s="60"/>
      <c r="H37" s="60"/>
      <c r="I37" s="60"/>
      <c r="J37" s="41"/>
      <c r="K37" s="41"/>
      <c r="L37" s="41"/>
      <c r="M37" s="61"/>
      <c r="N37" s="37"/>
      <c r="O37" s="37"/>
      <c r="P37" s="37"/>
      <c r="Q37" s="61"/>
      <c r="R37" s="61"/>
      <c r="S37" s="61"/>
      <c r="T37" s="61"/>
      <c r="U37" s="47"/>
      <c r="V37" s="47"/>
      <c r="X37" s="61"/>
      <c r="Y37" s="47"/>
      <c r="Z37" s="47"/>
      <c r="AA37" s="47"/>
      <c r="AB37" s="47"/>
      <c r="AC37" s="47"/>
      <c r="AE37" s="61"/>
      <c r="AF37" s="61"/>
      <c r="AG37" s="61"/>
      <c r="AI37" s="47"/>
      <c r="AJ37" s="47"/>
    </row>
    <row r="38" spans="7:36" ht="13.5" customHeight="1" x14ac:dyDescent="0.2">
      <c r="G38" s="60"/>
      <c r="H38" s="60"/>
      <c r="I38" s="60"/>
      <c r="J38" s="41"/>
      <c r="K38" s="41"/>
      <c r="L38" s="41"/>
      <c r="M38" s="61"/>
      <c r="N38" s="37"/>
      <c r="O38" s="37"/>
      <c r="P38" s="37"/>
      <c r="Q38" s="61"/>
      <c r="R38" s="61"/>
      <c r="S38" s="61"/>
      <c r="T38" s="61"/>
      <c r="U38" s="47"/>
      <c r="V38" s="47"/>
      <c r="X38" s="61"/>
      <c r="Y38" s="47"/>
      <c r="Z38" s="47"/>
      <c r="AA38" s="47"/>
      <c r="AB38" s="47"/>
      <c r="AC38" s="47"/>
      <c r="AE38" s="61"/>
      <c r="AF38" s="61"/>
      <c r="AG38" s="61"/>
      <c r="AI38" s="47"/>
      <c r="AJ38" s="47"/>
    </row>
    <row r="39" spans="7:36" ht="13.5" customHeight="1" x14ac:dyDescent="0.2">
      <c r="G39" s="60"/>
      <c r="H39" s="60"/>
      <c r="I39" s="60"/>
      <c r="J39" s="41"/>
      <c r="K39" s="41"/>
      <c r="L39" s="41"/>
      <c r="M39" s="61"/>
      <c r="N39" s="37"/>
      <c r="O39" s="37"/>
      <c r="P39" s="37"/>
      <c r="Q39" s="61"/>
      <c r="R39" s="61"/>
      <c r="S39" s="61"/>
      <c r="T39" s="61"/>
      <c r="U39" s="47"/>
      <c r="V39" s="47"/>
      <c r="X39" s="61"/>
      <c r="Y39" s="47"/>
      <c r="Z39" s="47"/>
      <c r="AA39" s="47"/>
      <c r="AB39" s="47"/>
      <c r="AC39" s="47"/>
      <c r="AE39" s="61"/>
      <c r="AF39" s="61"/>
      <c r="AG39" s="61"/>
      <c r="AI39" s="47"/>
      <c r="AJ39" s="47"/>
    </row>
    <row r="40" spans="7:36" ht="13.5" customHeight="1" x14ac:dyDescent="0.2">
      <c r="G40" s="60"/>
      <c r="H40" s="60"/>
      <c r="I40" s="60"/>
      <c r="J40" s="41"/>
      <c r="K40" s="41"/>
      <c r="L40" s="41"/>
      <c r="M40" s="61"/>
      <c r="N40" s="37"/>
      <c r="O40" s="37"/>
      <c r="P40" s="37"/>
      <c r="Q40" s="61"/>
      <c r="R40" s="61"/>
      <c r="S40" s="61"/>
      <c r="T40" s="61"/>
      <c r="U40" s="47"/>
      <c r="V40" s="47"/>
      <c r="X40" s="61"/>
      <c r="Y40" s="47"/>
      <c r="Z40" s="47"/>
      <c r="AA40" s="47"/>
      <c r="AB40" s="47"/>
      <c r="AC40" s="47"/>
      <c r="AE40" s="61"/>
      <c r="AF40" s="61"/>
      <c r="AG40" s="61"/>
      <c r="AI40" s="47">
        <f>AG40-AH40</f>
        <v>0</v>
      </c>
      <c r="AJ40" s="47">
        <f>AJ39+AI40</f>
        <v>0</v>
      </c>
    </row>
    <row r="41" spans="7:36" ht="13.5" customHeight="1" x14ac:dyDescent="0.2">
      <c r="N41" s="37"/>
      <c r="O41" s="37"/>
      <c r="P41" s="37"/>
    </row>
    <row r="42" spans="7:36" ht="13.5" customHeight="1" x14ac:dyDescent="0.2">
      <c r="N42" s="37"/>
      <c r="O42" s="37"/>
      <c r="P42" s="37"/>
    </row>
    <row r="43" spans="7:36" ht="13.5" customHeight="1" x14ac:dyDescent="0.2">
      <c r="N43" s="37"/>
      <c r="O43" s="37"/>
      <c r="P43" s="37"/>
    </row>
    <row r="44" spans="7:36" ht="13.5" customHeight="1" x14ac:dyDescent="0.2">
      <c r="N44" s="37"/>
      <c r="O44" s="37"/>
      <c r="P44" s="37"/>
      <c r="AF44" s="40"/>
      <c r="AG44" s="37"/>
    </row>
    <row r="45" spans="7:36" ht="13.5" customHeight="1" x14ac:dyDescent="0.2">
      <c r="N45" s="37"/>
      <c r="O45" s="37"/>
      <c r="P45" s="37"/>
    </row>
    <row r="46" spans="7:36" ht="13.5" customHeight="1" x14ac:dyDescent="0.2">
      <c r="N46" s="37"/>
      <c r="O46" s="37"/>
      <c r="P46" s="37"/>
    </row>
    <row r="47" spans="7:36" ht="13.5" customHeight="1" x14ac:dyDescent="0.2">
      <c r="N47" s="37"/>
      <c r="O47" s="37"/>
      <c r="P47" s="37"/>
    </row>
    <row r="48" spans="7:36" ht="13.5" customHeight="1" x14ac:dyDescent="0.2">
      <c r="N48" s="37"/>
      <c r="O48" s="37"/>
      <c r="P48" s="37"/>
    </row>
    <row r="49" spans="14:16" ht="13.5" customHeight="1" x14ac:dyDescent="0.2">
      <c r="N49" s="37"/>
      <c r="O49" s="37"/>
      <c r="P49" s="37"/>
    </row>
    <row r="50" spans="14:16" ht="13.5" customHeight="1" x14ac:dyDescent="0.2">
      <c r="N50" s="37"/>
      <c r="O50" s="37"/>
      <c r="P50" s="37"/>
    </row>
    <row r="51" spans="14:16" ht="13.5" customHeight="1" x14ac:dyDescent="0.2">
      <c r="N51" s="37"/>
      <c r="O51" s="37"/>
      <c r="P51" s="37"/>
    </row>
    <row r="52" spans="14:16" ht="13.5" customHeight="1" x14ac:dyDescent="0.2">
      <c r="N52" s="37"/>
      <c r="O52" s="37"/>
      <c r="P52" s="37"/>
    </row>
    <row r="53" spans="14:16" ht="13.5" customHeight="1" x14ac:dyDescent="0.2">
      <c r="N53" s="37"/>
      <c r="O53" s="37"/>
      <c r="P53" s="37"/>
    </row>
    <row r="54" spans="14:16" ht="13.5" customHeight="1" x14ac:dyDescent="0.2">
      <c r="N54" s="37"/>
      <c r="O54" s="37"/>
      <c r="P54" s="37"/>
    </row>
    <row r="55" spans="14:16" ht="13.5" customHeight="1" x14ac:dyDescent="0.2">
      <c r="N55" s="37"/>
      <c r="O55" s="37"/>
      <c r="P55" s="37"/>
    </row>
    <row r="56" spans="14:16" ht="13.5" customHeight="1" x14ac:dyDescent="0.2">
      <c r="N56" s="37"/>
      <c r="O56" s="37"/>
      <c r="P56" s="37"/>
    </row>
    <row r="57" spans="14:16" ht="13.5" customHeight="1" x14ac:dyDescent="0.2">
      <c r="N57" s="37"/>
      <c r="O57" s="37"/>
      <c r="P57" s="37"/>
    </row>
    <row r="58" spans="14:16" ht="13.5" customHeight="1" x14ac:dyDescent="0.2">
      <c r="N58" s="37"/>
      <c r="O58" s="37"/>
      <c r="P58" s="37"/>
    </row>
    <row r="59" spans="14:16" ht="13.5" customHeight="1" x14ac:dyDescent="0.2">
      <c r="N59" s="37"/>
      <c r="O59" s="37"/>
      <c r="P59" s="37"/>
    </row>
    <row r="60" spans="14:16" ht="13.5" customHeight="1" x14ac:dyDescent="0.2">
      <c r="N60" s="37"/>
      <c r="O60" s="37"/>
      <c r="P60" s="37"/>
    </row>
    <row r="61" spans="14:16" ht="13.5" customHeight="1" x14ac:dyDescent="0.2">
      <c r="N61" s="37"/>
      <c r="O61" s="37"/>
      <c r="P61" s="37"/>
    </row>
    <row r="62" spans="14:16" ht="13.5" customHeight="1" x14ac:dyDescent="0.2">
      <c r="N62" s="37"/>
      <c r="O62" s="37"/>
      <c r="P62" s="37"/>
    </row>
    <row r="63" spans="14:16" ht="13.5" customHeight="1" x14ac:dyDescent="0.2">
      <c r="N63" s="37"/>
      <c r="O63" s="37"/>
      <c r="P63" s="37"/>
    </row>
    <row r="64" spans="14:16" ht="13.5" customHeight="1" x14ac:dyDescent="0.2">
      <c r="N64" s="37"/>
      <c r="O64" s="37"/>
      <c r="P64" s="37"/>
    </row>
    <row r="65" spans="14:16" ht="13.5" customHeight="1" x14ac:dyDescent="0.2">
      <c r="N65" s="37"/>
      <c r="O65" s="37"/>
      <c r="P65" s="37"/>
    </row>
    <row r="66" spans="14:16" ht="13.5" customHeight="1" x14ac:dyDescent="0.2">
      <c r="N66" s="37"/>
      <c r="O66" s="37"/>
      <c r="P66" s="37"/>
    </row>
    <row r="67" spans="14:16" ht="13.5" customHeight="1" x14ac:dyDescent="0.2">
      <c r="N67" s="37"/>
      <c r="O67" s="37"/>
      <c r="P67" s="37"/>
    </row>
    <row r="68" spans="14:16" ht="13.5" customHeight="1" x14ac:dyDescent="0.2">
      <c r="N68" s="37"/>
      <c r="O68" s="37"/>
      <c r="P68" s="37"/>
    </row>
    <row r="69" spans="14:16" ht="13.5" customHeight="1" x14ac:dyDescent="0.2">
      <c r="N69" s="37"/>
      <c r="O69" s="37"/>
      <c r="P69" s="37"/>
    </row>
    <row r="70" spans="14:16" ht="13.5" customHeight="1" x14ac:dyDescent="0.2">
      <c r="N70" s="37"/>
      <c r="O70" s="37"/>
      <c r="P70" s="37"/>
    </row>
    <row r="71" spans="14:16" ht="13.5" customHeight="1" x14ac:dyDescent="0.2">
      <c r="N71" s="37"/>
      <c r="O71" s="37"/>
      <c r="P71" s="37"/>
    </row>
    <row r="72" spans="14:16" ht="13.5" customHeight="1" x14ac:dyDescent="0.2">
      <c r="N72" s="37"/>
      <c r="O72" s="37"/>
      <c r="P72" s="37"/>
    </row>
    <row r="73" spans="14:16" ht="13.5" customHeight="1" x14ac:dyDescent="0.2">
      <c r="N73" s="37"/>
      <c r="O73" s="37"/>
      <c r="P73" s="37"/>
    </row>
    <row r="74" spans="14:16" ht="13.5" customHeight="1" x14ac:dyDescent="0.2">
      <c r="N74" s="37"/>
      <c r="O74" s="37"/>
      <c r="P74" s="37"/>
    </row>
    <row r="75" spans="14:16" ht="13.5" customHeight="1" x14ac:dyDescent="0.2">
      <c r="N75" s="37"/>
      <c r="O75" s="37"/>
      <c r="P75" s="37"/>
    </row>
    <row r="76" spans="14:16" ht="13.5" customHeight="1" x14ac:dyDescent="0.2">
      <c r="N76" s="37"/>
      <c r="O76" s="37"/>
      <c r="P76" s="37"/>
    </row>
    <row r="77" spans="14:16" ht="13.5" customHeight="1" x14ac:dyDescent="0.2">
      <c r="N77" s="37"/>
      <c r="O77" s="37"/>
      <c r="P77" s="37"/>
    </row>
    <row r="78" spans="14:16" ht="13.5" customHeight="1" x14ac:dyDescent="0.2">
      <c r="N78" s="37"/>
      <c r="O78" s="37"/>
      <c r="P78" s="37"/>
    </row>
    <row r="79" spans="14:16" ht="13.5" customHeight="1" x14ac:dyDescent="0.2">
      <c r="N79" s="37"/>
      <c r="O79" s="37"/>
      <c r="P79" s="37"/>
    </row>
    <row r="80" spans="14:16" ht="13.5" customHeight="1" x14ac:dyDescent="0.2">
      <c r="N80" s="37"/>
      <c r="O80" s="37"/>
      <c r="P80" s="37"/>
    </row>
    <row r="81" spans="14:16" ht="13.5" customHeight="1" x14ac:dyDescent="0.2">
      <c r="N81" s="37"/>
      <c r="O81" s="37"/>
      <c r="P81" s="37"/>
    </row>
    <row r="82" spans="14:16" ht="13.5" customHeight="1" x14ac:dyDescent="0.2">
      <c r="N82" s="37"/>
      <c r="O82" s="37"/>
      <c r="P82" s="37"/>
    </row>
    <row r="83" spans="14:16" ht="13.5" customHeight="1" x14ac:dyDescent="0.2">
      <c r="N83" s="37"/>
      <c r="O83" s="37"/>
      <c r="P83" s="37"/>
    </row>
    <row r="84" spans="14:16" ht="13.5" customHeight="1" x14ac:dyDescent="0.2">
      <c r="N84" s="37"/>
      <c r="O84" s="37"/>
      <c r="P84" s="37"/>
    </row>
    <row r="85" spans="14:16" ht="13.5" customHeight="1" x14ac:dyDescent="0.2">
      <c r="N85" s="37"/>
      <c r="O85" s="37"/>
      <c r="P85" s="37"/>
    </row>
    <row r="86" spans="14:16" ht="13.5" customHeight="1" x14ac:dyDescent="0.2">
      <c r="N86" s="37"/>
      <c r="O86" s="37"/>
      <c r="P86" s="37"/>
    </row>
    <row r="87" spans="14:16" ht="13.5" customHeight="1" x14ac:dyDescent="0.2">
      <c r="N87" s="37"/>
      <c r="O87" s="37"/>
      <c r="P87" s="37"/>
    </row>
    <row r="88" spans="14:16" ht="13.5" customHeight="1" x14ac:dyDescent="0.2">
      <c r="N88" s="37"/>
      <c r="O88" s="37"/>
      <c r="P88" s="37"/>
    </row>
    <row r="89" spans="14:16" ht="13.5" customHeight="1" x14ac:dyDescent="0.2">
      <c r="N89" s="37"/>
      <c r="O89" s="37"/>
      <c r="P89" s="37"/>
    </row>
    <row r="90" spans="14:16" ht="13.5" customHeight="1" x14ac:dyDescent="0.2">
      <c r="N90" s="37"/>
      <c r="O90" s="37"/>
      <c r="P90" s="37"/>
    </row>
    <row r="91" spans="14:16" ht="13.5" customHeight="1" x14ac:dyDescent="0.2">
      <c r="N91" s="37"/>
      <c r="O91" s="37"/>
      <c r="P91" s="37"/>
    </row>
    <row r="92" spans="14:16" ht="13.5" customHeight="1" x14ac:dyDescent="0.2">
      <c r="N92" s="37"/>
      <c r="O92" s="37"/>
      <c r="P92" s="37"/>
    </row>
    <row r="93" spans="14:16" ht="13.5" customHeight="1" x14ac:dyDescent="0.2">
      <c r="N93" s="37"/>
      <c r="O93" s="37"/>
      <c r="P93" s="37"/>
    </row>
    <row r="94" spans="14:16" ht="13.5" customHeight="1" x14ac:dyDescent="0.2">
      <c r="N94" s="37"/>
      <c r="O94" s="37"/>
      <c r="P94" s="37"/>
    </row>
    <row r="95" spans="14:16" ht="13.5" customHeight="1" x14ac:dyDescent="0.2">
      <c r="N95" s="37"/>
      <c r="O95" s="37"/>
      <c r="P95" s="37"/>
    </row>
    <row r="96" spans="14:16" ht="13.5" customHeight="1" x14ac:dyDescent="0.2">
      <c r="N96" s="37"/>
      <c r="O96" s="37"/>
      <c r="P96" s="37"/>
    </row>
    <row r="97" spans="14:16" ht="13.5" customHeight="1" x14ac:dyDescent="0.2">
      <c r="N97" s="37"/>
      <c r="O97" s="37"/>
      <c r="P97" s="37"/>
    </row>
    <row r="98" spans="14:16" ht="13.5" customHeight="1" x14ac:dyDescent="0.2">
      <c r="N98" s="37"/>
      <c r="O98" s="37"/>
      <c r="P98" s="37"/>
    </row>
    <row r="99" spans="14:16" ht="13.5" customHeight="1" x14ac:dyDescent="0.2">
      <c r="N99" s="37"/>
      <c r="O99" s="37"/>
      <c r="P99" s="37"/>
    </row>
    <row r="100" spans="14:16" ht="13.5" customHeight="1" x14ac:dyDescent="0.2">
      <c r="N100" s="37"/>
      <c r="O100" s="37"/>
      <c r="P100" s="37"/>
    </row>
    <row r="101" spans="14:16" ht="13.5" customHeight="1" x14ac:dyDescent="0.2">
      <c r="N101" s="37"/>
      <c r="O101" s="37"/>
      <c r="P101" s="37"/>
    </row>
    <row r="102" spans="14:16" ht="13.5" customHeight="1" x14ac:dyDescent="0.2">
      <c r="N102" s="37"/>
      <c r="O102" s="37"/>
      <c r="P102" s="37"/>
    </row>
    <row r="103" spans="14:16" ht="13.5" customHeight="1" x14ac:dyDescent="0.2">
      <c r="N103" s="37"/>
      <c r="O103" s="37"/>
      <c r="P103" s="37"/>
    </row>
    <row r="104" spans="14:16" ht="13.5" customHeight="1" x14ac:dyDescent="0.2">
      <c r="N104" s="37"/>
      <c r="O104" s="37"/>
      <c r="P104" s="37"/>
    </row>
    <row r="105" spans="14:16" ht="13.5" customHeight="1" x14ac:dyDescent="0.2">
      <c r="N105" s="37"/>
      <c r="O105" s="37"/>
      <c r="P105" s="37"/>
    </row>
    <row r="106" spans="14:16" ht="13.5" customHeight="1" x14ac:dyDescent="0.2">
      <c r="N106" s="37"/>
      <c r="O106" s="37"/>
      <c r="P106" s="37"/>
    </row>
    <row r="107" spans="14:16" ht="13.5" customHeight="1" x14ac:dyDescent="0.2">
      <c r="N107" s="37"/>
      <c r="O107" s="37"/>
      <c r="P107" s="37"/>
    </row>
    <row r="108" spans="14:16" ht="13.5" customHeight="1" x14ac:dyDescent="0.2">
      <c r="N108" s="37"/>
      <c r="O108" s="37"/>
      <c r="P108" s="37"/>
    </row>
    <row r="109" spans="14:16" ht="13.5" customHeight="1" x14ac:dyDescent="0.2">
      <c r="N109" s="37"/>
      <c r="O109" s="37"/>
      <c r="P109" s="37"/>
    </row>
    <row r="110" spans="14:16" ht="13.5" customHeight="1" x14ac:dyDescent="0.2">
      <c r="N110" s="37"/>
      <c r="O110" s="37"/>
      <c r="P110" s="37"/>
    </row>
    <row r="111" spans="14:16" ht="13.5" customHeight="1" x14ac:dyDescent="0.2">
      <c r="N111" s="37"/>
      <c r="O111" s="37"/>
      <c r="P111" s="37"/>
    </row>
    <row r="112" spans="14:16" ht="13.5" customHeight="1" x14ac:dyDescent="0.2">
      <c r="N112" s="37"/>
      <c r="O112" s="37"/>
      <c r="P112" s="37"/>
    </row>
    <row r="113" spans="14:16" ht="13.5" customHeight="1" x14ac:dyDescent="0.2">
      <c r="N113" s="37"/>
      <c r="O113" s="37"/>
      <c r="P113" s="37"/>
    </row>
    <row r="114" spans="14:16" ht="13.5" customHeight="1" x14ac:dyDescent="0.2">
      <c r="N114" s="37"/>
      <c r="O114" s="37"/>
      <c r="P114" s="37"/>
    </row>
    <row r="115" spans="14:16" ht="13.5" customHeight="1" x14ac:dyDescent="0.2">
      <c r="N115" s="37"/>
      <c r="O115" s="37"/>
      <c r="P115" s="37"/>
    </row>
    <row r="116" spans="14:16" ht="13.5" customHeight="1" x14ac:dyDescent="0.2">
      <c r="N116" s="37"/>
      <c r="O116" s="37"/>
      <c r="P116" s="37"/>
    </row>
    <row r="117" spans="14:16" ht="13.5" customHeight="1" x14ac:dyDescent="0.2">
      <c r="N117" s="37"/>
      <c r="O117" s="37"/>
      <c r="P117" s="37"/>
    </row>
    <row r="118" spans="14:16" ht="13.5" customHeight="1" x14ac:dyDescent="0.2">
      <c r="N118" s="37"/>
      <c r="O118" s="37"/>
      <c r="P118" s="37"/>
    </row>
    <row r="119" spans="14:16" ht="13.5" customHeight="1" x14ac:dyDescent="0.2">
      <c r="N119" s="37"/>
      <c r="O119" s="37"/>
      <c r="P119" s="37"/>
    </row>
    <row r="120" spans="14:16" ht="13.5" customHeight="1" x14ac:dyDescent="0.2">
      <c r="N120" s="37"/>
      <c r="O120" s="37"/>
      <c r="P120" s="37"/>
    </row>
    <row r="121" spans="14:16" ht="13.5" customHeight="1" x14ac:dyDescent="0.2">
      <c r="N121" s="37"/>
      <c r="O121" s="37"/>
      <c r="P121" s="37"/>
    </row>
    <row r="122" spans="14:16" ht="13.5" customHeight="1" x14ac:dyDescent="0.2">
      <c r="N122" s="37"/>
      <c r="O122" s="37"/>
      <c r="P122" s="37"/>
    </row>
    <row r="123" spans="14:16" ht="13.5" customHeight="1" x14ac:dyDescent="0.2">
      <c r="N123" s="37"/>
      <c r="O123" s="37"/>
      <c r="P123" s="37"/>
    </row>
    <row r="124" spans="14:16" ht="13.5" customHeight="1" x14ac:dyDescent="0.2">
      <c r="N124" s="37"/>
      <c r="O124" s="37"/>
      <c r="P124" s="37"/>
    </row>
    <row r="125" spans="14:16" ht="13.5" customHeight="1" x14ac:dyDescent="0.2">
      <c r="N125" s="37"/>
      <c r="O125" s="37"/>
      <c r="P125" s="37"/>
    </row>
    <row r="126" spans="14:16" ht="13.5" customHeight="1" x14ac:dyDescent="0.2">
      <c r="N126" s="37"/>
      <c r="O126" s="37"/>
      <c r="P126" s="37"/>
    </row>
    <row r="127" spans="14:16" ht="13.5" customHeight="1" x14ac:dyDescent="0.2">
      <c r="N127" s="37"/>
      <c r="O127" s="37"/>
      <c r="P127" s="37"/>
    </row>
    <row r="128" spans="14:16" ht="13.5" customHeight="1" x14ac:dyDescent="0.2">
      <c r="N128" s="37"/>
      <c r="O128" s="37"/>
      <c r="P128" s="37"/>
    </row>
    <row r="129" spans="14:16" ht="13.5" customHeight="1" x14ac:dyDescent="0.2">
      <c r="N129" s="37"/>
      <c r="O129" s="37"/>
      <c r="P129" s="37"/>
    </row>
    <row r="130" spans="14:16" ht="13.5" customHeight="1" x14ac:dyDescent="0.2">
      <c r="N130" s="37"/>
      <c r="O130" s="37"/>
      <c r="P130" s="37"/>
    </row>
    <row r="131" spans="14:16" ht="13.5" customHeight="1" x14ac:dyDescent="0.2">
      <c r="N131" s="37"/>
      <c r="O131" s="37"/>
      <c r="P131" s="37"/>
    </row>
    <row r="132" spans="14:16" ht="13.5" customHeight="1" x14ac:dyDescent="0.2">
      <c r="N132" s="37"/>
      <c r="O132" s="37"/>
      <c r="P132" s="37"/>
    </row>
    <row r="133" spans="14:16" ht="13.5" customHeight="1" x14ac:dyDescent="0.2">
      <c r="N133" s="37"/>
      <c r="O133" s="37"/>
      <c r="P133" s="37"/>
    </row>
    <row r="134" spans="14:16" ht="13.5" customHeight="1" x14ac:dyDescent="0.2">
      <c r="N134" s="37"/>
      <c r="O134" s="37"/>
      <c r="P134" s="37"/>
    </row>
    <row r="135" spans="14:16" ht="13.5" customHeight="1" x14ac:dyDescent="0.2">
      <c r="N135" s="37"/>
      <c r="O135" s="37"/>
      <c r="P135" s="37"/>
    </row>
    <row r="136" spans="14:16" ht="13.5" customHeight="1" x14ac:dyDescent="0.2">
      <c r="N136" s="37"/>
      <c r="O136" s="37"/>
      <c r="P136" s="37"/>
    </row>
    <row r="137" spans="14:16" ht="13.5" customHeight="1" x14ac:dyDescent="0.2">
      <c r="N137" s="37"/>
      <c r="O137" s="37"/>
      <c r="P137" s="37"/>
    </row>
    <row r="138" spans="14:16" ht="13.5" customHeight="1" x14ac:dyDescent="0.2">
      <c r="N138" s="37"/>
      <c r="O138" s="37"/>
      <c r="P138" s="37"/>
    </row>
    <row r="139" spans="14:16" ht="13.5" customHeight="1" x14ac:dyDescent="0.2">
      <c r="N139" s="37"/>
      <c r="O139" s="37"/>
      <c r="P139" s="37"/>
    </row>
    <row r="140" spans="14:16" ht="13.5" customHeight="1" x14ac:dyDescent="0.2">
      <c r="N140" s="37"/>
      <c r="O140" s="37"/>
      <c r="P140" s="37"/>
    </row>
    <row r="141" spans="14:16" ht="13.5" customHeight="1" x14ac:dyDescent="0.2">
      <c r="N141" s="37"/>
      <c r="O141" s="37"/>
      <c r="P141" s="37"/>
    </row>
    <row r="142" spans="14:16" ht="13.5" customHeight="1" x14ac:dyDescent="0.2">
      <c r="N142" s="37"/>
      <c r="O142" s="37"/>
      <c r="P142" s="37"/>
    </row>
    <row r="143" spans="14:16" ht="13.5" customHeight="1" x14ac:dyDescent="0.2">
      <c r="N143" s="37"/>
      <c r="O143" s="37"/>
      <c r="P143" s="37"/>
    </row>
    <row r="144" spans="14:16" ht="13.5" customHeight="1" x14ac:dyDescent="0.2">
      <c r="N144" s="37"/>
      <c r="O144" s="37"/>
      <c r="P144" s="37"/>
    </row>
    <row r="145" spans="14:16" ht="13.5" customHeight="1" x14ac:dyDescent="0.2">
      <c r="N145" s="37"/>
      <c r="O145" s="37"/>
      <c r="P145" s="37"/>
    </row>
    <row r="146" spans="14:16" ht="13.5" customHeight="1" x14ac:dyDescent="0.2">
      <c r="N146" s="37"/>
      <c r="O146" s="37"/>
      <c r="P146" s="37"/>
    </row>
    <row r="147" spans="14:16" ht="13.5" customHeight="1" x14ac:dyDescent="0.2">
      <c r="N147" s="37"/>
      <c r="O147" s="37"/>
      <c r="P147" s="37"/>
    </row>
    <row r="148" spans="14:16" ht="13.5" customHeight="1" x14ac:dyDescent="0.2">
      <c r="N148" s="37"/>
      <c r="O148" s="37"/>
      <c r="P148" s="37"/>
    </row>
    <row r="149" spans="14:16" ht="13.5" customHeight="1" x14ac:dyDescent="0.2">
      <c r="N149" s="37"/>
      <c r="O149" s="37"/>
      <c r="P149" s="37"/>
    </row>
    <row r="150" spans="14:16" ht="13.5" customHeight="1" x14ac:dyDescent="0.2">
      <c r="N150" s="37"/>
      <c r="O150" s="37"/>
      <c r="P150" s="37"/>
    </row>
    <row r="151" spans="14:16" ht="13.5" customHeight="1" x14ac:dyDescent="0.2">
      <c r="N151" s="37"/>
      <c r="O151" s="37"/>
      <c r="P151" s="37"/>
    </row>
    <row r="152" spans="14:16" ht="13.5" customHeight="1" x14ac:dyDescent="0.2">
      <c r="N152" s="37"/>
      <c r="O152" s="37"/>
      <c r="P152" s="37"/>
    </row>
    <row r="153" spans="14:16" ht="13.5" customHeight="1" x14ac:dyDescent="0.2">
      <c r="N153" s="37"/>
      <c r="O153" s="37"/>
      <c r="P153" s="37"/>
    </row>
    <row r="154" spans="14:16" ht="13.5" customHeight="1" x14ac:dyDescent="0.2">
      <c r="N154" s="37"/>
      <c r="O154" s="37"/>
      <c r="P154" s="37"/>
    </row>
    <row r="155" spans="14:16" ht="13.5" customHeight="1" x14ac:dyDescent="0.2">
      <c r="N155" s="37"/>
      <c r="O155" s="37"/>
      <c r="P155" s="37"/>
    </row>
    <row r="156" spans="14:16" ht="13.5" customHeight="1" x14ac:dyDescent="0.2">
      <c r="N156" s="37"/>
      <c r="O156" s="37"/>
      <c r="P156" s="37"/>
    </row>
    <row r="157" spans="14:16" ht="13.5" customHeight="1" x14ac:dyDescent="0.2">
      <c r="N157" s="37"/>
      <c r="O157" s="37"/>
      <c r="P157" s="37"/>
    </row>
    <row r="158" spans="14:16" ht="13.5" customHeight="1" x14ac:dyDescent="0.2">
      <c r="N158" s="37"/>
      <c r="O158" s="37"/>
      <c r="P158" s="37"/>
    </row>
    <row r="159" spans="14:16" ht="13.5" customHeight="1" x14ac:dyDescent="0.2">
      <c r="N159" s="37"/>
      <c r="O159" s="37"/>
      <c r="P159" s="37"/>
    </row>
    <row r="160" spans="14:16" ht="13.5" customHeight="1" x14ac:dyDescent="0.2">
      <c r="N160" s="37"/>
      <c r="O160" s="37"/>
      <c r="P160" s="37"/>
    </row>
    <row r="161" spans="14:16" ht="13.5" customHeight="1" x14ac:dyDescent="0.2">
      <c r="N161" s="37"/>
      <c r="O161" s="37"/>
      <c r="P161" s="37"/>
    </row>
    <row r="162" spans="14:16" ht="13.5" customHeight="1" x14ac:dyDescent="0.2">
      <c r="N162" s="37"/>
      <c r="O162" s="37"/>
      <c r="P162" s="37"/>
    </row>
    <row r="163" spans="14:16" ht="13.5" customHeight="1" x14ac:dyDescent="0.2">
      <c r="N163" s="37"/>
      <c r="O163" s="37"/>
      <c r="P163" s="37"/>
    </row>
    <row r="164" spans="14:16" ht="13.5" customHeight="1" x14ac:dyDescent="0.2">
      <c r="N164" s="37"/>
      <c r="O164" s="37"/>
      <c r="P164" s="37"/>
    </row>
    <row r="165" spans="14:16" ht="13.5" customHeight="1" x14ac:dyDescent="0.2">
      <c r="N165" s="37"/>
      <c r="O165" s="37"/>
      <c r="P165" s="37"/>
    </row>
    <row r="166" spans="14:16" ht="13.5" customHeight="1" x14ac:dyDescent="0.2">
      <c r="N166" s="37"/>
      <c r="O166" s="37"/>
      <c r="P166" s="37"/>
    </row>
    <row r="167" spans="14:16" ht="13.5" customHeight="1" x14ac:dyDescent="0.2">
      <c r="N167" s="37"/>
      <c r="O167" s="37"/>
      <c r="P167" s="37"/>
    </row>
    <row r="168" spans="14:16" ht="13.5" customHeight="1" x14ac:dyDescent="0.2">
      <c r="N168" s="37"/>
      <c r="O168" s="37"/>
      <c r="P168" s="37"/>
    </row>
    <row r="169" spans="14:16" ht="13.5" customHeight="1" x14ac:dyDescent="0.2">
      <c r="N169" s="37"/>
      <c r="O169" s="37"/>
      <c r="P169" s="37"/>
    </row>
    <row r="170" spans="14:16" ht="13.5" customHeight="1" x14ac:dyDescent="0.2">
      <c r="N170" s="37"/>
      <c r="O170" s="37"/>
      <c r="P170" s="37"/>
    </row>
    <row r="171" spans="14:16" ht="13.5" customHeight="1" x14ac:dyDescent="0.2">
      <c r="N171" s="37"/>
      <c r="O171" s="37"/>
      <c r="P171" s="37"/>
    </row>
    <row r="172" spans="14:16" ht="13.5" customHeight="1" x14ac:dyDescent="0.2">
      <c r="N172" s="37"/>
      <c r="O172" s="37"/>
      <c r="P172" s="37"/>
    </row>
    <row r="173" spans="14:16" ht="13.5" customHeight="1" x14ac:dyDescent="0.2">
      <c r="N173" s="37"/>
      <c r="O173" s="37"/>
      <c r="P173" s="37"/>
    </row>
    <row r="174" spans="14:16" ht="13.5" customHeight="1" x14ac:dyDescent="0.2">
      <c r="N174" s="37"/>
      <c r="O174" s="37"/>
      <c r="P174" s="37"/>
    </row>
    <row r="175" spans="14:16" ht="13.5" customHeight="1" x14ac:dyDescent="0.2">
      <c r="N175" s="37"/>
      <c r="O175" s="37"/>
      <c r="P175" s="37"/>
    </row>
    <row r="176" spans="14:16" ht="13.5" customHeight="1" x14ac:dyDescent="0.2">
      <c r="N176" s="37"/>
      <c r="O176" s="37"/>
      <c r="P176" s="37"/>
    </row>
    <row r="177" spans="14:16" ht="13.5" customHeight="1" x14ac:dyDescent="0.2">
      <c r="N177" s="37"/>
      <c r="O177" s="37"/>
      <c r="P177" s="37"/>
    </row>
    <row r="178" spans="14:16" ht="13.5" customHeight="1" x14ac:dyDescent="0.2">
      <c r="N178" s="37"/>
      <c r="O178" s="37"/>
      <c r="P178" s="37"/>
    </row>
    <row r="179" spans="14:16" ht="13.5" customHeight="1" x14ac:dyDescent="0.2">
      <c r="N179" s="37"/>
      <c r="O179" s="37"/>
      <c r="P179" s="37"/>
    </row>
    <row r="180" spans="14:16" ht="13.5" customHeight="1" x14ac:dyDescent="0.2">
      <c r="N180" s="37"/>
      <c r="O180" s="37"/>
      <c r="P180" s="37"/>
    </row>
    <row r="181" spans="14:16" ht="13.5" customHeight="1" x14ac:dyDescent="0.2">
      <c r="N181" s="37"/>
      <c r="O181" s="37"/>
      <c r="P181" s="37"/>
    </row>
    <row r="182" spans="14:16" ht="13.5" customHeight="1" x14ac:dyDescent="0.2">
      <c r="N182" s="37"/>
      <c r="O182" s="37"/>
      <c r="P182" s="37"/>
    </row>
    <row r="183" spans="14:16" ht="13.5" customHeight="1" x14ac:dyDescent="0.2">
      <c r="N183" s="37"/>
      <c r="O183" s="37"/>
      <c r="P183" s="37"/>
    </row>
    <row r="184" spans="14:16" ht="13.5" customHeight="1" x14ac:dyDescent="0.2">
      <c r="N184" s="37"/>
      <c r="O184" s="37"/>
      <c r="P184" s="37"/>
    </row>
    <row r="185" spans="14:16" ht="13.5" customHeight="1" x14ac:dyDescent="0.2">
      <c r="N185" s="37"/>
      <c r="O185" s="37"/>
      <c r="P185" s="37"/>
    </row>
    <row r="186" spans="14:16" ht="13.5" customHeight="1" x14ac:dyDescent="0.2">
      <c r="N186" s="37"/>
      <c r="O186" s="37"/>
      <c r="P186" s="37"/>
    </row>
    <row r="187" spans="14:16" ht="13.5" customHeight="1" x14ac:dyDescent="0.2">
      <c r="N187" s="37"/>
      <c r="O187" s="37"/>
      <c r="P187" s="37"/>
    </row>
    <row r="188" spans="14:16" ht="13.5" customHeight="1" x14ac:dyDescent="0.2">
      <c r="N188" s="37"/>
      <c r="O188" s="37"/>
      <c r="P188" s="37"/>
    </row>
    <row r="189" spans="14:16" ht="13.5" customHeight="1" x14ac:dyDescent="0.2">
      <c r="N189" s="37"/>
      <c r="O189" s="37"/>
      <c r="P189" s="37"/>
    </row>
    <row r="190" spans="14:16" ht="13.5" customHeight="1" x14ac:dyDescent="0.2">
      <c r="N190" s="37"/>
      <c r="O190" s="37"/>
      <c r="P190" s="37"/>
    </row>
    <row r="191" spans="14:16" ht="13.5" customHeight="1" x14ac:dyDescent="0.2">
      <c r="N191" s="37"/>
      <c r="O191" s="37"/>
      <c r="P191" s="37"/>
    </row>
    <row r="192" spans="14:16" ht="13.5" customHeight="1" x14ac:dyDescent="0.2">
      <c r="N192" s="37"/>
      <c r="O192" s="37"/>
      <c r="P192" s="37"/>
    </row>
    <row r="193" spans="14:16" ht="13.5" customHeight="1" x14ac:dyDescent="0.2">
      <c r="N193" s="37"/>
      <c r="O193" s="37"/>
      <c r="P193" s="37"/>
    </row>
    <row r="194" spans="14:16" ht="13.5" customHeight="1" x14ac:dyDescent="0.2">
      <c r="N194" s="37"/>
      <c r="O194" s="37"/>
      <c r="P194" s="37"/>
    </row>
    <row r="195" spans="14:16" ht="13.5" customHeight="1" x14ac:dyDescent="0.2">
      <c r="N195" s="37"/>
      <c r="O195" s="37"/>
      <c r="P195" s="37"/>
    </row>
    <row r="196" spans="14:16" ht="13.5" customHeight="1" x14ac:dyDescent="0.2">
      <c r="N196" s="37"/>
      <c r="O196" s="37"/>
      <c r="P196" s="37"/>
    </row>
    <row r="197" spans="14:16" ht="13.5" customHeight="1" x14ac:dyDescent="0.2">
      <c r="N197" s="37"/>
      <c r="O197" s="37"/>
      <c r="P197" s="37"/>
    </row>
    <row r="198" spans="14:16" ht="13.5" customHeight="1" x14ac:dyDescent="0.2">
      <c r="N198" s="37"/>
      <c r="O198" s="37"/>
      <c r="P198" s="37"/>
    </row>
    <row r="199" spans="14:16" ht="13.5" customHeight="1" x14ac:dyDescent="0.2">
      <c r="N199" s="37"/>
      <c r="O199" s="37"/>
      <c r="P199" s="37"/>
    </row>
    <row r="200" spans="14:16" ht="13.5" customHeight="1" x14ac:dyDescent="0.2">
      <c r="N200" s="37"/>
      <c r="O200" s="37"/>
      <c r="P200" s="37"/>
    </row>
    <row r="201" spans="14:16" ht="13.5" customHeight="1" x14ac:dyDescent="0.2">
      <c r="N201" s="37"/>
      <c r="O201" s="37"/>
      <c r="P201" s="37"/>
    </row>
    <row r="202" spans="14:16" ht="13.5" customHeight="1" x14ac:dyDescent="0.2">
      <c r="N202" s="37"/>
      <c r="O202" s="37"/>
      <c r="P202" s="37"/>
    </row>
    <row r="203" spans="14:16" ht="13.5" customHeight="1" x14ac:dyDescent="0.2">
      <c r="N203" s="37"/>
      <c r="O203" s="37"/>
      <c r="P203" s="37"/>
    </row>
    <row r="204" spans="14:16" ht="13.5" customHeight="1" x14ac:dyDescent="0.2">
      <c r="N204" s="37"/>
      <c r="O204" s="37"/>
      <c r="P204" s="37"/>
    </row>
    <row r="205" spans="14:16" ht="13.5" customHeight="1" x14ac:dyDescent="0.2">
      <c r="N205" s="37"/>
      <c r="O205" s="37"/>
      <c r="P205" s="37"/>
    </row>
    <row r="206" spans="14:16" ht="13.5" customHeight="1" x14ac:dyDescent="0.2">
      <c r="N206" s="37"/>
      <c r="O206" s="37"/>
      <c r="P206" s="37"/>
    </row>
    <row r="207" spans="14:16" ht="13.5" customHeight="1" x14ac:dyDescent="0.2">
      <c r="N207" s="37"/>
      <c r="O207" s="37"/>
      <c r="P207" s="37"/>
    </row>
    <row r="208" spans="14:16" ht="13.5" customHeight="1" x14ac:dyDescent="0.2">
      <c r="N208" s="37"/>
      <c r="O208" s="37"/>
      <c r="P208" s="37"/>
    </row>
    <row r="209" spans="14:16" ht="13.5" customHeight="1" x14ac:dyDescent="0.2">
      <c r="N209" s="37"/>
      <c r="O209" s="37"/>
      <c r="P209" s="37"/>
    </row>
    <row r="210" spans="14:16" ht="13.5" customHeight="1" x14ac:dyDescent="0.2">
      <c r="N210" s="37"/>
      <c r="O210" s="37"/>
      <c r="P210" s="37"/>
    </row>
    <row r="211" spans="14:16" ht="13.5" customHeight="1" x14ac:dyDescent="0.2">
      <c r="N211" s="37"/>
      <c r="O211" s="37"/>
      <c r="P211" s="37"/>
    </row>
    <row r="212" spans="14:16" ht="13.5" customHeight="1" x14ac:dyDescent="0.2">
      <c r="N212" s="37"/>
      <c r="O212" s="37"/>
      <c r="P212" s="37"/>
    </row>
    <row r="213" spans="14:16" ht="13.5" customHeight="1" x14ac:dyDescent="0.2">
      <c r="N213" s="37"/>
      <c r="O213" s="37"/>
      <c r="P213" s="37"/>
    </row>
    <row r="214" spans="14:16" ht="13.5" customHeight="1" x14ac:dyDescent="0.2">
      <c r="N214" s="37"/>
      <c r="O214" s="37"/>
      <c r="P214" s="37"/>
    </row>
    <row r="215" spans="14:16" ht="13.5" customHeight="1" x14ac:dyDescent="0.2">
      <c r="N215" s="37"/>
      <c r="O215" s="37"/>
      <c r="P215" s="37"/>
    </row>
    <row r="216" spans="14:16" ht="13.5" customHeight="1" x14ac:dyDescent="0.2">
      <c r="N216" s="37"/>
      <c r="O216" s="37"/>
      <c r="P216" s="37"/>
    </row>
    <row r="217" spans="14:16" ht="13.5" customHeight="1" x14ac:dyDescent="0.2">
      <c r="N217" s="37"/>
      <c r="O217" s="37"/>
      <c r="P217" s="37"/>
    </row>
    <row r="218" spans="14:16" ht="13.5" customHeight="1" x14ac:dyDescent="0.2">
      <c r="N218" s="37"/>
      <c r="O218" s="37"/>
      <c r="P218" s="37"/>
    </row>
    <row r="219" spans="14:16" ht="13.5" customHeight="1" x14ac:dyDescent="0.2">
      <c r="N219" s="37"/>
      <c r="O219" s="37"/>
      <c r="P219" s="37"/>
    </row>
    <row r="220" spans="14:16" ht="13.5" customHeight="1" x14ac:dyDescent="0.2">
      <c r="N220" s="37"/>
      <c r="O220" s="37"/>
      <c r="P220" s="37"/>
    </row>
    <row r="221" spans="14:16" ht="13.5" customHeight="1" x14ac:dyDescent="0.2">
      <c r="N221" s="37"/>
      <c r="O221" s="37"/>
      <c r="P221" s="37"/>
    </row>
    <row r="222" spans="14:16" ht="13.5" customHeight="1" x14ac:dyDescent="0.2">
      <c r="N222" s="37"/>
      <c r="O222" s="37"/>
      <c r="P222" s="37"/>
    </row>
    <row r="223" spans="14:16" ht="13.5" customHeight="1" x14ac:dyDescent="0.2">
      <c r="N223" s="37"/>
      <c r="O223" s="37"/>
      <c r="P223" s="37"/>
    </row>
    <row r="224" spans="14:16" ht="13.5" customHeight="1" x14ac:dyDescent="0.2">
      <c r="N224" s="37"/>
      <c r="O224" s="37"/>
      <c r="P224" s="37"/>
    </row>
    <row r="225" spans="14:16" ht="13.5" customHeight="1" x14ac:dyDescent="0.2">
      <c r="N225" s="37"/>
      <c r="O225" s="37"/>
      <c r="P225" s="37"/>
    </row>
    <row r="226" spans="14:16" ht="13.5" customHeight="1" x14ac:dyDescent="0.2">
      <c r="N226" s="37"/>
      <c r="O226" s="37"/>
      <c r="P226" s="37"/>
    </row>
    <row r="227" spans="14:16" ht="13.5" customHeight="1" x14ac:dyDescent="0.2">
      <c r="N227" s="37"/>
      <c r="O227" s="37"/>
      <c r="P227" s="37"/>
    </row>
    <row r="228" spans="14:16" ht="13.5" customHeight="1" x14ac:dyDescent="0.2">
      <c r="N228" s="37"/>
      <c r="O228" s="37"/>
      <c r="P228" s="37"/>
    </row>
    <row r="229" spans="14:16" ht="13.5" customHeight="1" x14ac:dyDescent="0.2">
      <c r="N229" s="37"/>
      <c r="O229" s="37"/>
      <c r="P229" s="37"/>
    </row>
    <row r="230" spans="14:16" ht="13.5" customHeight="1" x14ac:dyDescent="0.2">
      <c r="N230" s="37"/>
      <c r="O230" s="37"/>
      <c r="P230" s="37"/>
    </row>
    <row r="231" spans="14:16" ht="13.5" customHeight="1" x14ac:dyDescent="0.2">
      <c r="N231" s="37"/>
      <c r="O231" s="37"/>
      <c r="P231" s="37"/>
    </row>
    <row r="232" spans="14:16" ht="13.5" customHeight="1" x14ac:dyDescent="0.2">
      <c r="N232" s="37"/>
      <c r="O232" s="37"/>
      <c r="P232" s="37"/>
    </row>
    <row r="233" spans="14:16" ht="13.5" customHeight="1" x14ac:dyDescent="0.2">
      <c r="N233" s="37"/>
      <c r="O233" s="37"/>
      <c r="P233" s="37"/>
    </row>
    <row r="234" spans="14:16" ht="13.5" customHeight="1" x14ac:dyDescent="0.2">
      <c r="N234" s="37"/>
      <c r="O234" s="37"/>
      <c r="P234" s="37"/>
    </row>
    <row r="235" spans="14:16" ht="13.5" customHeight="1" x14ac:dyDescent="0.2">
      <c r="N235" s="37"/>
      <c r="O235" s="37"/>
      <c r="P235" s="37"/>
    </row>
    <row r="236" spans="14:16" ht="13.5" customHeight="1" x14ac:dyDescent="0.2">
      <c r="N236" s="37"/>
      <c r="O236" s="37"/>
      <c r="P236" s="37"/>
    </row>
    <row r="237" spans="14:16" ht="13.5" customHeight="1" x14ac:dyDescent="0.2">
      <c r="N237" s="37"/>
      <c r="O237" s="37"/>
      <c r="P237" s="37"/>
    </row>
    <row r="238" spans="14:16" ht="13.5" customHeight="1" x14ac:dyDescent="0.2">
      <c r="N238" s="37"/>
      <c r="O238" s="37"/>
      <c r="P238" s="37"/>
    </row>
    <row r="239" spans="14:16" ht="13.5" customHeight="1" x14ac:dyDescent="0.2">
      <c r="N239" s="37"/>
      <c r="O239" s="37"/>
      <c r="P239" s="37"/>
    </row>
    <row r="240" spans="14:16" ht="13.5" customHeight="1" x14ac:dyDescent="0.2">
      <c r="N240" s="37"/>
      <c r="O240" s="37"/>
      <c r="P240" s="37"/>
    </row>
    <row r="241" spans="14:16" ht="13.5" customHeight="1" x14ac:dyDescent="0.2">
      <c r="N241" s="37"/>
      <c r="O241" s="37"/>
      <c r="P241" s="37"/>
    </row>
    <row r="242" spans="14:16" ht="13.5" customHeight="1" x14ac:dyDescent="0.2">
      <c r="N242" s="37"/>
      <c r="O242" s="37"/>
      <c r="P242" s="37"/>
    </row>
    <row r="243" spans="14:16" ht="13.5" customHeight="1" x14ac:dyDescent="0.2">
      <c r="N243" s="37"/>
      <c r="O243" s="37"/>
      <c r="P243" s="37"/>
    </row>
    <row r="244" spans="14:16" ht="13.5" customHeight="1" x14ac:dyDescent="0.2">
      <c r="N244" s="37"/>
      <c r="O244" s="37"/>
      <c r="P244" s="37"/>
    </row>
    <row r="245" spans="14:16" ht="13.5" customHeight="1" x14ac:dyDescent="0.2">
      <c r="N245" s="37"/>
      <c r="O245" s="37"/>
      <c r="P245" s="37"/>
    </row>
    <row r="246" spans="14:16" ht="13.5" customHeight="1" x14ac:dyDescent="0.2">
      <c r="N246" s="37"/>
      <c r="O246" s="37"/>
      <c r="P246" s="37"/>
    </row>
    <row r="247" spans="14:16" ht="13.5" customHeight="1" x14ac:dyDescent="0.2">
      <c r="N247" s="37"/>
      <c r="O247" s="37"/>
      <c r="P247" s="37"/>
    </row>
    <row r="248" spans="14:16" ht="13.5" customHeight="1" x14ac:dyDescent="0.2">
      <c r="N248" s="37"/>
      <c r="O248" s="37"/>
      <c r="P248" s="37"/>
    </row>
    <row r="249" spans="14:16" ht="13.5" customHeight="1" x14ac:dyDescent="0.2">
      <c r="N249" s="37"/>
      <c r="O249" s="37"/>
      <c r="P249" s="37"/>
    </row>
    <row r="250" spans="14:16" ht="13.5" customHeight="1" x14ac:dyDescent="0.2">
      <c r="N250" s="37"/>
      <c r="O250" s="37"/>
      <c r="P250" s="37"/>
    </row>
    <row r="251" spans="14:16" ht="13.5" customHeight="1" x14ac:dyDescent="0.2">
      <c r="N251" s="37"/>
      <c r="O251" s="37"/>
      <c r="P251" s="37"/>
    </row>
    <row r="252" spans="14:16" ht="13.5" customHeight="1" x14ac:dyDescent="0.2">
      <c r="N252" s="37"/>
      <c r="O252" s="37"/>
      <c r="P252" s="37"/>
    </row>
    <row r="253" spans="14:16" ht="13.5" customHeight="1" x14ac:dyDescent="0.2">
      <c r="N253" s="37"/>
      <c r="O253" s="37"/>
      <c r="P253" s="37"/>
    </row>
    <row r="254" spans="14:16" ht="13.5" customHeight="1" x14ac:dyDescent="0.2">
      <c r="N254" s="37"/>
      <c r="O254" s="37"/>
      <c r="P254" s="37"/>
    </row>
    <row r="255" spans="14:16" ht="13.5" customHeight="1" x14ac:dyDescent="0.2">
      <c r="N255" s="37"/>
      <c r="O255" s="37"/>
      <c r="P255" s="37"/>
    </row>
    <row r="256" spans="14:16" ht="13.5" customHeight="1" x14ac:dyDescent="0.2">
      <c r="N256" s="37"/>
      <c r="O256" s="37"/>
      <c r="P256" s="37"/>
    </row>
    <row r="257" spans="14:16" ht="13.5" customHeight="1" x14ac:dyDescent="0.2">
      <c r="N257" s="37"/>
      <c r="O257" s="37"/>
      <c r="P257" s="37"/>
    </row>
    <row r="258" spans="14:16" ht="13.5" customHeight="1" x14ac:dyDescent="0.2">
      <c r="N258" s="37"/>
      <c r="O258" s="37"/>
      <c r="P258" s="37"/>
    </row>
    <row r="259" spans="14:16" ht="13.5" customHeight="1" x14ac:dyDescent="0.2">
      <c r="N259" s="37"/>
      <c r="O259" s="37"/>
      <c r="P259" s="37"/>
    </row>
    <row r="260" spans="14:16" ht="13.5" customHeight="1" x14ac:dyDescent="0.2">
      <c r="N260" s="37"/>
      <c r="O260" s="37"/>
      <c r="P260" s="37"/>
    </row>
    <row r="261" spans="14:16" ht="13.5" customHeight="1" x14ac:dyDescent="0.2">
      <c r="N261" s="37"/>
      <c r="O261" s="37"/>
      <c r="P261" s="37"/>
    </row>
    <row r="262" spans="14:16" ht="13.5" customHeight="1" x14ac:dyDescent="0.2">
      <c r="N262" s="37"/>
      <c r="O262" s="37"/>
      <c r="P262" s="37"/>
    </row>
    <row r="263" spans="14:16" ht="13.5" customHeight="1" x14ac:dyDescent="0.2">
      <c r="N263" s="37"/>
      <c r="O263" s="37"/>
      <c r="P263" s="37"/>
    </row>
    <row r="264" spans="14:16" ht="13.5" customHeight="1" x14ac:dyDescent="0.2">
      <c r="N264" s="37"/>
      <c r="O264" s="37"/>
      <c r="P264" s="37"/>
    </row>
    <row r="265" spans="14:16" ht="13.5" customHeight="1" x14ac:dyDescent="0.2">
      <c r="N265" s="37"/>
      <c r="O265" s="37"/>
      <c r="P265" s="37"/>
    </row>
    <row r="266" spans="14:16" ht="13.5" customHeight="1" x14ac:dyDescent="0.2">
      <c r="N266" s="37"/>
      <c r="O266" s="37"/>
      <c r="P266" s="37"/>
    </row>
    <row r="267" spans="14:16" ht="13.5" customHeight="1" x14ac:dyDescent="0.2">
      <c r="N267" s="37"/>
      <c r="O267" s="37"/>
      <c r="P267" s="37"/>
    </row>
    <row r="268" spans="14:16" ht="13.5" customHeight="1" x14ac:dyDescent="0.2">
      <c r="N268" s="37"/>
      <c r="O268" s="37"/>
      <c r="P268" s="37"/>
    </row>
    <row r="269" spans="14:16" ht="13.5" customHeight="1" x14ac:dyDescent="0.2">
      <c r="N269" s="37"/>
      <c r="O269" s="37"/>
      <c r="P269" s="37"/>
    </row>
    <row r="270" spans="14:16" ht="13.5" customHeight="1" x14ac:dyDescent="0.2">
      <c r="N270" s="37"/>
      <c r="O270" s="37"/>
      <c r="P270" s="37"/>
    </row>
    <row r="271" spans="14:16" ht="13.5" customHeight="1" x14ac:dyDescent="0.2">
      <c r="N271" s="37"/>
      <c r="O271" s="37"/>
      <c r="P271" s="37"/>
    </row>
    <row r="272" spans="14:16" ht="13.5" customHeight="1" x14ac:dyDescent="0.2">
      <c r="N272" s="37"/>
      <c r="O272" s="37"/>
      <c r="P272" s="37"/>
    </row>
    <row r="273" spans="14:16" ht="13.5" customHeight="1" x14ac:dyDescent="0.2">
      <c r="N273" s="37"/>
      <c r="O273" s="37"/>
      <c r="P273" s="37"/>
    </row>
    <row r="274" spans="14:16" ht="13.5" customHeight="1" x14ac:dyDescent="0.2">
      <c r="N274" s="37"/>
      <c r="O274" s="37"/>
      <c r="P274" s="37"/>
    </row>
    <row r="275" spans="14:16" ht="13.5" customHeight="1" x14ac:dyDescent="0.2">
      <c r="N275" s="37"/>
      <c r="O275" s="37"/>
      <c r="P275" s="37"/>
    </row>
    <row r="276" spans="14:16" ht="13.5" customHeight="1" x14ac:dyDescent="0.2">
      <c r="N276" s="37"/>
      <c r="O276" s="37"/>
      <c r="P276" s="37"/>
    </row>
    <row r="277" spans="14:16" ht="13.5" customHeight="1" x14ac:dyDescent="0.2">
      <c r="N277" s="37"/>
      <c r="O277" s="37"/>
      <c r="P277" s="37"/>
    </row>
    <row r="278" spans="14:16" ht="13.5" customHeight="1" x14ac:dyDescent="0.2">
      <c r="N278" s="37"/>
      <c r="O278" s="37"/>
      <c r="P278" s="37"/>
    </row>
    <row r="279" spans="14:16" ht="13.5" customHeight="1" x14ac:dyDescent="0.2">
      <c r="N279" s="37"/>
      <c r="O279" s="37"/>
      <c r="P279" s="37"/>
    </row>
    <row r="280" spans="14:16" ht="13.5" customHeight="1" x14ac:dyDescent="0.2">
      <c r="N280" s="37"/>
      <c r="O280" s="37"/>
      <c r="P280" s="37"/>
    </row>
    <row r="281" spans="14:16" ht="13.5" customHeight="1" x14ac:dyDescent="0.2">
      <c r="N281" s="37"/>
      <c r="O281" s="37"/>
      <c r="P281" s="37"/>
    </row>
    <row r="282" spans="14:16" ht="13.5" customHeight="1" x14ac:dyDescent="0.2">
      <c r="N282" s="37"/>
      <c r="O282" s="37"/>
      <c r="P282" s="37"/>
    </row>
    <row r="283" spans="14:16" ht="13.5" customHeight="1" x14ac:dyDescent="0.2">
      <c r="N283" s="37"/>
      <c r="O283" s="37"/>
      <c r="P283" s="37"/>
    </row>
    <row r="284" spans="14:16" ht="13.5" customHeight="1" x14ac:dyDescent="0.2">
      <c r="N284" s="37"/>
      <c r="O284" s="37"/>
      <c r="P284" s="37"/>
    </row>
    <row r="285" spans="14:16" ht="13.5" customHeight="1" x14ac:dyDescent="0.2">
      <c r="N285" s="37"/>
      <c r="O285" s="37"/>
      <c r="P285" s="37"/>
    </row>
    <row r="286" spans="14:16" ht="13.5" customHeight="1" x14ac:dyDescent="0.2">
      <c r="N286" s="37"/>
      <c r="O286" s="37"/>
      <c r="P286" s="37"/>
    </row>
    <row r="287" spans="14:16" ht="13.5" customHeight="1" x14ac:dyDescent="0.2">
      <c r="N287" s="37"/>
      <c r="O287" s="37"/>
      <c r="P287" s="37"/>
    </row>
    <row r="288" spans="14:16" ht="13.5" customHeight="1" x14ac:dyDescent="0.2">
      <c r="N288" s="37"/>
      <c r="O288" s="37"/>
      <c r="P288" s="37"/>
    </row>
    <row r="289" spans="14:16" ht="13.5" customHeight="1" x14ac:dyDescent="0.2">
      <c r="N289" s="37"/>
      <c r="O289" s="37"/>
      <c r="P289" s="37"/>
    </row>
    <row r="290" spans="14:16" ht="13.5" customHeight="1" x14ac:dyDescent="0.2">
      <c r="N290" s="37"/>
      <c r="O290" s="37"/>
      <c r="P290" s="37"/>
    </row>
    <row r="291" spans="14:16" ht="13.5" customHeight="1" x14ac:dyDescent="0.2">
      <c r="N291" s="37"/>
      <c r="O291" s="37"/>
      <c r="P291" s="37"/>
    </row>
    <row r="292" spans="14:16" ht="13.5" customHeight="1" x14ac:dyDescent="0.2">
      <c r="N292" s="37"/>
      <c r="O292" s="37"/>
      <c r="P292" s="37"/>
    </row>
    <row r="293" spans="14:16" ht="13.5" customHeight="1" x14ac:dyDescent="0.2">
      <c r="N293" s="37"/>
      <c r="O293" s="37"/>
      <c r="P293" s="37"/>
    </row>
    <row r="294" spans="14:16" ht="13.5" customHeight="1" x14ac:dyDescent="0.2">
      <c r="N294" s="37"/>
      <c r="O294" s="37"/>
      <c r="P294" s="37"/>
    </row>
    <row r="295" spans="14:16" ht="13.5" customHeight="1" x14ac:dyDescent="0.2">
      <c r="N295" s="37"/>
      <c r="O295" s="37"/>
      <c r="P295" s="37"/>
    </row>
    <row r="296" spans="14:16" ht="13.5" customHeight="1" x14ac:dyDescent="0.2">
      <c r="N296" s="37"/>
      <c r="O296" s="37"/>
      <c r="P296" s="37"/>
    </row>
    <row r="297" spans="14:16" ht="13.5" customHeight="1" x14ac:dyDescent="0.2">
      <c r="N297" s="37"/>
      <c r="O297" s="37"/>
      <c r="P297" s="37"/>
    </row>
    <row r="298" spans="14:16" ht="13.5" customHeight="1" x14ac:dyDescent="0.2">
      <c r="N298" s="37"/>
      <c r="O298" s="37"/>
      <c r="P298" s="37"/>
    </row>
    <row r="299" spans="14:16" ht="13.5" customHeight="1" x14ac:dyDescent="0.2">
      <c r="N299" s="37"/>
      <c r="O299" s="37"/>
      <c r="P299" s="37"/>
    </row>
    <row r="300" spans="14:16" ht="13.5" customHeight="1" x14ac:dyDescent="0.2">
      <c r="N300" s="37"/>
      <c r="O300" s="37"/>
      <c r="P300" s="37"/>
    </row>
    <row r="301" spans="14:16" ht="13.5" customHeight="1" x14ac:dyDescent="0.2">
      <c r="N301" s="37"/>
      <c r="O301" s="37"/>
      <c r="P301" s="37"/>
    </row>
    <row r="302" spans="14:16" ht="13.5" customHeight="1" x14ac:dyDescent="0.2">
      <c r="N302" s="37"/>
      <c r="O302" s="37"/>
      <c r="P302" s="37"/>
    </row>
    <row r="303" spans="14:16" ht="13.5" customHeight="1" x14ac:dyDescent="0.2">
      <c r="N303" s="37"/>
      <c r="O303" s="37"/>
      <c r="P303" s="37"/>
    </row>
    <row r="304" spans="14:16" ht="13.5" customHeight="1" x14ac:dyDescent="0.2">
      <c r="N304" s="37"/>
      <c r="O304" s="37"/>
      <c r="P304" s="37"/>
    </row>
    <row r="305" spans="14:16" ht="13.5" customHeight="1" x14ac:dyDescent="0.2">
      <c r="N305" s="37"/>
      <c r="O305" s="37"/>
      <c r="P305" s="37"/>
    </row>
    <row r="306" spans="14:16" ht="13.5" customHeight="1" x14ac:dyDescent="0.2">
      <c r="N306" s="37"/>
      <c r="O306" s="37"/>
      <c r="P306" s="37"/>
    </row>
    <row r="307" spans="14:16" ht="13.5" customHeight="1" x14ac:dyDescent="0.2">
      <c r="N307" s="37"/>
      <c r="O307" s="37"/>
      <c r="P307" s="37"/>
    </row>
    <row r="308" spans="14:16" ht="13.5" customHeight="1" x14ac:dyDescent="0.2">
      <c r="N308" s="37"/>
      <c r="O308" s="37"/>
      <c r="P308" s="37"/>
    </row>
    <row r="309" spans="14:16" ht="13.5" customHeight="1" x14ac:dyDescent="0.2">
      <c r="N309" s="37"/>
      <c r="O309" s="37"/>
      <c r="P309" s="37"/>
    </row>
    <row r="310" spans="14:16" ht="13.5" customHeight="1" x14ac:dyDescent="0.2">
      <c r="N310" s="37"/>
      <c r="O310" s="37"/>
      <c r="P310" s="37"/>
    </row>
    <row r="311" spans="14:16" ht="13.5" customHeight="1" x14ac:dyDescent="0.2">
      <c r="N311" s="37"/>
      <c r="O311" s="37"/>
      <c r="P311" s="37"/>
    </row>
    <row r="312" spans="14:16" ht="13.5" customHeight="1" x14ac:dyDescent="0.2">
      <c r="N312" s="37"/>
      <c r="O312" s="37"/>
      <c r="P312" s="37"/>
    </row>
    <row r="313" spans="14:16" ht="13.5" customHeight="1" x14ac:dyDescent="0.2">
      <c r="N313" s="37"/>
      <c r="O313" s="37"/>
      <c r="P313" s="37"/>
    </row>
    <row r="314" spans="14:16" ht="13.5" customHeight="1" x14ac:dyDescent="0.2">
      <c r="N314" s="37"/>
      <c r="O314" s="37"/>
      <c r="P314" s="37"/>
    </row>
    <row r="315" spans="14:16" ht="13.5" customHeight="1" x14ac:dyDescent="0.2">
      <c r="N315" s="37"/>
      <c r="O315" s="37"/>
      <c r="P315" s="37"/>
    </row>
    <row r="316" spans="14:16" ht="13.5" customHeight="1" x14ac:dyDescent="0.2">
      <c r="N316" s="37"/>
      <c r="O316" s="37"/>
      <c r="P316" s="37"/>
    </row>
    <row r="317" spans="14:16" ht="13.5" customHeight="1" x14ac:dyDescent="0.2">
      <c r="N317" s="37"/>
      <c r="O317" s="37"/>
      <c r="P317" s="37"/>
    </row>
    <row r="318" spans="14:16" ht="13.5" customHeight="1" x14ac:dyDescent="0.2">
      <c r="N318" s="37"/>
      <c r="O318" s="37"/>
      <c r="P318" s="37"/>
    </row>
    <row r="319" spans="14:16" ht="13.5" customHeight="1" x14ac:dyDescent="0.2">
      <c r="N319" s="37"/>
      <c r="O319" s="37"/>
      <c r="P319" s="37"/>
    </row>
    <row r="320" spans="14:16" ht="13.5" customHeight="1" x14ac:dyDescent="0.2">
      <c r="N320" s="37"/>
      <c r="O320" s="37"/>
      <c r="P320" s="37"/>
    </row>
    <row r="321" spans="14:16" ht="13.5" customHeight="1" x14ac:dyDescent="0.2">
      <c r="N321" s="37"/>
      <c r="O321" s="37"/>
      <c r="P321" s="37"/>
    </row>
    <row r="322" spans="14:16" ht="13.5" customHeight="1" x14ac:dyDescent="0.2">
      <c r="N322" s="37"/>
      <c r="O322" s="37"/>
      <c r="P322" s="37"/>
    </row>
    <row r="323" spans="14:16" ht="13.5" customHeight="1" x14ac:dyDescent="0.2">
      <c r="N323" s="37"/>
      <c r="O323" s="37"/>
      <c r="P323" s="37"/>
    </row>
    <row r="324" spans="14:16" ht="13.5" customHeight="1" x14ac:dyDescent="0.2">
      <c r="N324" s="37"/>
      <c r="O324" s="37"/>
      <c r="P324" s="37"/>
    </row>
    <row r="325" spans="14:16" ht="13.5" customHeight="1" x14ac:dyDescent="0.2">
      <c r="N325" s="37"/>
      <c r="O325" s="37"/>
      <c r="P325" s="37"/>
    </row>
    <row r="326" spans="14:16" ht="13.5" customHeight="1" x14ac:dyDescent="0.2">
      <c r="N326" s="37"/>
      <c r="O326" s="37"/>
      <c r="P326" s="37"/>
    </row>
    <row r="327" spans="14:16" ht="13.5" customHeight="1" x14ac:dyDescent="0.2">
      <c r="N327" s="37"/>
      <c r="O327" s="37"/>
      <c r="P327" s="37"/>
    </row>
    <row r="328" spans="14:16" ht="13.5" customHeight="1" x14ac:dyDescent="0.2">
      <c r="N328" s="37"/>
      <c r="O328" s="37"/>
      <c r="P328" s="37"/>
    </row>
    <row r="329" spans="14:16" ht="13.5" customHeight="1" x14ac:dyDescent="0.2">
      <c r="N329" s="37"/>
      <c r="O329" s="37"/>
      <c r="P329" s="37"/>
    </row>
    <row r="330" spans="14:16" ht="13.5" customHeight="1" x14ac:dyDescent="0.2">
      <c r="N330" s="37"/>
      <c r="O330" s="37"/>
      <c r="P330" s="37"/>
    </row>
    <row r="331" spans="14:16" ht="13.5" customHeight="1" x14ac:dyDescent="0.2">
      <c r="N331" s="37"/>
      <c r="O331" s="37"/>
      <c r="P331" s="37"/>
    </row>
    <row r="332" spans="14:16" ht="13.5" customHeight="1" x14ac:dyDescent="0.2">
      <c r="N332" s="37"/>
      <c r="O332" s="37"/>
      <c r="P332" s="37"/>
    </row>
    <row r="333" spans="14:16" ht="13.5" customHeight="1" x14ac:dyDescent="0.2">
      <c r="N333" s="37"/>
      <c r="O333" s="37"/>
      <c r="P333" s="37"/>
    </row>
    <row r="334" spans="14:16" ht="13.5" customHeight="1" x14ac:dyDescent="0.2">
      <c r="N334" s="37"/>
      <c r="O334" s="37"/>
      <c r="P334" s="37"/>
    </row>
    <row r="335" spans="14:16" ht="13.5" customHeight="1" x14ac:dyDescent="0.2">
      <c r="N335" s="37"/>
      <c r="O335" s="37"/>
      <c r="P335" s="37"/>
    </row>
    <row r="336" spans="14:16" ht="13.5" customHeight="1" x14ac:dyDescent="0.2">
      <c r="N336" s="37"/>
      <c r="O336" s="37"/>
      <c r="P336" s="37"/>
    </row>
    <row r="337" spans="14:16" ht="13.5" customHeight="1" x14ac:dyDescent="0.2">
      <c r="N337" s="37"/>
      <c r="O337" s="37"/>
      <c r="P337" s="37"/>
    </row>
    <row r="338" spans="14:16" ht="13.5" customHeight="1" x14ac:dyDescent="0.2">
      <c r="N338" s="37"/>
      <c r="O338" s="37"/>
      <c r="P338" s="37"/>
    </row>
    <row r="339" spans="14:16" ht="13.5" customHeight="1" x14ac:dyDescent="0.2">
      <c r="N339" s="37"/>
      <c r="O339" s="37"/>
      <c r="P339" s="37"/>
    </row>
    <row r="340" spans="14:16" ht="13.5" customHeight="1" x14ac:dyDescent="0.2">
      <c r="N340" s="37"/>
      <c r="O340" s="37"/>
      <c r="P340" s="37"/>
    </row>
    <row r="341" spans="14:16" ht="13.5" customHeight="1" x14ac:dyDescent="0.2">
      <c r="N341" s="37"/>
      <c r="O341" s="37"/>
      <c r="P341" s="37"/>
    </row>
    <row r="342" spans="14:16" ht="13.5" customHeight="1" x14ac:dyDescent="0.2">
      <c r="N342" s="37"/>
      <c r="O342" s="37"/>
      <c r="P342" s="37"/>
    </row>
    <row r="343" spans="14:16" ht="13.5" customHeight="1" x14ac:dyDescent="0.2">
      <c r="N343" s="37"/>
      <c r="O343" s="37"/>
      <c r="P343" s="37"/>
    </row>
    <row r="344" spans="14:16" ht="13.5" customHeight="1" x14ac:dyDescent="0.2">
      <c r="N344" s="37"/>
      <c r="O344" s="37"/>
      <c r="P344" s="37"/>
    </row>
    <row r="345" spans="14:16" ht="13.5" customHeight="1" x14ac:dyDescent="0.2">
      <c r="N345" s="37"/>
      <c r="O345" s="37"/>
      <c r="P345" s="37"/>
    </row>
    <row r="346" spans="14:16" ht="13.5" customHeight="1" x14ac:dyDescent="0.2">
      <c r="N346" s="37"/>
      <c r="O346" s="37"/>
      <c r="P346" s="37"/>
    </row>
    <row r="347" spans="14:16" ht="13.5" customHeight="1" x14ac:dyDescent="0.2">
      <c r="N347" s="37"/>
      <c r="O347" s="37"/>
      <c r="P347" s="37"/>
    </row>
    <row r="348" spans="14:16" ht="13.5" customHeight="1" x14ac:dyDescent="0.2">
      <c r="N348" s="37"/>
      <c r="O348" s="37"/>
      <c r="P348" s="37"/>
    </row>
    <row r="349" spans="14:16" ht="13.5" customHeight="1" x14ac:dyDescent="0.2">
      <c r="N349" s="37"/>
      <c r="O349" s="37"/>
      <c r="P349" s="37"/>
    </row>
    <row r="350" spans="14:16" ht="13.5" customHeight="1" x14ac:dyDescent="0.2">
      <c r="N350" s="37"/>
      <c r="O350" s="37"/>
      <c r="P350" s="37"/>
    </row>
    <row r="351" spans="14:16" ht="13.5" customHeight="1" x14ac:dyDescent="0.2">
      <c r="N351" s="37"/>
      <c r="O351" s="37"/>
      <c r="P351" s="37"/>
    </row>
    <row r="352" spans="14:16" ht="13.5" customHeight="1" x14ac:dyDescent="0.2">
      <c r="N352" s="37"/>
      <c r="O352" s="37"/>
      <c r="P352" s="37"/>
    </row>
    <row r="353" spans="14:16" ht="13.5" customHeight="1" x14ac:dyDescent="0.2">
      <c r="N353" s="37"/>
      <c r="O353" s="37"/>
      <c r="P353" s="37"/>
    </row>
    <row r="354" spans="14:16" ht="13.5" customHeight="1" x14ac:dyDescent="0.2">
      <c r="N354" s="37"/>
      <c r="O354" s="37"/>
      <c r="P354" s="37"/>
    </row>
    <row r="355" spans="14:16" ht="13.5" customHeight="1" x14ac:dyDescent="0.2">
      <c r="N355" s="37"/>
      <c r="O355" s="37"/>
      <c r="P355" s="37"/>
    </row>
    <row r="356" spans="14:16" ht="13.5" customHeight="1" x14ac:dyDescent="0.2">
      <c r="N356" s="37"/>
      <c r="O356" s="37"/>
      <c r="P356" s="37"/>
    </row>
    <row r="357" spans="14:16" ht="13.5" customHeight="1" x14ac:dyDescent="0.2">
      <c r="N357" s="37"/>
      <c r="O357" s="37"/>
      <c r="P357" s="37"/>
    </row>
    <row r="358" spans="14:16" ht="13.5" customHeight="1" x14ac:dyDescent="0.2">
      <c r="N358" s="37"/>
      <c r="O358" s="37"/>
      <c r="P358" s="37"/>
    </row>
    <row r="359" spans="14:16" ht="13.5" customHeight="1" x14ac:dyDescent="0.2">
      <c r="N359" s="37"/>
      <c r="O359" s="37"/>
      <c r="P359" s="37"/>
    </row>
    <row r="360" spans="14:16" ht="13.5" customHeight="1" x14ac:dyDescent="0.2">
      <c r="N360" s="37"/>
      <c r="O360" s="37"/>
      <c r="P360" s="37"/>
    </row>
    <row r="361" spans="14:16" ht="13.5" customHeight="1" x14ac:dyDescent="0.2">
      <c r="N361" s="37"/>
      <c r="O361" s="37"/>
      <c r="P361" s="37"/>
    </row>
    <row r="362" spans="14:16" ht="13.5" customHeight="1" x14ac:dyDescent="0.2">
      <c r="N362" s="37"/>
      <c r="O362" s="37"/>
      <c r="P362" s="37"/>
    </row>
    <row r="363" spans="14:16" ht="13.5" customHeight="1" x14ac:dyDescent="0.2">
      <c r="N363" s="37"/>
      <c r="O363" s="37"/>
      <c r="P363" s="37"/>
    </row>
    <row r="364" spans="14:16" ht="13.5" customHeight="1" x14ac:dyDescent="0.2">
      <c r="N364" s="37"/>
      <c r="O364" s="37"/>
      <c r="P364" s="37"/>
    </row>
    <row r="365" spans="14:16" ht="13.5" customHeight="1" x14ac:dyDescent="0.2">
      <c r="N365" s="37"/>
      <c r="O365" s="37"/>
      <c r="P365" s="37"/>
    </row>
    <row r="366" spans="14:16" ht="13.5" customHeight="1" x14ac:dyDescent="0.2">
      <c r="N366" s="37"/>
      <c r="O366" s="37"/>
      <c r="P366" s="37"/>
    </row>
    <row r="367" spans="14:16" ht="13.5" customHeight="1" x14ac:dyDescent="0.2">
      <c r="N367" s="37"/>
      <c r="O367" s="37"/>
      <c r="P367" s="37"/>
    </row>
    <row r="368" spans="14:16" ht="13.5" customHeight="1" x14ac:dyDescent="0.2">
      <c r="N368" s="37"/>
      <c r="O368" s="37"/>
      <c r="P368" s="37"/>
    </row>
    <row r="369" spans="14:16" ht="13.5" customHeight="1" x14ac:dyDescent="0.2">
      <c r="N369" s="37"/>
      <c r="O369" s="37"/>
      <c r="P369" s="37"/>
    </row>
    <row r="370" spans="14:16" ht="13.5" customHeight="1" x14ac:dyDescent="0.2">
      <c r="N370" s="37"/>
      <c r="O370" s="37"/>
      <c r="P370" s="37"/>
    </row>
    <row r="371" spans="14:16" ht="13.5" customHeight="1" x14ac:dyDescent="0.2">
      <c r="N371" s="37"/>
      <c r="O371" s="37"/>
      <c r="P371" s="37"/>
    </row>
    <row r="372" spans="14:16" ht="13.5" customHeight="1" x14ac:dyDescent="0.2">
      <c r="N372" s="37"/>
      <c r="O372" s="37"/>
      <c r="P372" s="37"/>
    </row>
    <row r="373" spans="14:16" ht="13.5" customHeight="1" x14ac:dyDescent="0.2">
      <c r="N373" s="37"/>
      <c r="O373" s="37"/>
      <c r="P373" s="37"/>
    </row>
    <row r="374" spans="14:16" ht="13.5" customHeight="1" x14ac:dyDescent="0.2">
      <c r="N374" s="37"/>
      <c r="O374" s="37"/>
      <c r="P374" s="37"/>
    </row>
    <row r="375" spans="14:16" ht="13.5" customHeight="1" x14ac:dyDescent="0.2">
      <c r="N375" s="37"/>
      <c r="O375" s="37"/>
      <c r="P375" s="37"/>
    </row>
    <row r="376" spans="14:16" ht="13.5" customHeight="1" x14ac:dyDescent="0.2">
      <c r="N376" s="37"/>
      <c r="O376" s="37"/>
      <c r="P376" s="37"/>
    </row>
    <row r="377" spans="14:16" ht="13.5" customHeight="1" x14ac:dyDescent="0.2">
      <c r="N377" s="37"/>
      <c r="O377" s="37"/>
      <c r="P377" s="37"/>
    </row>
    <row r="378" spans="14:16" ht="13.5" customHeight="1" x14ac:dyDescent="0.2">
      <c r="N378" s="37"/>
      <c r="O378" s="37"/>
      <c r="P378" s="37"/>
    </row>
    <row r="379" spans="14:16" ht="13.5" customHeight="1" x14ac:dyDescent="0.2">
      <c r="N379" s="37"/>
      <c r="O379" s="37"/>
      <c r="P379" s="37"/>
    </row>
    <row r="380" spans="14:16" ht="13.5" customHeight="1" x14ac:dyDescent="0.2">
      <c r="N380" s="37"/>
      <c r="O380" s="37"/>
      <c r="P380" s="37"/>
    </row>
    <row r="381" spans="14:16" ht="13.5" customHeight="1" x14ac:dyDescent="0.2">
      <c r="N381" s="37"/>
      <c r="O381" s="37"/>
      <c r="P381" s="37"/>
    </row>
    <row r="382" spans="14:16" ht="13.5" customHeight="1" x14ac:dyDescent="0.2">
      <c r="N382" s="37"/>
      <c r="O382" s="37"/>
      <c r="P382" s="37"/>
    </row>
    <row r="383" spans="14:16" ht="13.5" customHeight="1" x14ac:dyDescent="0.2">
      <c r="N383" s="37"/>
      <c r="O383" s="37"/>
      <c r="P383" s="37"/>
    </row>
    <row r="384" spans="14:16" ht="13.5" customHeight="1" x14ac:dyDescent="0.2">
      <c r="N384" s="37"/>
      <c r="O384" s="37"/>
      <c r="P384" s="37"/>
    </row>
    <row r="385" spans="14:16" ht="13.5" customHeight="1" x14ac:dyDescent="0.2">
      <c r="N385" s="37"/>
      <c r="O385" s="37"/>
      <c r="P385" s="37"/>
    </row>
    <row r="386" spans="14:16" ht="13.5" customHeight="1" x14ac:dyDescent="0.2">
      <c r="N386" s="37"/>
      <c r="O386" s="37"/>
      <c r="P386" s="37"/>
    </row>
    <row r="387" spans="14:16" ht="13.5" customHeight="1" x14ac:dyDescent="0.2">
      <c r="N387" s="37"/>
      <c r="O387" s="37"/>
      <c r="P387" s="37"/>
    </row>
    <row r="388" spans="14:16" ht="13.5" customHeight="1" x14ac:dyDescent="0.2">
      <c r="N388" s="37"/>
      <c r="O388" s="37"/>
      <c r="P388" s="37"/>
    </row>
    <row r="389" spans="14:16" ht="13.5" customHeight="1" x14ac:dyDescent="0.2">
      <c r="N389" s="37"/>
      <c r="O389" s="37"/>
      <c r="P389" s="37"/>
    </row>
    <row r="390" spans="14:16" ht="13.5" customHeight="1" x14ac:dyDescent="0.2">
      <c r="N390" s="37"/>
      <c r="O390" s="37"/>
      <c r="P390" s="37"/>
    </row>
    <row r="391" spans="14:16" ht="13.5" customHeight="1" x14ac:dyDescent="0.2">
      <c r="N391" s="37"/>
      <c r="O391" s="37"/>
      <c r="P391" s="37"/>
    </row>
    <row r="392" spans="14:16" ht="13.5" customHeight="1" x14ac:dyDescent="0.2">
      <c r="N392" s="37"/>
      <c r="O392" s="37"/>
      <c r="P392" s="37"/>
    </row>
    <row r="393" spans="14:16" ht="13.5" customHeight="1" x14ac:dyDescent="0.2">
      <c r="N393" s="37"/>
      <c r="O393" s="37"/>
      <c r="P393" s="37"/>
    </row>
    <row r="394" spans="14:16" ht="13.5" customHeight="1" x14ac:dyDescent="0.2">
      <c r="N394" s="37"/>
      <c r="O394" s="37"/>
      <c r="P394" s="37"/>
    </row>
    <row r="395" spans="14:16" ht="13.5" customHeight="1" x14ac:dyDescent="0.2">
      <c r="N395" s="37"/>
      <c r="O395" s="37"/>
      <c r="P395" s="37"/>
    </row>
    <row r="396" spans="14:16" ht="13.5" customHeight="1" x14ac:dyDescent="0.2">
      <c r="N396" s="37"/>
      <c r="O396" s="37"/>
      <c r="P396" s="37"/>
    </row>
    <row r="397" spans="14:16" ht="13.5" customHeight="1" x14ac:dyDescent="0.2">
      <c r="N397" s="37"/>
      <c r="O397" s="37"/>
      <c r="P397" s="37"/>
    </row>
    <row r="398" spans="14:16" ht="13.5" customHeight="1" x14ac:dyDescent="0.2">
      <c r="N398" s="37"/>
      <c r="O398" s="37"/>
      <c r="P398" s="37"/>
    </row>
    <row r="399" spans="14:16" ht="13.5" customHeight="1" x14ac:dyDescent="0.2">
      <c r="N399" s="37"/>
      <c r="O399" s="37"/>
      <c r="P399" s="37"/>
    </row>
    <row r="400" spans="14:16" ht="13.5" customHeight="1" x14ac:dyDescent="0.2">
      <c r="N400" s="37"/>
      <c r="O400" s="37"/>
      <c r="P400" s="37"/>
    </row>
    <row r="401" spans="14:16" ht="13.5" customHeight="1" x14ac:dyDescent="0.2">
      <c r="N401" s="37"/>
      <c r="O401" s="37"/>
      <c r="P401" s="37"/>
    </row>
    <row r="402" spans="14:16" ht="13.5" customHeight="1" x14ac:dyDescent="0.2">
      <c r="N402" s="37"/>
      <c r="O402" s="37"/>
      <c r="P402" s="37"/>
    </row>
    <row r="403" spans="14:16" ht="13.5" customHeight="1" x14ac:dyDescent="0.2">
      <c r="N403" s="37"/>
      <c r="O403" s="37"/>
      <c r="P403" s="37"/>
    </row>
    <row r="404" spans="14:16" ht="13.5" customHeight="1" x14ac:dyDescent="0.2">
      <c r="N404" s="37"/>
      <c r="O404" s="37"/>
      <c r="P404" s="37"/>
    </row>
    <row r="405" spans="14:16" ht="13.5" customHeight="1" x14ac:dyDescent="0.2">
      <c r="N405" s="37"/>
      <c r="O405" s="37"/>
      <c r="P405" s="37"/>
    </row>
    <row r="406" spans="14:16" ht="13.5" customHeight="1" x14ac:dyDescent="0.2">
      <c r="N406" s="37"/>
      <c r="O406" s="37"/>
      <c r="P406" s="37"/>
    </row>
    <row r="407" spans="14:16" ht="13.5" customHeight="1" x14ac:dyDescent="0.2">
      <c r="N407" s="37"/>
      <c r="O407" s="37"/>
      <c r="P407" s="37"/>
    </row>
    <row r="408" spans="14:16" ht="13.5" customHeight="1" x14ac:dyDescent="0.2">
      <c r="N408" s="37"/>
      <c r="O408" s="37"/>
      <c r="P408" s="37"/>
    </row>
    <row r="409" spans="14:16" ht="13.5" customHeight="1" x14ac:dyDescent="0.2">
      <c r="N409" s="37"/>
      <c r="O409" s="37"/>
      <c r="P409" s="37"/>
    </row>
    <row r="410" spans="14:16" ht="13.5" customHeight="1" x14ac:dyDescent="0.2">
      <c r="N410" s="37"/>
      <c r="O410" s="37"/>
      <c r="P410" s="37"/>
    </row>
    <row r="411" spans="14:16" ht="13.5" customHeight="1" x14ac:dyDescent="0.2">
      <c r="N411" s="37"/>
      <c r="O411" s="37"/>
      <c r="P411" s="37"/>
    </row>
    <row r="412" spans="14:16" ht="13.5" customHeight="1" x14ac:dyDescent="0.2">
      <c r="N412" s="37"/>
      <c r="O412" s="37"/>
      <c r="P412" s="37"/>
    </row>
    <row r="413" spans="14:16" ht="13.5" customHeight="1" x14ac:dyDescent="0.2">
      <c r="N413" s="37"/>
      <c r="O413" s="37"/>
      <c r="P413" s="37"/>
    </row>
    <row r="414" spans="14:16" ht="13.5" customHeight="1" x14ac:dyDescent="0.2">
      <c r="N414" s="37"/>
      <c r="O414" s="37"/>
      <c r="P414" s="37"/>
    </row>
    <row r="415" spans="14:16" ht="13.5" customHeight="1" x14ac:dyDescent="0.2">
      <c r="N415" s="37"/>
      <c r="O415" s="37"/>
      <c r="P415" s="37"/>
    </row>
    <row r="416" spans="14:16" ht="13.5" customHeight="1" x14ac:dyDescent="0.2">
      <c r="N416" s="37"/>
      <c r="O416" s="37"/>
      <c r="P416" s="37"/>
    </row>
    <row r="417" spans="14:16" ht="13.5" customHeight="1" x14ac:dyDescent="0.2">
      <c r="N417" s="37"/>
      <c r="O417" s="37"/>
      <c r="P417" s="37"/>
    </row>
    <row r="418" spans="14:16" ht="13.5" customHeight="1" x14ac:dyDescent="0.2">
      <c r="N418" s="37"/>
      <c r="O418" s="37"/>
      <c r="P418" s="37"/>
    </row>
    <row r="419" spans="14:16" ht="13.5" customHeight="1" x14ac:dyDescent="0.2">
      <c r="N419" s="37"/>
      <c r="O419" s="37"/>
      <c r="P419" s="37"/>
    </row>
    <row r="420" spans="14:16" ht="13.5" customHeight="1" x14ac:dyDescent="0.2">
      <c r="N420" s="37"/>
      <c r="O420" s="37"/>
      <c r="P420" s="37"/>
    </row>
    <row r="421" spans="14:16" ht="13.5" customHeight="1" x14ac:dyDescent="0.2">
      <c r="N421" s="37"/>
      <c r="O421" s="37"/>
      <c r="P421" s="37"/>
    </row>
    <row r="422" spans="14:16" ht="13.5" customHeight="1" x14ac:dyDescent="0.2">
      <c r="N422" s="37"/>
      <c r="O422" s="37"/>
      <c r="P422" s="37"/>
    </row>
    <row r="423" spans="14:16" ht="13.5" customHeight="1" x14ac:dyDescent="0.2">
      <c r="N423" s="37"/>
      <c r="O423" s="37"/>
      <c r="P423" s="37"/>
    </row>
    <row r="424" spans="14:16" ht="13.5" customHeight="1" x14ac:dyDescent="0.2">
      <c r="N424" s="37"/>
      <c r="O424" s="37"/>
      <c r="P424" s="37"/>
    </row>
    <row r="425" spans="14:16" ht="13.5" customHeight="1" x14ac:dyDescent="0.2">
      <c r="N425" s="37"/>
      <c r="O425" s="37"/>
      <c r="P425" s="37"/>
    </row>
    <row r="426" spans="14:16" ht="13.5" customHeight="1" x14ac:dyDescent="0.2">
      <c r="N426" s="37"/>
      <c r="O426" s="37"/>
      <c r="P426" s="37"/>
    </row>
    <row r="427" spans="14:16" ht="13.5" customHeight="1" x14ac:dyDescent="0.2">
      <c r="N427" s="37"/>
      <c r="O427" s="37"/>
      <c r="P427" s="37"/>
    </row>
    <row r="428" spans="14:16" ht="13.5" customHeight="1" x14ac:dyDescent="0.2">
      <c r="N428" s="37"/>
      <c r="O428" s="37"/>
      <c r="P428" s="37"/>
    </row>
    <row r="429" spans="14:16" ht="13.5" customHeight="1" x14ac:dyDescent="0.2">
      <c r="N429" s="37"/>
      <c r="O429" s="37"/>
      <c r="P429" s="37"/>
    </row>
    <row r="430" spans="14:16" ht="13.5" customHeight="1" x14ac:dyDescent="0.2">
      <c r="N430" s="37"/>
      <c r="O430" s="37"/>
      <c r="P430" s="37"/>
    </row>
    <row r="431" spans="14:16" ht="13.5" customHeight="1" x14ac:dyDescent="0.2">
      <c r="N431" s="37"/>
      <c r="O431" s="37"/>
      <c r="P431" s="37"/>
    </row>
    <row r="432" spans="14:16" ht="13.5" customHeight="1" x14ac:dyDescent="0.2">
      <c r="N432" s="37"/>
      <c r="O432" s="37"/>
      <c r="P432" s="37"/>
    </row>
    <row r="433" spans="14:16" ht="13.5" customHeight="1" x14ac:dyDescent="0.2">
      <c r="N433" s="37"/>
      <c r="O433" s="37"/>
      <c r="P433" s="37"/>
    </row>
    <row r="434" spans="14:16" ht="13.5" customHeight="1" x14ac:dyDescent="0.2">
      <c r="N434" s="37"/>
      <c r="O434" s="37"/>
      <c r="P434" s="37"/>
    </row>
    <row r="435" spans="14:16" ht="13.5" customHeight="1" x14ac:dyDescent="0.2">
      <c r="N435" s="37"/>
      <c r="O435" s="37"/>
      <c r="P435" s="37"/>
    </row>
    <row r="436" spans="14:16" ht="13.5" customHeight="1" x14ac:dyDescent="0.2">
      <c r="N436" s="37"/>
      <c r="O436" s="37"/>
      <c r="P436" s="37"/>
    </row>
    <row r="437" spans="14:16" ht="13.5" customHeight="1" x14ac:dyDescent="0.2">
      <c r="N437" s="37"/>
      <c r="O437" s="37"/>
      <c r="P437" s="37"/>
    </row>
    <row r="438" spans="14:16" ht="13.5" customHeight="1" x14ac:dyDescent="0.2">
      <c r="N438" s="37"/>
      <c r="O438" s="37"/>
      <c r="P438" s="37"/>
    </row>
    <row r="439" spans="14:16" ht="13.5" customHeight="1" x14ac:dyDescent="0.2">
      <c r="N439" s="37"/>
      <c r="O439" s="37"/>
      <c r="P439" s="37"/>
    </row>
    <row r="440" spans="14:16" ht="13.5" customHeight="1" x14ac:dyDescent="0.2">
      <c r="N440" s="37"/>
      <c r="O440" s="37"/>
      <c r="P440" s="37"/>
    </row>
    <row r="441" spans="14:16" ht="13.5" customHeight="1" x14ac:dyDescent="0.2">
      <c r="N441" s="37"/>
      <c r="O441" s="37"/>
      <c r="P441" s="37"/>
    </row>
    <row r="442" spans="14:16" ht="13.5" customHeight="1" x14ac:dyDescent="0.2">
      <c r="N442" s="37"/>
      <c r="O442" s="37"/>
      <c r="P442" s="37"/>
    </row>
    <row r="443" spans="14:16" ht="13.5" customHeight="1" x14ac:dyDescent="0.2">
      <c r="N443" s="37"/>
      <c r="O443" s="37"/>
      <c r="P443" s="37"/>
    </row>
    <row r="444" spans="14:16" ht="13.5" customHeight="1" x14ac:dyDescent="0.2">
      <c r="N444" s="37"/>
      <c r="O444" s="37"/>
      <c r="P444" s="37"/>
    </row>
    <row r="445" spans="14:16" ht="13.5" customHeight="1" x14ac:dyDescent="0.2">
      <c r="N445" s="37"/>
      <c r="O445" s="37"/>
      <c r="P445" s="37"/>
    </row>
    <row r="446" spans="14:16" ht="13.5" customHeight="1" x14ac:dyDescent="0.2">
      <c r="N446" s="37"/>
      <c r="O446" s="37"/>
      <c r="P446" s="37"/>
    </row>
    <row r="447" spans="14:16" ht="13.5" customHeight="1" x14ac:dyDescent="0.2">
      <c r="N447" s="37"/>
      <c r="O447" s="37"/>
      <c r="P447" s="37"/>
    </row>
    <row r="448" spans="14:16" ht="13.5" customHeight="1" x14ac:dyDescent="0.2">
      <c r="N448" s="37"/>
      <c r="O448" s="37"/>
      <c r="P448" s="37"/>
    </row>
    <row r="449" spans="14:16" ht="13.5" customHeight="1" x14ac:dyDescent="0.2">
      <c r="N449" s="37"/>
      <c r="O449" s="37"/>
      <c r="P449" s="37"/>
    </row>
    <row r="450" spans="14:16" ht="13.5" customHeight="1" x14ac:dyDescent="0.2">
      <c r="N450" s="37"/>
      <c r="O450" s="37"/>
      <c r="P450" s="37"/>
    </row>
    <row r="451" spans="14:16" ht="13.5" customHeight="1" x14ac:dyDescent="0.2">
      <c r="N451" s="37"/>
      <c r="O451" s="37"/>
      <c r="P451" s="37"/>
    </row>
    <row r="452" spans="14:16" ht="13.5" customHeight="1" x14ac:dyDescent="0.2">
      <c r="N452" s="37"/>
      <c r="O452" s="37"/>
      <c r="P452" s="37"/>
    </row>
    <row r="453" spans="14:16" ht="13.5" customHeight="1" x14ac:dyDescent="0.2">
      <c r="N453" s="37"/>
      <c r="O453" s="37"/>
      <c r="P453" s="37"/>
    </row>
    <row r="454" spans="14:16" ht="13.5" customHeight="1" x14ac:dyDescent="0.2">
      <c r="N454" s="37"/>
      <c r="O454" s="37"/>
      <c r="P454" s="37"/>
    </row>
    <row r="455" spans="14:16" ht="13.5" customHeight="1" x14ac:dyDescent="0.2">
      <c r="N455" s="37"/>
      <c r="O455" s="37"/>
      <c r="P455" s="37"/>
    </row>
    <row r="456" spans="14:16" ht="13.5" customHeight="1" x14ac:dyDescent="0.2">
      <c r="N456" s="37"/>
      <c r="O456" s="37"/>
      <c r="P456" s="37"/>
    </row>
    <row r="457" spans="14:16" ht="13.5" customHeight="1" x14ac:dyDescent="0.2">
      <c r="N457" s="37"/>
      <c r="O457" s="37"/>
      <c r="P457" s="37"/>
    </row>
    <row r="458" spans="14:16" ht="13.5" customHeight="1" x14ac:dyDescent="0.2">
      <c r="N458" s="37"/>
      <c r="O458" s="37"/>
      <c r="P458" s="37"/>
    </row>
    <row r="459" spans="14:16" ht="13.5" customHeight="1" x14ac:dyDescent="0.2">
      <c r="N459" s="37"/>
      <c r="O459" s="37"/>
      <c r="P459" s="37"/>
    </row>
    <row r="460" spans="14:16" ht="13.5" customHeight="1" x14ac:dyDescent="0.2">
      <c r="N460" s="37"/>
      <c r="O460" s="37"/>
      <c r="P460" s="37"/>
    </row>
    <row r="461" spans="14:16" ht="13.5" customHeight="1" x14ac:dyDescent="0.2">
      <c r="N461" s="37"/>
      <c r="O461" s="37"/>
      <c r="P461" s="37"/>
    </row>
    <row r="462" spans="14:16" ht="13.5" customHeight="1" x14ac:dyDescent="0.2">
      <c r="N462" s="37"/>
      <c r="O462" s="37"/>
      <c r="P462" s="37"/>
    </row>
    <row r="463" spans="14:16" ht="13.5" customHeight="1" x14ac:dyDescent="0.2">
      <c r="N463" s="37"/>
      <c r="O463" s="37"/>
      <c r="P463" s="37"/>
    </row>
    <row r="464" spans="14:16" ht="13.5" customHeight="1" x14ac:dyDescent="0.2">
      <c r="N464" s="37"/>
      <c r="O464" s="37"/>
      <c r="P464" s="37"/>
    </row>
    <row r="465" spans="14:16" ht="13.5" customHeight="1" x14ac:dyDescent="0.2">
      <c r="N465" s="37"/>
      <c r="O465" s="37"/>
      <c r="P465" s="37"/>
    </row>
    <row r="466" spans="14:16" ht="13.5" customHeight="1" x14ac:dyDescent="0.2">
      <c r="N466" s="37"/>
      <c r="O466" s="37"/>
      <c r="P466" s="37"/>
    </row>
    <row r="467" spans="14:16" ht="13.5" customHeight="1" x14ac:dyDescent="0.2">
      <c r="N467" s="37"/>
      <c r="O467" s="37"/>
      <c r="P467" s="37"/>
    </row>
    <row r="468" spans="14:16" ht="13.5" customHeight="1" x14ac:dyDescent="0.2">
      <c r="N468" s="37"/>
      <c r="O468" s="37"/>
      <c r="P468" s="37"/>
    </row>
    <row r="469" spans="14:16" ht="13.5" customHeight="1" x14ac:dyDescent="0.2">
      <c r="N469" s="37"/>
      <c r="O469" s="37"/>
      <c r="P469" s="37"/>
    </row>
    <row r="470" spans="14:16" ht="13.5" customHeight="1" x14ac:dyDescent="0.2">
      <c r="N470" s="37"/>
      <c r="O470" s="37"/>
      <c r="P470" s="37"/>
    </row>
    <row r="471" spans="14:16" ht="13.5" customHeight="1" x14ac:dyDescent="0.2">
      <c r="N471" s="37"/>
      <c r="O471" s="37"/>
      <c r="P471" s="37"/>
    </row>
    <row r="472" spans="14:16" ht="13.5" customHeight="1" x14ac:dyDescent="0.2">
      <c r="N472" s="37"/>
      <c r="O472" s="37"/>
      <c r="P472" s="37"/>
    </row>
    <row r="473" spans="14:16" ht="13.5" customHeight="1" x14ac:dyDescent="0.2">
      <c r="N473" s="37"/>
      <c r="O473" s="37"/>
      <c r="P473" s="37"/>
    </row>
    <row r="474" spans="14:16" ht="13.5" customHeight="1" x14ac:dyDescent="0.2">
      <c r="N474" s="37"/>
      <c r="O474" s="37"/>
      <c r="P474" s="37"/>
    </row>
    <row r="475" spans="14:16" ht="13.5" customHeight="1" x14ac:dyDescent="0.2">
      <c r="N475" s="37"/>
      <c r="O475" s="37"/>
      <c r="P475" s="37"/>
    </row>
    <row r="476" spans="14:16" ht="13.5" customHeight="1" x14ac:dyDescent="0.2">
      <c r="N476" s="37"/>
      <c r="O476" s="37"/>
      <c r="P476" s="37"/>
    </row>
    <row r="477" spans="14:16" ht="13.5" customHeight="1" x14ac:dyDescent="0.2">
      <c r="N477" s="37"/>
      <c r="O477" s="37"/>
      <c r="P477" s="37"/>
    </row>
    <row r="478" spans="14:16" ht="13.5" customHeight="1" x14ac:dyDescent="0.2">
      <c r="N478" s="37"/>
      <c r="O478" s="37"/>
      <c r="P478" s="37"/>
    </row>
    <row r="479" spans="14:16" ht="13.5" customHeight="1" x14ac:dyDescent="0.2">
      <c r="N479" s="37"/>
      <c r="O479" s="37"/>
      <c r="P479" s="37"/>
    </row>
    <row r="480" spans="14:16" ht="13.5" customHeight="1" x14ac:dyDescent="0.2">
      <c r="N480" s="37"/>
      <c r="O480" s="37"/>
      <c r="P480" s="37"/>
    </row>
    <row r="481" spans="14:16" ht="13.5" customHeight="1" x14ac:dyDescent="0.2">
      <c r="N481" s="37"/>
      <c r="O481" s="37"/>
      <c r="P481" s="37"/>
    </row>
    <row r="482" spans="14:16" ht="13.5" customHeight="1" x14ac:dyDescent="0.2">
      <c r="N482" s="37"/>
      <c r="O482" s="37"/>
      <c r="P482" s="37"/>
    </row>
    <row r="483" spans="14:16" ht="13.5" customHeight="1" x14ac:dyDescent="0.2">
      <c r="N483" s="37"/>
      <c r="O483" s="37"/>
      <c r="P483" s="37"/>
    </row>
    <row r="484" spans="14:16" ht="13.5" customHeight="1" x14ac:dyDescent="0.2">
      <c r="N484" s="37"/>
      <c r="O484" s="37"/>
      <c r="P484" s="37"/>
    </row>
    <row r="485" spans="14:16" ht="13.5" customHeight="1" x14ac:dyDescent="0.2">
      <c r="N485" s="37"/>
      <c r="O485" s="37"/>
      <c r="P485" s="37"/>
    </row>
    <row r="486" spans="14:16" ht="13.5" customHeight="1" x14ac:dyDescent="0.2">
      <c r="N486" s="37"/>
      <c r="O486" s="37"/>
      <c r="P486" s="37"/>
    </row>
    <row r="487" spans="14:16" ht="13.5" customHeight="1" x14ac:dyDescent="0.2">
      <c r="N487" s="37"/>
      <c r="O487" s="37"/>
      <c r="P487" s="37"/>
    </row>
    <row r="488" spans="14:16" ht="13.5" customHeight="1" x14ac:dyDescent="0.2">
      <c r="N488" s="37"/>
      <c r="O488" s="37"/>
      <c r="P488" s="37"/>
    </row>
    <row r="489" spans="14:16" ht="13.5" customHeight="1" x14ac:dyDescent="0.2">
      <c r="N489" s="37"/>
      <c r="O489" s="37"/>
      <c r="P489" s="37"/>
    </row>
    <row r="490" spans="14:16" ht="13.5" customHeight="1" x14ac:dyDescent="0.2">
      <c r="N490" s="37"/>
      <c r="O490" s="37"/>
      <c r="P490" s="37"/>
    </row>
    <row r="491" spans="14:16" ht="13.5" customHeight="1" x14ac:dyDescent="0.2">
      <c r="N491" s="37"/>
      <c r="O491" s="37"/>
      <c r="P491" s="37"/>
    </row>
    <row r="492" spans="14:16" ht="13.5" customHeight="1" x14ac:dyDescent="0.2">
      <c r="N492" s="37"/>
      <c r="O492" s="37"/>
      <c r="P492" s="37"/>
    </row>
    <row r="493" spans="14:16" ht="13.5" customHeight="1" x14ac:dyDescent="0.2">
      <c r="N493" s="37"/>
      <c r="O493" s="37"/>
      <c r="P493" s="37"/>
    </row>
    <row r="494" spans="14:16" ht="13.5" customHeight="1" x14ac:dyDescent="0.2">
      <c r="N494" s="37"/>
      <c r="O494" s="37"/>
      <c r="P494" s="37"/>
    </row>
    <row r="495" spans="14:16" ht="13.5" customHeight="1" x14ac:dyDescent="0.2">
      <c r="N495" s="37"/>
      <c r="O495" s="37"/>
      <c r="P495" s="37"/>
    </row>
    <row r="496" spans="14:16" ht="13.5" customHeight="1" x14ac:dyDescent="0.2">
      <c r="N496" s="37"/>
      <c r="O496" s="37"/>
      <c r="P496" s="37"/>
    </row>
    <row r="497" spans="14:16" ht="13.5" customHeight="1" x14ac:dyDescent="0.2">
      <c r="N497" s="37"/>
      <c r="O497" s="37"/>
      <c r="P497" s="37"/>
    </row>
    <row r="498" spans="14:16" ht="13.5" customHeight="1" x14ac:dyDescent="0.2">
      <c r="N498" s="37"/>
      <c r="O498" s="37"/>
      <c r="P498" s="37"/>
    </row>
    <row r="499" spans="14:16" ht="13.5" customHeight="1" x14ac:dyDescent="0.2">
      <c r="N499" s="37"/>
      <c r="O499" s="37"/>
      <c r="P499" s="37"/>
    </row>
    <row r="500" spans="14:16" ht="13.5" customHeight="1" x14ac:dyDescent="0.2">
      <c r="N500" s="37"/>
      <c r="O500" s="37"/>
      <c r="P500" s="37"/>
    </row>
    <row r="501" spans="14:16" ht="13.5" customHeight="1" x14ac:dyDescent="0.2">
      <c r="N501" s="37"/>
      <c r="O501" s="37"/>
      <c r="P501" s="37"/>
    </row>
    <row r="502" spans="14:16" ht="13.5" customHeight="1" x14ac:dyDescent="0.2">
      <c r="N502" s="37"/>
      <c r="O502" s="37"/>
      <c r="P502" s="37"/>
    </row>
    <row r="503" spans="14:16" ht="13.5" customHeight="1" x14ac:dyDescent="0.2">
      <c r="N503" s="37"/>
      <c r="O503" s="37"/>
      <c r="P503" s="37"/>
    </row>
    <row r="504" spans="14:16" ht="13.5" customHeight="1" x14ac:dyDescent="0.2">
      <c r="N504" s="37"/>
      <c r="O504" s="37"/>
      <c r="P504" s="37"/>
    </row>
    <row r="505" spans="14:16" ht="13.5" customHeight="1" x14ac:dyDescent="0.2">
      <c r="N505" s="37"/>
      <c r="O505" s="37"/>
      <c r="P505" s="37"/>
    </row>
    <row r="506" spans="14:16" ht="13.5" customHeight="1" x14ac:dyDescent="0.2">
      <c r="N506" s="37"/>
      <c r="O506" s="37"/>
      <c r="P506" s="37"/>
    </row>
    <row r="507" spans="14:16" ht="13.5" customHeight="1" x14ac:dyDescent="0.2">
      <c r="N507" s="37"/>
      <c r="O507" s="37"/>
      <c r="P507" s="37"/>
    </row>
    <row r="508" spans="14:16" ht="13.5" customHeight="1" x14ac:dyDescent="0.2">
      <c r="N508" s="37"/>
      <c r="O508" s="37"/>
      <c r="P508" s="37"/>
    </row>
    <row r="509" spans="14:16" ht="13.5" customHeight="1" x14ac:dyDescent="0.2">
      <c r="N509" s="37"/>
      <c r="O509" s="37"/>
      <c r="P509" s="37"/>
    </row>
    <row r="510" spans="14:16" ht="13.5" customHeight="1" x14ac:dyDescent="0.2">
      <c r="N510" s="37"/>
      <c r="O510" s="37"/>
      <c r="P510" s="37"/>
    </row>
    <row r="511" spans="14:16" ht="13.5" customHeight="1" x14ac:dyDescent="0.2">
      <c r="N511" s="37"/>
      <c r="O511" s="37"/>
      <c r="P511" s="37"/>
    </row>
    <row r="512" spans="14:16" ht="13.5" customHeight="1" x14ac:dyDescent="0.2">
      <c r="N512" s="37"/>
      <c r="O512" s="37"/>
      <c r="P512" s="37"/>
    </row>
    <row r="513" spans="14:16" ht="13.5" customHeight="1" x14ac:dyDescent="0.2">
      <c r="N513" s="37"/>
      <c r="O513" s="37"/>
      <c r="P513" s="37"/>
    </row>
    <row r="514" spans="14:16" ht="13.5" customHeight="1" x14ac:dyDescent="0.2">
      <c r="N514" s="37"/>
      <c r="O514" s="37"/>
      <c r="P514" s="37"/>
    </row>
    <row r="515" spans="14:16" ht="13.5" customHeight="1" x14ac:dyDescent="0.2">
      <c r="N515" s="37"/>
      <c r="O515" s="37"/>
      <c r="P515" s="37"/>
    </row>
    <row r="516" spans="14:16" ht="13.5" customHeight="1" x14ac:dyDescent="0.2">
      <c r="N516" s="37"/>
      <c r="O516" s="37"/>
      <c r="P516" s="37"/>
    </row>
    <row r="517" spans="14:16" ht="13.5" customHeight="1" x14ac:dyDescent="0.2">
      <c r="N517" s="37"/>
      <c r="O517" s="37"/>
      <c r="P517" s="37"/>
    </row>
    <row r="518" spans="14:16" ht="13.5" customHeight="1" x14ac:dyDescent="0.2">
      <c r="N518" s="37"/>
      <c r="O518" s="37"/>
      <c r="P518" s="37"/>
    </row>
    <row r="519" spans="14:16" ht="13.5" customHeight="1" x14ac:dyDescent="0.2">
      <c r="N519" s="37"/>
      <c r="O519" s="37"/>
      <c r="P519" s="37"/>
    </row>
    <row r="520" spans="14:16" ht="13.5" customHeight="1" x14ac:dyDescent="0.2">
      <c r="N520" s="37"/>
      <c r="O520" s="37"/>
      <c r="P520" s="37"/>
    </row>
    <row r="521" spans="14:16" ht="13.5" customHeight="1" x14ac:dyDescent="0.2">
      <c r="N521" s="37"/>
      <c r="O521" s="37"/>
      <c r="P521" s="37"/>
    </row>
    <row r="522" spans="14:16" ht="13.5" customHeight="1" x14ac:dyDescent="0.2">
      <c r="N522" s="37"/>
      <c r="O522" s="37"/>
      <c r="P522" s="37"/>
    </row>
    <row r="523" spans="14:16" ht="13.5" customHeight="1" x14ac:dyDescent="0.2">
      <c r="N523" s="37"/>
      <c r="O523" s="37"/>
      <c r="P523" s="37"/>
    </row>
    <row r="524" spans="14:16" ht="13.5" customHeight="1" x14ac:dyDescent="0.2">
      <c r="N524" s="37"/>
      <c r="O524" s="37"/>
      <c r="P524" s="37"/>
    </row>
    <row r="525" spans="14:16" ht="13.5" customHeight="1" x14ac:dyDescent="0.2">
      <c r="N525" s="37"/>
      <c r="O525" s="37"/>
      <c r="P525" s="37"/>
    </row>
    <row r="526" spans="14:16" ht="13.5" customHeight="1" x14ac:dyDescent="0.2">
      <c r="N526" s="37"/>
      <c r="O526" s="37"/>
      <c r="P526" s="37"/>
    </row>
    <row r="527" spans="14:16" ht="13.5" customHeight="1" x14ac:dyDescent="0.2">
      <c r="N527" s="37"/>
      <c r="O527" s="37"/>
      <c r="P527" s="37"/>
    </row>
    <row r="528" spans="14:16" ht="13.5" customHeight="1" x14ac:dyDescent="0.2">
      <c r="N528" s="37"/>
      <c r="O528" s="37"/>
      <c r="P528" s="37"/>
    </row>
    <row r="529" spans="14:16" ht="13.5" customHeight="1" x14ac:dyDescent="0.2">
      <c r="N529" s="37"/>
      <c r="O529" s="37"/>
      <c r="P529" s="37"/>
    </row>
    <row r="530" spans="14:16" ht="13.5" customHeight="1" x14ac:dyDescent="0.2">
      <c r="N530" s="37"/>
      <c r="O530" s="37"/>
      <c r="P530" s="37"/>
    </row>
    <row r="531" spans="14:16" ht="13.5" customHeight="1" x14ac:dyDescent="0.2">
      <c r="N531" s="37"/>
      <c r="O531" s="37"/>
      <c r="P531" s="37"/>
    </row>
    <row r="532" spans="14:16" ht="13.5" customHeight="1" x14ac:dyDescent="0.2">
      <c r="N532" s="37"/>
      <c r="O532" s="37"/>
      <c r="P532" s="37"/>
    </row>
    <row r="533" spans="14:16" ht="13.5" customHeight="1" x14ac:dyDescent="0.2">
      <c r="N533" s="37"/>
      <c r="O533" s="37"/>
      <c r="P533" s="37"/>
    </row>
    <row r="534" spans="14:16" ht="13.5" customHeight="1" x14ac:dyDescent="0.2">
      <c r="N534" s="37"/>
      <c r="O534" s="37"/>
      <c r="P534" s="37"/>
    </row>
    <row r="535" spans="14:16" ht="13.5" customHeight="1" x14ac:dyDescent="0.2">
      <c r="N535" s="37"/>
      <c r="O535" s="37"/>
      <c r="P535" s="37"/>
    </row>
    <row r="536" spans="14:16" ht="13.5" customHeight="1" x14ac:dyDescent="0.2">
      <c r="N536" s="37"/>
      <c r="O536" s="37"/>
      <c r="P536" s="37"/>
    </row>
    <row r="537" spans="14:16" ht="13.5" customHeight="1" x14ac:dyDescent="0.2">
      <c r="N537" s="37"/>
      <c r="O537" s="37"/>
      <c r="P537" s="37"/>
    </row>
    <row r="538" spans="14:16" ht="13.5" customHeight="1" x14ac:dyDescent="0.2">
      <c r="N538" s="37"/>
      <c r="O538" s="37"/>
      <c r="P538" s="37"/>
    </row>
    <row r="539" spans="14:16" ht="13.5" customHeight="1" x14ac:dyDescent="0.2">
      <c r="N539" s="37"/>
      <c r="O539" s="37"/>
      <c r="P539" s="37"/>
    </row>
    <row r="540" spans="14:16" ht="13.5" customHeight="1" x14ac:dyDescent="0.2">
      <c r="N540" s="37"/>
      <c r="O540" s="37"/>
      <c r="P540" s="37"/>
    </row>
    <row r="541" spans="14:16" ht="13.5" customHeight="1" x14ac:dyDescent="0.2">
      <c r="N541" s="37"/>
      <c r="O541" s="37"/>
      <c r="P541" s="37"/>
    </row>
    <row r="542" spans="14:16" ht="13.5" customHeight="1" x14ac:dyDescent="0.2">
      <c r="N542" s="37"/>
      <c r="O542" s="37"/>
      <c r="P542" s="37"/>
    </row>
    <row r="543" spans="14:16" ht="13.5" customHeight="1" x14ac:dyDescent="0.2">
      <c r="N543" s="37"/>
      <c r="O543" s="37"/>
      <c r="P543" s="37"/>
    </row>
    <row r="544" spans="14:16" ht="13.5" customHeight="1" x14ac:dyDescent="0.2">
      <c r="N544" s="37"/>
      <c r="O544" s="37"/>
      <c r="P544" s="37"/>
    </row>
    <row r="545" spans="14:16" ht="13.5" customHeight="1" x14ac:dyDescent="0.2">
      <c r="N545" s="37"/>
      <c r="O545" s="37"/>
      <c r="P545" s="37"/>
    </row>
    <row r="546" spans="14:16" ht="13.5" customHeight="1" x14ac:dyDescent="0.2">
      <c r="N546" s="37"/>
      <c r="O546" s="37"/>
      <c r="P546" s="37"/>
    </row>
    <row r="547" spans="14:16" ht="13.5" customHeight="1" x14ac:dyDescent="0.2">
      <c r="N547" s="37"/>
      <c r="O547" s="37"/>
      <c r="P547" s="37"/>
    </row>
    <row r="548" spans="14:16" ht="13.5" customHeight="1" x14ac:dyDescent="0.2">
      <c r="N548" s="37"/>
      <c r="O548" s="37"/>
      <c r="P548" s="37"/>
    </row>
    <row r="549" spans="14:16" ht="13.5" customHeight="1" x14ac:dyDescent="0.2">
      <c r="N549" s="37"/>
      <c r="O549" s="37"/>
      <c r="P549" s="37"/>
    </row>
    <row r="550" spans="14:16" ht="13.5" customHeight="1" x14ac:dyDescent="0.2">
      <c r="N550" s="37"/>
      <c r="O550" s="37"/>
      <c r="P550" s="37"/>
    </row>
    <row r="551" spans="14:16" ht="13.5" customHeight="1" x14ac:dyDescent="0.2">
      <c r="N551" s="37"/>
      <c r="O551" s="37"/>
      <c r="P551" s="37"/>
    </row>
    <row r="552" spans="14:16" ht="13.5" customHeight="1" x14ac:dyDescent="0.2">
      <c r="N552" s="37"/>
      <c r="O552" s="37"/>
      <c r="P552" s="37"/>
    </row>
    <row r="553" spans="14:16" ht="13.5" customHeight="1" x14ac:dyDescent="0.2">
      <c r="N553" s="37"/>
      <c r="O553" s="37"/>
      <c r="P553" s="37"/>
    </row>
    <row r="554" spans="14:16" ht="13.5" customHeight="1" x14ac:dyDescent="0.2">
      <c r="N554" s="37"/>
      <c r="O554" s="37"/>
      <c r="P554" s="37"/>
    </row>
    <row r="555" spans="14:16" ht="13.5" customHeight="1" x14ac:dyDescent="0.2">
      <c r="N555" s="37"/>
      <c r="O555" s="37"/>
      <c r="P555" s="37"/>
    </row>
    <row r="556" spans="14:16" ht="13.5" customHeight="1" x14ac:dyDescent="0.2">
      <c r="N556" s="37"/>
      <c r="O556" s="37"/>
      <c r="P556" s="37"/>
    </row>
    <row r="557" spans="14:16" ht="13.5" customHeight="1" x14ac:dyDescent="0.2">
      <c r="N557" s="37"/>
      <c r="O557" s="37"/>
      <c r="P557" s="37"/>
    </row>
    <row r="558" spans="14:16" ht="13.5" customHeight="1" x14ac:dyDescent="0.2">
      <c r="N558" s="37"/>
      <c r="O558" s="37"/>
      <c r="P558" s="37"/>
    </row>
    <row r="559" spans="14:16" ht="13.5" customHeight="1" x14ac:dyDescent="0.2">
      <c r="N559" s="37"/>
      <c r="O559" s="37"/>
      <c r="P559" s="37"/>
    </row>
    <row r="560" spans="14:16" ht="13.5" customHeight="1" x14ac:dyDescent="0.2">
      <c r="N560" s="37"/>
      <c r="O560" s="37"/>
      <c r="P560" s="37"/>
    </row>
    <row r="561" spans="14:16" ht="13.5" customHeight="1" x14ac:dyDescent="0.2">
      <c r="N561" s="37"/>
      <c r="O561" s="37"/>
      <c r="P561" s="37"/>
    </row>
    <row r="562" spans="14:16" ht="13.5" customHeight="1" x14ac:dyDescent="0.2">
      <c r="N562" s="37"/>
      <c r="O562" s="37"/>
      <c r="P562" s="37"/>
    </row>
    <row r="563" spans="14:16" ht="13.5" customHeight="1" x14ac:dyDescent="0.2">
      <c r="N563" s="37"/>
      <c r="O563" s="37"/>
      <c r="P563" s="37"/>
    </row>
    <row r="564" spans="14:16" ht="13.5" customHeight="1" x14ac:dyDescent="0.2">
      <c r="N564" s="37"/>
      <c r="O564" s="37"/>
      <c r="P564" s="37"/>
    </row>
    <row r="565" spans="14:16" ht="13.5" customHeight="1" x14ac:dyDescent="0.2">
      <c r="N565" s="37"/>
      <c r="O565" s="37"/>
      <c r="P565" s="37"/>
    </row>
    <row r="566" spans="14:16" ht="13.5" customHeight="1" x14ac:dyDescent="0.2">
      <c r="N566" s="37"/>
      <c r="O566" s="37"/>
      <c r="P566" s="37"/>
    </row>
    <row r="567" spans="14:16" ht="13.5" customHeight="1" x14ac:dyDescent="0.2">
      <c r="N567" s="37"/>
      <c r="O567" s="37"/>
      <c r="P567" s="37"/>
    </row>
    <row r="568" spans="14:16" ht="13.5" customHeight="1" x14ac:dyDescent="0.2">
      <c r="N568" s="37"/>
      <c r="O568" s="37"/>
      <c r="P568" s="37"/>
    </row>
    <row r="569" spans="14:16" ht="13.5" customHeight="1" x14ac:dyDescent="0.2">
      <c r="N569" s="37"/>
      <c r="O569" s="37"/>
      <c r="P569" s="37"/>
    </row>
    <row r="570" spans="14:16" ht="13.5" customHeight="1" x14ac:dyDescent="0.2">
      <c r="N570" s="37"/>
      <c r="O570" s="37"/>
      <c r="P570" s="37"/>
    </row>
    <row r="571" spans="14:16" ht="13.5" customHeight="1" x14ac:dyDescent="0.2">
      <c r="N571" s="37"/>
      <c r="O571" s="37"/>
      <c r="P571" s="37"/>
    </row>
    <row r="572" spans="14:16" ht="13.5" customHeight="1" x14ac:dyDescent="0.2">
      <c r="N572" s="37"/>
      <c r="O572" s="37"/>
      <c r="P572" s="37"/>
    </row>
    <row r="573" spans="14:16" ht="13.5" customHeight="1" x14ac:dyDescent="0.2">
      <c r="N573" s="37"/>
      <c r="O573" s="37"/>
      <c r="P573" s="37"/>
    </row>
    <row r="574" spans="14:16" ht="13.5" customHeight="1" x14ac:dyDescent="0.2">
      <c r="N574" s="37"/>
      <c r="O574" s="37"/>
      <c r="P574" s="37"/>
    </row>
    <row r="575" spans="14:16" ht="13.5" customHeight="1" x14ac:dyDescent="0.2">
      <c r="N575" s="37"/>
      <c r="O575" s="37"/>
      <c r="P575" s="37"/>
    </row>
    <row r="576" spans="14:16" ht="13.5" customHeight="1" x14ac:dyDescent="0.2">
      <c r="N576" s="37"/>
      <c r="O576" s="37"/>
      <c r="P576" s="37"/>
    </row>
    <row r="577" spans="14:16" ht="13.5" customHeight="1" x14ac:dyDescent="0.2">
      <c r="N577" s="37"/>
      <c r="O577" s="37"/>
      <c r="P577" s="37"/>
    </row>
    <row r="578" spans="14:16" ht="13.5" customHeight="1" x14ac:dyDescent="0.2">
      <c r="N578" s="37"/>
      <c r="O578" s="37"/>
      <c r="P578" s="37"/>
    </row>
    <row r="579" spans="14:16" ht="13.5" customHeight="1" x14ac:dyDescent="0.2">
      <c r="N579" s="37"/>
      <c r="O579" s="37"/>
      <c r="P579" s="37"/>
    </row>
    <row r="580" spans="14:16" ht="13.5" customHeight="1" x14ac:dyDescent="0.2">
      <c r="N580" s="37"/>
      <c r="O580" s="37"/>
      <c r="P580" s="37"/>
    </row>
    <row r="581" spans="14:16" ht="13.5" customHeight="1" x14ac:dyDescent="0.2">
      <c r="N581" s="37"/>
      <c r="O581" s="37"/>
      <c r="P581" s="37"/>
    </row>
    <row r="582" spans="14:16" ht="13.5" customHeight="1" x14ac:dyDescent="0.2">
      <c r="N582" s="37"/>
      <c r="O582" s="37"/>
      <c r="P582" s="37"/>
    </row>
    <row r="583" spans="14:16" ht="13.5" customHeight="1" x14ac:dyDescent="0.2">
      <c r="N583" s="37"/>
      <c r="O583" s="37"/>
      <c r="P583" s="37"/>
    </row>
    <row r="584" spans="14:16" ht="13.5" customHeight="1" x14ac:dyDescent="0.2">
      <c r="N584" s="37"/>
      <c r="O584" s="37"/>
      <c r="P584" s="37"/>
    </row>
    <row r="585" spans="14:16" ht="13.5" customHeight="1" x14ac:dyDescent="0.2">
      <c r="N585" s="37"/>
      <c r="O585" s="37"/>
      <c r="P585" s="37"/>
    </row>
    <row r="586" spans="14:16" ht="13.5" customHeight="1" x14ac:dyDescent="0.2">
      <c r="N586" s="37"/>
      <c r="O586" s="37"/>
      <c r="P586" s="37"/>
    </row>
    <row r="587" spans="14:16" ht="13.5" customHeight="1" x14ac:dyDescent="0.2">
      <c r="N587" s="37"/>
      <c r="O587" s="37"/>
      <c r="P587" s="37"/>
    </row>
    <row r="588" spans="14:16" ht="13.5" customHeight="1" x14ac:dyDescent="0.2">
      <c r="N588" s="37"/>
      <c r="O588" s="37"/>
      <c r="P588" s="37"/>
    </row>
    <row r="589" spans="14:16" ht="13.5" customHeight="1" x14ac:dyDescent="0.2">
      <c r="N589" s="37"/>
      <c r="O589" s="37"/>
      <c r="P589" s="37"/>
    </row>
    <row r="590" spans="14:16" ht="13.5" customHeight="1" x14ac:dyDescent="0.2">
      <c r="N590" s="37"/>
      <c r="O590" s="37"/>
      <c r="P590" s="37"/>
    </row>
    <row r="591" spans="14:16" ht="13.5" customHeight="1" x14ac:dyDescent="0.2">
      <c r="N591" s="37"/>
      <c r="O591" s="37"/>
      <c r="P591" s="37"/>
    </row>
    <row r="592" spans="14:16" ht="13.5" customHeight="1" x14ac:dyDescent="0.2">
      <c r="N592" s="37"/>
      <c r="O592" s="37"/>
      <c r="P592" s="37"/>
    </row>
    <row r="593" spans="14:16" ht="13.5" customHeight="1" x14ac:dyDescent="0.2">
      <c r="N593" s="37"/>
      <c r="O593" s="37"/>
      <c r="P593" s="37"/>
    </row>
    <row r="594" spans="14:16" ht="13.5" customHeight="1" x14ac:dyDescent="0.2">
      <c r="N594" s="37"/>
      <c r="O594" s="37"/>
      <c r="P594" s="37"/>
    </row>
    <row r="595" spans="14:16" ht="13.5" customHeight="1" x14ac:dyDescent="0.2">
      <c r="N595" s="37"/>
      <c r="O595" s="37"/>
      <c r="P595" s="37"/>
    </row>
    <row r="596" spans="14:16" ht="13.5" customHeight="1" x14ac:dyDescent="0.2">
      <c r="N596" s="37"/>
      <c r="O596" s="37"/>
      <c r="P596" s="37"/>
    </row>
    <row r="597" spans="14:16" ht="13.5" customHeight="1" x14ac:dyDescent="0.2">
      <c r="N597" s="37"/>
      <c r="O597" s="37"/>
      <c r="P597" s="37"/>
    </row>
    <row r="598" spans="14:16" ht="13.5" customHeight="1" x14ac:dyDescent="0.2">
      <c r="N598" s="37"/>
      <c r="O598" s="37"/>
      <c r="P598" s="37"/>
    </row>
    <row r="599" spans="14:16" ht="13.5" customHeight="1" x14ac:dyDescent="0.2">
      <c r="N599" s="37"/>
      <c r="O599" s="37"/>
      <c r="P599" s="37"/>
    </row>
    <row r="600" spans="14:16" ht="13.5" customHeight="1" x14ac:dyDescent="0.2">
      <c r="N600" s="37"/>
      <c r="O600" s="37"/>
      <c r="P600" s="37"/>
    </row>
    <row r="601" spans="14:16" ht="13.5" customHeight="1" x14ac:dyDescent="0.2">
      <c r="N601" s="37"/>
      <c r="O601" s="37"/>
      <c r="P601" s="37"/>
    </row>
    <row r="602" spans="14:16" ht="13.5" customHeight="1" x14ac:dyDescent="0.2">
      <c r="N602" s="37"/>
      <c r="O602" s="37"/>
      <c r="P602" s="37"/>
    </row>
    <row r="603" spans="14:16" ht="13.5" customHeight="1" x14ac:dyDescent="0.2">
      <c r="N603" s="37"/>
      <c r="O603" s="37"/>
      <c r="P603" s="37"/>
    </row>
    <row r="604" spans="14:16" ht="13.5" customHeight="1" x14ac:dyDescent="0.2">
      <c r="N604" s="37"/>
      <c r="O604" s="37"/>
      <c r="P604" s="37"/>
    </row>
    <row r="605" spans="14:16" ht="13.5" customHeight="1" x14ac:dyDescent="0.2">
      <c r="N605" s="37"/>
      <c r="O605" s="37"/>
      <c r="P605" s="37"/>
    </row>
    <row r="606" spans="14:16" ht="13.5" customHeight="1" x14ac:dyDescent="0.2">
      <c r="N606" s="37"/>
      <c r="O606" s="37"/>
      <c r="P606" s="37"/>
    </row>
    <row r="607" spans="14:16" ht="13.5" customHeight="1" x14ac:dyDescent="0.2">
      <c r="N607" s="37"/>
      <c r="O607" s="37"/>
      <c r="P607" s="37"/>
    </row>
    <row r="608" spans="14:16" ht="13.5" customHeight="1" x14ac:dyDescent="0.2">
      <c r="N608" s="37"/>
      <c r="O608" s="37"/>
      <c r="P608" s="37"/>
    </row>
    <row r="609" spans="14:16" ht="13.5" customHeight="1" x14ac:dyDescent="0.2">
      <c r="N609" s="37"/>
      <c r="O609" s="37"/>
      <c r="P609" s="37"/>
    </row>
    <row r="610" spans="14:16" ht="13.5" customHeight="1" x14ac:dyDescent="0.2">
      <c r="N610" s="37"/>
      <c r="O610" s="37"/>
      <c r="P610" s="37"/>
    </row>
    <row r="611" spans="14:16" ht="13.5" customHeight="1" x14ac:dyDescent="0.2">
      <c r="N611" s="37"/>
      <c r="O611" s="37"/>
      <c r="P611" s="37"/>
    </row>
    <row r="612" spans="14:16" ht="13.5" customHeight="1" x14ac:dyDescent="0.2">
      <c r="N612" s="37"/>
      <c r="O612" s="37"/>
      <c r="P612" s="37"/>
    </row>
    <row r="613" spans="14:16" ht="13.5" customHeight="1" x14ac:dyDescent="0.2">
      <c r="N613" s="37"/>
      <c r="O613" s="37"/>
      <c r="P613" s="37"/>
    </row>
    <row r="614" spans="14:16" ht="13.5" customHeight="1" x14ac:dyDescent="0.2">
      <c r="N614" s="37"/>
      <c r="O614" s="37"/>
      <c r="P614" s="37"/>
    </row>
    <row r="615" spans="14:16" ht="13.5" customHeight="1" x14ac:dyDescent="0.2">
      <c r="N615" s="37"/>
      <c r="O615" s="37"/>
      <c r="P615" s="37"/>
    </row>
    <row r="616" spans="14:16" ht="13.5" customHeight="1" x14ac:dyDescent="0.2">
      <c r="N616" s="37"/>
      <c r="O616" s="37"/>
      <c r="P616" s="37"/>
    </row>
    <row r="617" spans="14:16" ht="13.5" customHeight="1" x14ac:dyDescent="0.2">
      <c r="N617" s="37"/>
      <c r="O617" s="37"/>
      <c r="P617" s="37"/>
    </row>
    <row r="618" spans="14:16" ht="13.5" customHeight="1" x14ac:dyDescent="0.2">
      <c r="N618" s="37"/>
      <c r="O618" s="37"/>
      <c r="P618" s="37"/>
    </row>
    <row r="619" spans="14:16" ht="13.5" customHeight="1" x14ac:dyDescent="0.2">
      <c r="N619" s="37"/>
      <c r="O619" s="37"/>
      <c r="P619" s="37"/>
    </row>
    <row r="620" spans="14:16" ht="13.5" customHeight="1" x14ac:dyDescent="0.2">
      <c r="N620" s="37"/>
      <c r="O620" s="37"/>
      <c r="P620" s="37"/>
    </row>
    <row r="621" spans="14:16" ht="13.5" customHeight="1" x14ac:dyDescent="0.2">
      <c r="N621" s="37"/>
      <c r="O621" s="37"/>
      <c r="P621" s="37"/>
    </row>
    <row r="622" spans="14:16" ht="13.5" customHeight="1" x14ac:dyDescent="0.2">
      <c r="N622" s="37"/>
      <c r="O622" s="37"/>
      <c r="P622" s="37"/>
    </row>
    <row r="623" spans="14:16" ht="13.5" customHeight="1" x14ac:dyDescent="0.2">
      <c r="N623" s="37"/>
      <c r="O623" s="37"/>
      <c r="P623" s="37"/>
    </row>
    <row r="624" spans="14:16" ht="13.5" customHeight="1" x14ac:dyDescent="0.2">
      <c r="N624" s="37"/>
      <c r="O624" s="37"/>
      <c r="P624" s="37"/>
    </row>
    <row r="625" spans="14:16" ht="13.5" customHeight="1" x14ac:dyDescent="0.2">
      <c r="N625" s="37"/>
      <c r="O625" s="37"/>
      <c r="P625" s="37"/>
    </row>
    <row r="626" spans="14:16" ht="13.5" customHeight="1" x14ac:dyDescent="0.2">
      <c r="N626" s="37"/>
      <c r="O626" s="37"/>
      <c r="P626" s="37"/>
    </row>
    <row r="627" spans="14:16" ht="13.5" customHeight="1" x14ac:dyDescent="0.2">
      <c r="N627" s="37"/>
      <c r="O627" s="37"/>
      <c r="P627" s="37"/>
    </row>
    <row r="628" spans="14:16" ht="13.5" customHeight="1" x14ac:dyDescent="0.2">
      <c r="N628" s="37"/>
      <c r="O628" s="37"/>
      <c r="P628" s="37"/>
    </row>
    <row r="629" spans="14:16" ht="13.5" customHeight="1" x14ac:dyDescent="0.2">
      <c r="N629" s="37"/>
      <c r="O629" s="37"/>
      <c r="P629" s="37"/>
    </row>
    <row r="630" spans="14:16" ht="13.5" customHeight="1" x14ac:dyDescent="0.2">
      <c r="N630" s="37"/>
      <c r="O630" s="37"/>
      <c r="P630" s="37"/>
    </row>
    <row r="631" spans="14:16" ht="13.5" customHeight="1" x14ac:dyDescent="0.2">
      <c r="N631" s="37"/>
      <c r="O631" s="37"/>
      <c r="P631" s="37"/>
    </row>
    <row r="632" spans="14:16" ht="13.5" customHeight="1" x14ac:dyDescent="0.2">
      <c r="N632" s="37"/>
      <c r="O632" s="37"/>
      <c r="P632" s="37"/>
    </row>
    <row r="633" spans="14:16" ht="13.5" customHeight="1" x14ac:dyDescent="0.2">
      <c r="N633" s="37"/>
      <c r="O633" s="37"/>
      <c r="P633" s="37"/>
    </row>
    <row r="634" spans="14:16" ht="13.5" customHeight="1" x14ac:dyDescent="0.2">
      <c r="N634" s="37"/>
      <c r="O634" s="37"/>
      <c r="P634" s="37"/>
    </row>
    <row r="635" spans="14:16" ht="13.5" customHeight="1" x14ac:dyDescent="0.2">
      <c r="N635" s="37"/>
      <c r="O635" s="37"/>
      <c r="P635" s="37"/>
    </row>
    <row r="636" spans="14:16" ht="13.5" customHeight="1" x14ac:dyDescent="0.2">
      <c r="N636" s="37"/>
      <c r="O636" s="37"/>
      <c r="P636" s="37"/>
    </row>
    <row r="637" spans="14:16" ht="13.5" customHeight="1" x14ac:dyDescent="0.2">
      <c r="N637" s="37"/>
      <c r="O637" s="37"/>
      <c r="P637" s="37"/>
    </row>
    <row r="638" spans="14:16" ht="13.5" customHeight="1" x14ac:dyDescent="0.2">
      <c r="N638" s="37"/>
      <c r="O638" s="37"/>
      <c r="P638" s="37"/>
    </row>
    <row r="639" spans="14:16" ht="13.5" customHeight="1" x14ac:dyDescent="0.2">
      <c r="N639" s="37"/>
      <c r="O639" s="37"/>
      <c r="P639" s="37"/>
    </row>
    <row r="640" spans="14:16" ht="13.5" customHeight="1" x14ac:dyDescent="0.2">
      <c r="N640" s="37"/>
      <c r="O640" s="37"/>
      <c r="P640" s="37"/>
    </row>
    <row r="641" spans="14:16" ht="13.5" customHeight="1" x14ac:dyDescent="0.2">
      <c r="N641" s="37"/>
      <c r="O641" s="37"/>
      <c r="P641" s="37"/>
    </row>
    <row r="642" spans="14:16" ht="13.5" customHeight="1" x14ac:dyDescent="0.2">
      <c r="N642" s="37"/>
      <c r="O642" s="37"/>
      <c r="P642" s="37"/>
    </row>
    <row r="643" spans="14:16" ht="13.5" customHeight="1" x14ac:dyDescent="0.2">
      <c r="N643" s="37"/>
      <c r="O643" s="37"/>
      <c r="P643" s="37"/>
    </row>
    <row r="644" spans="14:16" ht="13.5" customHeight="1" x14ac:dyDescent="0.2">
      <c r="N644" s="37"/>
      <c r="O644" s="37"/>
      <c r="P644" s="37"/>
    </row>
    <row r="645" spans="14:16" ht="13.5" customHeight="1" x14ac:dyDescent="0.2">
      <c r="N645" s="37"/>
      <c r="O645" s="37"/>
      <c r="P645" s="37"/>
    </row>
    <row r="646" spans="14:16" ht="13.5" customHeight="1" x14ac:dyDescent="0.2">
      <c r="N646" s="37"/>
      <c r="O646" s="37"/>
      <c r="P646" s="37"/>
    </row>
    <row r="647" spans="14:16" ht="13.5" customHeight="1" x14ac:dyDescent="0.2">
      <c r="N647" s="37"/>
      <c r="O647" s="37"/>
      <c r="P647" s="37"/>
    </row>
    <row r="648" spans="14:16" ht="13.5" customHeight="1" x14ac:dyDescent="0.2">
      <c r="N648" s="37"/>
      <c r="O648" s="37"/>
      <c r="P648" s="37"/>
    </row>
    <row r="649" spans="14:16" ht="13.5" customHeight="1" x14ac:dyDescent="0.2">
      <c r="N649" s="37"/>
      <c r="O649" s="37"/>
      <c r="P649" s="37"/>
    </row>
    <row r="650" spans="14:16" ht="13.5" customHeight="1" x14ac:dyDescent="0.2">
      <c r="N650" s="37"/>
      <c r="O650" s="37"/>
      <c r="P650" s="37"/>
    </row>
    <row r="651" spans="14:16" ht="13.5" customHeight="1" x14ac:dyDescent="0.2">
      <c r="N651" s="37"/>
      <c r="O651" s="37"/>
      <c r="P651" s="37"/>
    </row>
    <row r="652" spans="14:16" ht="13.5" customHeight="1" x14ac:dyDescent="0.2">
      <c r="N652" s="37"/>
      <c r="O652" s="37"/>
      <c r="P652" s="37"/>
    </row>
    <row r="653" spans="14:16" ht="13.5" customHeight="1" x14ac:dyDescent="0.2">
      <c r="N653" s="37"/>
      <c r="O653" s="37"/>
      <c r="P653" s="37"/>
    </row>
    <row r="654" spans="14:16" ht="13.5" customHeight="1" x14ac:dyDescent="0.2">
      <c r="N654" s="37"/>
      <c r="O654" s="37"/>
      <c r="P654" s="37"/>
    </row>
    <row r="655" spans="14:16" ht="13.5" customHeight="1" x14ac:dyDescent="0.2">
      <c r="N655" s="37"/>
      <c r="O655" s="37"/>
      <c r="P655" s="37"/>
    </row>
    <row r="656" spans="14:16" ht="13.5" customHeight="1" x14ac:dyDescent="0.2">
      <c r="N656" s="37"/>
      <c r="O656" s="37"/>
      <c r="P656" s="37"/>
    </row>
    <row r="657" spans="14:16" ht="13.5" customHeight="1" x14ac:dyDescent="0.2">
      <c r="N657" s="37"/>
      <c r="O657" s="37"/>
      <c r="P657" s="37"/>
    </row>
    <row r="658" spans="14:16" ht="13.5" customHeight="1" x14ac:dyDescent="0.2">
      <c r="N658" s="37"/>
      <c r="O658" s="37"/>
      <c r="P658" s="37"/>
    </row>
    <row r="659" spans="14:16" ht="13.5" customHeight="1" x14ac:dyDescent="0.2">
      <c r="N659" s="37"/>
      <c r="O659" s="37"/>
      <c r="P659" s="37"/>
    </row>
    <row r="660" spans="14:16" ht="13.5" customHeight="1" x14ac:dyDescent="0.2">
      <c r="N660" s="37"/>
      <c r="O660" s="37"/>
      <c r="P660" s="37"/>
    </row>
    <row r="661" spans="14:16" ht="13.5" customHeight="1" x14ac:dyDescent="0.2">
      <c r="N661" s="37"/>
      <c r="O661" s="37"/>
      <c r="P661" s="37"/>
    </row>
    <row r="662" spans="14:16" ht="13.5" customHeight="1" x14ac:dyDescent="0.2">
      <c r="N662" s="37"/>
      <c r="O662" s="37"/>
      <c r="P662" s="37"/>
    </row>
    <row r="663" spans="14:16" ht="13.5" customHeight="1" x14ac:dyDescent="0.2">
      <c r="N663" s="37"/>
      <c r="O663" s="37"/>
      <c r="P663" s="37"/>
    </row>
    <row r="664" spans="14:16" ht="13.5" customHeight="1" x14ac:dyDescent="0.2">
      <c r="N664" s="37"/>
      <c r="O664" s="37"/>
      <c r="P664" s="37"/>
    </row>
    <row r="665" spans="14:16" ht="13.5" customHeight="1" x14ac:dyDescent="0.2">
      <c r="N665" s="37"/>
      <c r="O665" s="37"/>
      <c r="P665" s="37"/>
    </row>
    <row r="666" spans="14:16" ht="13.5" customHeight="1" x14ac:dyDescent="0.2">
      <c r="N666" s="37"/>
      <c r="O666" s="37"/>
      <c r="P666" s="37"/>
    </row>
    <row r="667" spans="14:16" ht="13.5" customHeight="1" x14ac:dyDescent="0.2">
      <c r="N667" s="37"/>
      <c r="O667" s="37"/>
      <c r="P667" s="37"/>
    </row>
    <row r="668" spans="14:16" ht="13.5" customHeight="1" x14ac:dyDescent="0.2">
      <c r="N668" s="37"/>
      <c r="O668" s="37"/>
      <c r="P668" s="37"/>
    </row>
    <row r="669" spans="14:16" ht="13.5" customHeight="1" x14ac:dyDescent="0.2">
      <c r="N669" s="37"/>
      <c r="O669" s="37"/>
      <c r="P669" s="37"/>
    </row>
    <row r="670" spans="14:16" ht="13.5" customHeight="1" x14ac:dyDescent="0.2">
      <c r="N670" s="37"/>
      <c r="O670" s="37"/>
      <c r="P670" s="37"/>
    </row>
    <row r="671" spans="14:16" ht="13.5" customHeight="1" x14ac:dyDescent="0.2">
      <c r="N671" s="37"/>
      <c r="O671" s="37"/>
      <c r="P671" s="37"/>
    </row>
    <row r="672" spans="14:16" ht="13.5" customHeight="1" x14ac:dyDescent="0.2">
      <c r="N672" s="37"/>
      <c r="O672" s="37"/>
      <c r="P672" s="37"/>
    </row>
    <row r="673" spans="14:16" ht="13.5" customHeight="1" x14ac:dyDescent="0.2">
      <c r="N673" s="37"/>
      <c r="O673" s="37"/>
      <c r="P673" s="37"/>
    </row>
    <row r="674" spans="14:16" ht="13.5" customHeight="1" x14ac:dyDescent="0.2">
      <c r="N674" s="37"/>
      <c r="O674" s="37"/>
      <c r="P674" s="37"/>
    </row>
    <row r="675" spans="14:16" ht="13.5" customHeight="1" x14ac:dyDescent="0.2">
      <c r="N675" s="37"/>
      <c r="O675" s="37"/>
      <c r="P675" s="37"/>
    </row>
    <row r="676" spans="14:16" ht="13.5" customHeight="1" x14ac:dyDescent="0.2">
      <c r="N676" s="37"/>
      <c r="O676" s="37"/>
      <c r="P676" s="37"/>
    </row>
    <row r="677" spans="14:16" ht="13.5" customHeight="1" x14ac:dyDescent="0.2">
      <c r="N677" s="37"/>
      <c r="O677" s="37"/>
      <c r="P677" s="37"/>
    </row>
    <row r="678" spans="14:16" ht="13.5" customHeight="1" x14ac:dyDescent="0.2">
      <c r="N678" s="37"/>
      <c r="O678" s="37"/>
      <c r="P678" s="37"/>
    </row>
    <row r="679" spans="14:16" ht="13.5" customHeight="1" x14ac:dyDescent="0.2">
      <c r="N679" s="37"/>
      <c r="O679" s="37"/>
      <c r="P679" s="37"/>
    </row>
    <row r="680" spans="14:16" ht="13.5" customHeight="1" x14ac:dyDescent="0.2">
      <c r="N680" s="37"/>
      <c r="O680" s="37"/>
      <c r="P680" s="37"/>
    </row>
    <row r="681" spans="14:16" ht="13.5" customHeight="1" x14ac:dyDescent="0.2">
      <c r="N681" s="37"/>
      <c r="O681" s="37"/>
      <c r="P681" s="37"/>
    </row>
    <row r="682" spans="14:16" ht="13.5" customHeight="1" x14ac:dyDescent="0.2">
      <c r="N682" s="37"/>
      <c r="O682" s="37"/>
      <c r="P682" s="37"/>
    </row>
    <row r="683" spans="14:16" ht="13.5" customHeight="1" x14ac:dyDescent="0.2">
      <c r="N683" s="37"/>
      <c r="O683" s="37"/>
      <c r="P683" s="37"/>
    </row>
    <row r="684" spans="14:16" ht="13.5" customHeight="1" x14ac:dyDescent="0.2">
      <c r="N684" s="37"/>
      <c r="O684" s="37"/>
      <c r="P684" s="37"/>
    </row>
    <row r="685" spans="14:16" ht="13.5" customHeight="1" x14ac:dyDescent="0.2">
      <c r="N685" s="37"/>
      <c r="O685" s="37"/>
      <c r="P685" s="37"/>
    </row>
    <row r="686" spans="14:16" ht="13.5" customHeight="1" x14ac:dyDescent="0.2">
      <c r="N686" s="37"/>
      <c r="O686" s="37"/>
      <c r="P686" s="37"/>
    </row>
    <row r="687" spans="14:16" ht="13.5" customHeight="1" x14ac:dyDescent="0.2">
      <c r="N687" s="37"/>
      <c r="O687" s="37"/>
      <c r="P687" s="37"/>
    </row>
    <row r="688" spans="14:16" ht="13.5" customHeight="1" x14ac:dyDescent="0.2">
      <c r="N688" s="37"/>
      <c r="O688" s="37"/>
      <c r="P688" s="37"/>
    </row>
    <row r="689" spans="14:16" ht="13.5" customHeight="1" x14ac:dyDescent="0.2">
      <c r="N689" s="37"/>
      <c r="O689" s="37"/>
      <c r="P689" s="37"/>
    </row>
    <row r="690" spans="14:16" ht="13.5" customHeight="1" x14ac:dyDescent="0.2">
      <c r="N690" s="37"/>
      <c r="O690" s="37"/>
      <c r="P690" s="37"/>
    </row>
    <row r="691" spans="14:16" ht="13.5" customHeight="1" x14ac:dyDescent="0.2">
      <c r="N691" s="37"/>
      <c r="O691" s="37"/>
      <c r="P691" s="37"/>
    </row>
    <row r="692" spans="14:16" ht="13.5" customHeight="1" x14ac:dyDescent="0.2">
      <c r="N692" s="37"/>
      <c r="O692" s="37"/>
      <c r="P692" s="37"/>
    </row>
    <row r="693" spans="14:16" ht="13.5" customHeight="1" x14ac:dyDescent="0.2">
      <c r="N693" s="37"/>
      <c r="O693" s="37"/>
      <c r="P693" s="37"/>
    </row>
    <row r="694" spans="14:16" ht="13.5" customHeight="1" x14ac:dyDescent="0.2">
      <c r="N694" s="37"/>
      <c r="O694" s="37"/>
      <c r="P694" s="37"/>
    </row>
    <row r="695" spans="14:16" ht="13.5" customHeight="1" x14ac:dyDescent="0.2">
      <c r="N695" s="37"/>
      <c r="O695" s="37"/>
      <c r="P695" s="37"/>
    </row>
    <row r="696" spans="14:16" ht="13.5" customHeight="1" x14ac:dyDescent="0.2">
      <c r="N696" s="37"/>
      <c r="O696" s="37"/>
      <c r="P696" s="37"/>
    </row>
    <row r="697" spans="14:16" ht="13.5" customHeight="1" x14ac:dyDescent="0.2">
      <c r="N697" s="37"/>
      <c r="O697" s="37"/>
      <c r="P697" s="37"/>
    </row>
    <row r="698" spans="14:16" ht="13.5" customHeight="1" x14ac:dyDescent="0.2">
      <c r="N698" s="37"/>
      <c r="O698" s="37"/>
      <c r="P698" s="37"/>
    </row>
    <row r="699" spans="14:16" ht="13.5" customHeight="1" x14ac:dyDescent="0.2">
      <c r="N699" s="37"/>
      <c r="O699" s="37"/>
      <c r="P699" s="37"/>
    </row>
    <row r="700" spans="14:16" ht="13.5" customHeight="1" x14ac:dyDescent="0.2">
      <c r="N700" s="37"/>
      <c r="O700" s="37"/>
      <c r="P700" s="37"/>
    </row>
    <row r="701" spans="14:16" ht="13.5" customHeight="1" x14ac:dyDescent="0.2">
      <c r="N701" s="37"/>
      <c r="O701" s="37"/>
      <c r="P701" s="37"/>
    </row>
    <row r="702" spans="14:16" ht="13.5" customHeight="1" x14ac:dyDescent="0.2">
      <c r="N702" s="37"/>
      <c r="O702" s="37"/>
      <c r="P702" s="37"/>
    </row>
    <row r="703" spans="14:16" ht="13.5" customHeight="1" x14ac:dyDescent="0.2">
      <c r="N703" s="37"/>
      <c r="O703" s="37"/>
      <c r="P703" s="37"/>
    </row>
    <row r="704" spans="14:16" ht="13.5" customHeight="1" x14ac:dyDescent="0.2">
      <c r="N704" s="37"/>
      <c r="O704" s="37"/>
      <c r="P704" s="37"/>
    </row>
    <row r="705" spans="14:16" ht="13.5" customHeight="1" x14ac:dyDescent="0.2">
      <c r="N705" s="37"/>
      <c r="O705" s="37"/>
      <c r="P705" s="37"/>
    </row>
    <row r="706" spans="14:16" ht="13.5" customHeight="1" x14ac:dyDescent="0.2">
      <c r="N706" s="37"/>
      <c r="O706" s="37"/>
      <c r="P706" s="37"/>
    </row>
    <row r="707" spans="14:16" ht="13.5" customHeight="1" x14ac:dyDescent="0.2">
      <c r="N707" s="37"/>
      <c r="O707" s="37"/>
      <c r="P707" s="37"/>
    </row>
    <row r="708" spans="14:16" ht="13.5" customHeight="1" x14ac:dyDescent="0.2">
      <c r="N708" s="37"/>
      <c r="O708" s="37"/>
      <c r="P708" s="37"/>
    </row>
    <row r="709" spans="14:16" ht="13.5" customHeight="1" x14ac:dyDescent="0.2">
      <c r="N709" s="37"/>
      <c r="O709" s="37"/>
      <c r="P709" s="37"/>
    </row>
    <row r="710" spans="14:16" ht="13.5" customHeight="1" x14ac:dyDescent="0.2">
      <c r="N710" s="37"/>
      <c r="O710" s="37"/>
      <c r="P710" s="37"/>
    </row>
    <row r="711" spans="14:16" ht="13.5" customHeight="1" x14ac:dyDescent="0.2">
      <c r="N711" s="37"/>
      <c r="O711" s="37"/>
      <c r="P711" s="37"/>
    </row>
    <row r="712" spans="14:16" ht="13.5" customHeight="1" x14ac:dyDescent="0.2">
      <c r="N712" s="37"/>
      <c r="O712" s="37"/>
      <c r="P712" s="37"/>
    </row>
    <row r="713" spans="14:16" ht="13.5" customHeight="1" x14ac:dyDescent="0.2">
      <c r="N713" s="37"/>
      <c r="O713" s="37"/>
      <c r="P713" s="37"/>
    </row>
    <row r="714" spans="14:16" ht="13.5" customHeight="1" x14ac:dyDescent="0.2">
      <c r="N714" s="37"/>
      <c r="O714" s="37"/>
      <c r="P714" s="37"/>
    </row>
    <row r="715" spans="14:16" ht="13.5" customHeight="1" x14ac:dyDescent="0.2">
      <c r="N715" s="37"/>
      <c r="O715" s="37"/>
      <c r="P715" s="37"/>
    </row>
    <row r="716" spans="14:16" ht="13.5" customHeight="1" x14ac:dyDescent="0.2">
      <c r="N716" s="37"/>
      <c r="O716" s="37"/>
      <c r="P716" s="37"/>
    </row>
    <row r="717" spans="14:16" ht="13.5" customHeight="1" x14ac:dyDescent="0.2">
      <c r="N717" s="37"/>
      <c r="O717" s="37"/>
      <c r="P717" s="37"/>
    </row>
    <row r="718" spans="14:16" ht="13.5" customHeight="1" x14ac:dyDescent="0.2">
      <c r="N718" s="37"/>
      <c r="O718" s="37"/>
      <c r="P718" s="37"/>
    </row>
    <row r="719" spans="14:16" ht="13.5" customHeight="1" x14ac:dyDescent="0.2">
      <c r="N719" s="37"/>
      <c r="O719" s="37"/>
      <c r="P719" s="37"/>
    </row>
    <row r="720" spans="14:16" ht="13.5" customHeight="1" x14ac:dyDescent="0.2">
      <c r="N720" s="37"/>
      <c r="O720" s="37"/>
      <c r="P720" s="37"/>
    </row>
    <row r="721" spans="14:16" ht="13.5" customHeight="1" x14ac:dyDescent="0.2">
      <c r="N721" s="37"/>
      <c r="O721" s="37"/>
      <c r="P721" s="37"/>
    </row>
    <row r="722" spans="14:16" ht="13.5" customHeight="1" x14ac:dyDescent="0.2">
      <c r="N722" s="37"/>
      <c r="O722" s="37"/>
      <c r="P722" s="37"/>
    </row>
    <row r="723" spans="14:16" ht="13.5" customHeight="1" x14ac:dyDescent="0.2">
      <c r="N723" s="37"/>
      <c r="O723" s="37"/>
      <c r="P723" s="37"/>
    </row>
    <row r="724" spans="14:16" ht="13.5" customHeight="1" x14ac:dyDescent="0.2">
      <c r="N724" s="37"/>
      <c r="O724" s="37"/>
      <c r="P724" s="37"/>
    </row>
    <row r="725" spans="14:16" ht="13.5" customHeight="1" x14ac:dyDescent="0.2">
      <c r="N725" s="37"/>
      <c r="O725" s="37"/>
      <c r="P725" s="37"/>
    </row>
    <row r="726" spans="14:16" ht="13.5" customHeight="1" x14ac:dyDescent="0.2">
      <c r="N726" s="37"/>
      <c r="O726" s="37"/>
      <c r="P726" s="37"/>
    </row>
    <row r="727" spans="14:16" ht="13.5" customHeight="1" x14ac:dyDescent="0.2">
      <c r="N727" s="37"/>
      <c r="O727" s="37"/>
      <c r="P727" s="37"/>
    </row>
    <row r="728" spans="14:16" ht="13.5" customHeight="1" x14ac:dyDescent="0.2">
      <c r="N728" s="37"/>
      <c r="O728" s="37"/>
      <c r="P728" s="37"/>
    </row>
    <row r="729" spans="14:16" ht="13.5" customHeight="1" x14ac:dyDescent="0.2">
      <c r="N729" s="37"/>
      <c r="O729" s="37"/>
      <c r="P729" s="37"/>
    </row>
    <row r="730" spans="14:16" ht="13.5" customHeight="1" x14ac:dyDescent="0.2">
      <c r="N730" s="37"/>
      <c r="O730" s="37"/>
      <c r="P730" s="37"/>
    </row>
    <row r="731" spans="14:16" ht="13.5" customHeight="1" x14ac:dyDescent="0.2">
      <c r="N731" s="37"/>
      <c r="O731" s="37"/>
      <c r="P731" s="37"/>
    </row>
    <row r="732" spans="14:16" ht="13.5" customHeight="1" x14ac:dyDescent="0.2">
      <c r="N732" s="37"/>
      <c r="O732" s="37"/>
      <c r="P732" s="37"/>
    </row>
    <row r="733" spans="14:16" ht="13.5" customHeight="1" x14ac:dyDescent="0.2">
      <c r="N733" s="37"/>
      <c r="O733" s="37"/>
      <c r="P733" s="37"/>
    </row>
    <row r="734" spans="14:16" ht="13.5" customHeight="1" x14ac:dyDescent="0.2">
      <c r="N734" s="37"/>
      <c r="O734" s="37"/>
      <c r="P734" s="37"/>
    </row>
    <row r="735" spans="14:16" ht="13.5" customHeight="1" x14ac:dyDescent="0.2">
      <c r="N735" s="37"/>
      <c r="O735" s="37"/>
      <c r="P735" s="37"/>
    </row>
    <row r="736" spans="14:16" ht="13.5" customHeight="1" x14ac:dyDescent="0.2">
      <c r="N736" s="37"/>
      <c r="O736" s="37"/>
      <c r="P736" s="37"/>
    </row>
    <row r="737" spans="14:16" ht="13.5" customHeight="1" x14ac:dyDescent="0.2">
      <c r="N737" s="37"/>
      <c r="O737" s="37"/>
      <c r="P737" s="37"/>
    </row>
    <row r="738" spans="14:16" ht="13.5" customHeight="1" x14ac:dyDescent="0.2">
      <c r="N738" s="37"/>
      <c r="O738" s="37"/>
      <c r="P738" s="37"/>
    </row>
    <row r="739" spans="14:16" ht="13.5" customHeight="1" x14ac:dyDescent="0.2">
      <c r="N739" s="37"/>
      <c r="O739" s="37"/>
      <c r="P739" s="37"/>
    </row>
    <row r="740" spans="14:16" ht="13.5" customHeight="1" x14ac:dyDescent="0.2">
      <c r="N740" s="37"/>
      <c r="O740" s="37"/>
      <c r="P740" s="37"/>
    </row>
    <row r="741" spans="14:16" ht="13.5" customHeight="1" x14ac:dyDescent="0.2">
      <c r="N741" s="37"/>
      <c r="O741" s="37"/>
      <c r="P741" s="37"/>
    </row>
    <row r="742" spans="14:16" ht="13.5" customHeight="1" x14ac:dyDescent="0.2">
      <c r="N742" s="37"/>
      <c r="O742" s="37"/>
      <c r="P742" s="37"/>
    </row>
    <row r="743" spans="14:16" ht="13.5" customHeight="1" x14ac:dyDescent="0.2">
      <c r="N743" s="37"/>
      <c r="O743" s="37"/>
      <c r="P743" s="37"/>
    </row>
    <row r="744" spans="14:16" ht="13.5" customHeight="1" x14ac:dyDescent="0.2">
      <c r="N744" s="37"/>
      <c r="O744" s="37"/>
      <c r="P744" s="37"/>
    </row>
    <row r="745" spans="14:16" ht="13.5" customHeight="1" x14ac:dyDescent="0.2">
      <c r="N745" s="37"/>
      <c r="O745" s="37"/>
      <c r="P745" s="37"/>
    </row>
    <row r="746" spans="14:16" ht="13.5" customHeight="1" x14ac:dyDescent="0.2">
      <c r="N746" s="37"/>
      <c r="O746" s="37"/>
      <c r="P746" s="37"/>
    </row>
    <row r="747" spans="14:16" ht="13.5" customHeight="1" x14ac:dyDescent="0.2">
      <c r="N747" s="37"/>
      <c r="O747" s="37"/>
      <c r="P747" s="37"/>
    </row>
    <row r="748" spans="14:16" ht="13.5" customHeight="1" x14ac:dyDescent="0.2">
      <c r="N748" s="37"/>
      <c r="O748" s="37"/>
      <c r="P748" s="37"/>
    </row>
    <row r="749" spans="14:16" ht="13.5" customHeight="1" x14ac:dyDescent="0.2">
      <c r="N749" s="37"/>
      <c r="O749" s="37"/>
      <c r="P749" s="37"/>
    </row>
    <row r="750" spans="14:16" ht="13.5" customHeight="1" x14ac:dyDescent="0.2">
      <c r="N750" s="37"/>
      <c r="O750" s="37"/>
      <c r="P750" s="37"/>
    </row>
    <row r="751" spans="14:16" ht="13.5" customHeight="1" x14ac:dyDescent="0.2">
      <c r="N751" s="37"/>
      <c r="O751" s="37"/>
      <c r="P751" s="37"/>
    </row>
    <row r="752" spans="14:16" ht="13.5" customHeight="1" x14ac:dyDescent="0.2">
      <c r="N752" s="37"/>
      <c r="O752" s="37"/>
      <c r="P752" s="37"/>
    </row>
    <row r="753" spans="14:16" ht="13.5" customHeight="1" x14ac:dyDescent="0.2">
      <c r="N753" s="37"/>
      <c r="O753" s="37"/>
      <c r="P753" s="37"/>
    </row>
    <row r="754" spans="14:16" ht="13.5" customHeight="1" x14ac:dyDescent="0.2">
      <c r="N754" s="37"/>
      <c r="O754" s="37"/>
      <c r="P754" s="37"/>
    </row>
    <row r="755" spans="14:16" ht="13.5" customHeight="1" x14ac:dyDescent="0.2">
      <c r="N755" s="37"/>
      <c r="O755" s="37"/>
      <c r="P755" s="37"/>
    </row>
    <row r="756" spans="14:16" ht="13.5" customHeight="1" x14ac:dyDescent="0.2">
      <c r="N756" s="37"/>
      <c r="O756" s="37"/>
      <c r="P756" s="37"/>
    </row>
    <row r="757" spans="14:16" ht="13.5" customHeight="1" x14ac:dyDescent="0.2">
      <c r="N757" s="37"/>
      <c r="O757" s="37"/>
      <c r="P757" s="37"/>
    </row>
    <row r="758" spans="14:16" ht="13.5" customHeight="1" x14ac:dyDescent="0.2">
      <c r="N758" s="37"/>
      <c r="O758" s="37"/>
      <c r="P758" s="37"/>
    </row>
    <row r="759" spans="14:16" ht="13.5" customHeight="1" x14ac:dyDescent="0.2">
      <c r="N759" s="37"/>
      <c r="O759" s="37"/>
      <c r="P759" s="37"/>
    </row>
    <row r="760" spans="14:16" ht="13.5" customHeight="1" x14ac:dyDescent="0.2">
      <c r="N760" s="37"/>
      <c r="O760" s="37"/>
      <c r="P760" s="37"/>
    </row>
    <row r="761" spans="14:16" ht="13.5" customHeight="1" x14ac:dyDescent="0.2">
      <c r="N761" s="37"/>
      <c r="O761" s="37"/>
      <c r="P761" s="37"/>
    </row>
    <row r="762" spans="14:16" ht="13.5" customHeight="1" x14ac:dyDescent="0.2">
      <c r="N762" s="37"/>
      <c r="O762" s="37"/>
      <c r="P762" s="37"/>
    </row>
    <row r="763" spans="14:16" ht="13.5" customHeight="1" x14ac:dyDescent="0.2">
      <c r="N763" s="37"/>
      <c r="O763" s="37"/>
      <c r="P763" s="37"/>
    </row>
    <row r="764" spans="14:16" ht="13.5" customHeight="1" x14ac:dyDescent="0.2">
      <c r="N764" s="37"/>
      <c r="O764" s="37"/>
      <c r="P764" s="37"/>
    </row>
    <row r="765" spans="14:16" ht="13.5" customHeight="1" x14ac:dyDescent="0.2">
      <c r="N765" s="37"/>
      <c r="O765" s="37"/>
      <c r="P765" s="37"/>
    </row>
    <row r="766" spans="14:16" ht="13.5" customHeight="1" x14ac:dyDescent="0.2">
      <c r="N766" s="37"/>
      <c r="O766" s="37"/>
      <c r="P766" s="37"/>
    </row>
    <row r="767" spans="14:16" ht="13.5" customHeight="1" x14ac:dyDescent="0.2">
      <c r="N767" s="37"/>
      <c r="O767" s="37"/>
      <c r="P767" s="37"/>
    </row>
    <row r="768" spans="14:16" ht="13.5" customHeight="1" x14ac:dyDescent="0.2">
      <c r="N768" s="37"/>
      <c r="O768" s="37"/>
      <c r="P768" s="37"/>
    </row>
    <row r="769" spans="14:16" ht="13.5" customHeight="1" x14ac:dyDescent="0.2">
      <c r="N769" s="37"/>
      <c r="O769" s="37"/>
      <c r="P769" s="37"/>
    </row>
    <row r="770" spans="14:16" ht="13.5" customHeight="1" x14ac:dyDescent="0.2">
      <c r="N770" s="37"/>
      <c r="O770" s="37"/>
      <c r="P770" s="37"/>
    </row>
    <row r="771" spans="14:16" ht="13.5" customHeight="1" x14ac:dyDescent="0.2">
      <c r="N771" s="37"/>
      <c r="O771" s="37"/>
      <c r="P771" s="37"/>
    </row>
    <row r="772" spans="14:16" ht="13.5" customHeight="1" x14ac:dyDescent="0.2">
      <c r="N772" s="37"/>
      <c r="O772" s="37"/>
      <c r="P772" s="37"/>
    </row>
    <row r="773" spans="14:16" ht="13.5" customHeight="1" x14ac:dyDescent="0.2">
      <c r="N773" s="37"/>
      <c r="O773" s="37"/>
      <c r="P773" s="37"/>
    </row>
    <row r="774" spans="14:16" ht="13.5" customHeight="1" x14ac:dyDescent="0.2">
      <c r="N774" s="37"/>
      <c r="O774" s="37"/>
      <c r="P774" s="37"/>
    </row>
    <row r="775" spans="14:16" ht="13.5" customHeight="1" x14ac:dyDescent="0.2">
      <c r="N775" s="37"/>
      <c r="O775" s="37"/>
      <c r="P775" s="37"/>
    </row>
    <row r="776" spans="14:16" ht="13.5" customHeight="1" x14ac:dyDescent="0.2">
      <c r="N776" s="37"/>
      <c r="O776" s="37"/>
      <c r="P776" s="37"/>
    </row>
    <row r="777" spans="14:16" ht="13.5" customHeight="1" x14ac:dyDescent="0.2">
      <c r="N777" s="37"/>
      <c r="O777" s="37"/>
      <c r="P777" s="37"/>
    </row>
    <row r="778" spans="14:16" ht="13.5" customHeight="1" x14ac:dyDescent="0.2">
      <c r="N778" s="37"/>
      <c r="O778" s="37"/>
      <c r="P778" s="37"/>
    </row>
    <row r="779" spans="14:16" ht="13.5" customHeight="1" x14ac:dyDescent="0.2">
      <c r="N779" s="37"/>
      <c r="O779" s="37"/>
      <c r="P779" s="37"/>
    </row>
    <row r="780" spans="14:16" ht="13.5" customHeight="1" x14ac:dyDescent="0.2">
      <c r="N780" s="37"/>
      <c r="O780" s="37"/>
      <c r="P780" s="37"/>
    </row>
    <row r="781" spans="14:16" ht="13.5" customHeight="1" x14ac:dyDescent="0.2">
      <c r="N781" s="37"/>
      <c r="O781" s="37"/>
      <c r="P781" s="37"/>
    </row>
    <row r="782" spans="14:16" ht="13.5" customHeight="1" x14ac:dyDescent="0.2">
      <c r="N782" s="37"/>
      <c r="O782" s="37"/>
      <c r="P782" s="37"/>
    </row>
    <row r="783" spans="14:16" ht="13.5" customHeight="1" x14ac:dyDescent="0.2">
      <c r="N783" s="37"/>
      <c r="O783" s="37"/>
      <c r="P783" s="37"/>
    </row>
    <row r="784" spans="14:16" ht="13.5" customHeight="1" x14ac:dyDescent="0.2">
      <c r="N784" s="37"/>
      <c r="O784" s="37"/>
      <c r="P784" s="37"/>
    </row>
    <row r="785" spans="14:16" ht="13.5" customHeight="1" x14ac:dyDescent="0.2">
      <c r="N785" s="37"/>
      <c r="O785" s="37"/>
      <c r="P785" s="37"/>
    </row>
    <row r="786" spans="14:16" ht="13.5" customHeight="1" x14ac:dyDescent="0.2">
      <c r="N786" s="37"/>
      <c r="O786" s="37"/>
      <c r="P786" s="37"/>
    </row>
    <row r="787" spans="14:16" ht="13.5" customHeight="1" x14ac:dyDescent="0.2">
      <c r="N787" s="37"/>
      <c r="O787" s="37"/>
      <c r="P787" s="37"/>
    </row>
    <row r="788" spans="14:16" ht="13.5" customHeight="1" x14ac:dyDescent="0.2">
      <c r="N788" s="37"/>
      <c r="O788" s="37"/>
      <c r="P788" s="37"/>
    </row>
    <row r="789" spans="14:16" ht="13.5" customHeight="1" x14ac:dyDescent="0.2">
      <c r="N789" s="37"/>
      <c r="O789" s="37"/>
      <c r="P789" s="37"/>
    </row>
    <row r="790" spans="14:16" ht="13.5" customHeight="1" x14ac:dyDescent="0.2">
      <c r="N790" s="37"/>
      <c r="O790" s="37"/>
      <c r="P790" s="37"/>
    </row>
    <row r="791" spans="14:16" ht="13.5" customHeight="1" x14ac:dyDescent="0.2">
      <c r="N791" s="37"/>
      <c r="O791" s="37"/>
      <c r="P791" s="37"/>
    </row>
    <row r="792" spans="14:16" ht="13.5" customHeight="1" x14ac:dyDescent="0.2">
      <c r="N792" s="37"/>
      <c r="O792" s="37"/>
      <c r="P792" s="37"/>
    </row>
    <row r="793" spans="14:16" ht="13.5" customHeight="1" x14ac:dyDescent="0.2">
      <c r="N793" s="37"/>
      <c r="O793" s="37"/>
      <c r="P793" s="37"/>
    </row>
    <row r="794" spans="14:16" ht="13.5" customHeight="1" x14ac:dyDescent="0.2">
      <c r="N794" s="37"/>
      <c r="O794" s="37"/>
      <c r="P794" s="37"/>
    </row>
    <row r="795" spans="14:16" ht="13.5" customHeight="1" x14ac:dyDescent="0.2">
      <c r="N795" s="37"/>
      <c r="O795" s="37"/>
      <c r="P795" s="37"/>
    </row>
    <row r="796" spans="14:16" ht="13.5" customHeight="1" x14ac:dyDescent="0.2">
      <c r="N796" s="37"/>
      <c r="O796" s="37"/>
      <c r="P796" s="37"/>
    </row>
    <row r="797" spans="14:16" ht="13.5" customHeight="1" x14ac:dyDescent="0.2">
      <c r="N797" s="37"/>
      <c r="O797" s="37"/>
      <c r="P797" s="37"/>
    </row>
    <row r="798" spans="14:16" ht="13.5" customHeight="1" x14ac:dyDescent="0.2">
      <c r="N798" s="37"/>
      <c r="O798" s="37"/>
      <c r="P798" s="37"/>
    </row>
    <row r="799" spans="14:16" ht="13.5" customHeight="1" x14ac:dyDescent="0.2">
      <c r="N799" s="37"/>
      <c r="O799" s="37"/>
      <c r="P799" s="37"/>
    </row>
    <row r="800" spans="14:16" ht="13.5" customHeight="1" x14ac:dyDescent="0.2">
      <c r="N800" s="37"/>
      <c r="O800" s="37"/>
      <c r="P800" s="37"/>
    </row>
    <row r="801" spans="14:16" ht="13.5" customHeight="1" x14ac:dyDescent="0.2">
      <c r="N801" s="37"/>
      <c r="O801" s="37"/>
      <c r="P801" s="37"/>
    </row>
    <row r="802" spans="14:16" ht="13.5" customHeight="1" x14ac:dyDescent="0.2">
      <c r="N802" s="37"/>
      <c r="O802" s="37"/>
      <c r="P802" s="37"/>
    </row>
    <row r="803" spans="14:16" ht="13.5" customHeight="1" x14ac:dyDescent="0.2">
      <c r="N803" s="37"/>
      <c r="O803" s="37"/>
      <c r="P803" s="37"/>
    </row>
    <row r="804" spans="14:16" ht="13.5" customHeight="1" x14ac:dyDescent="0.2">
      <c r="N804" s="37"/>
      <c r="O804" s="37"/>
      <c r="P804" s="37"/>
    </row>
    <row r="805" spans="14:16" ht="13.5" customHeight="1" x14ac:dyDescent="0.2">
      <c r="N805" s="37"/>
      <c r="O805" s="37"/>
      <c r="P805" s="37"/>
    </row>
    <row r="806" spans="14:16" ht="13.5" customHeight="1" x14ac:dyDescent="0.2">
      <c r="N806" s="37"/>
      <c r="O806" s="37"/>
      <c r="P806" s="37"/>
    </row>
    <row r="807" spans="14:16" ht="13.5" customHeight="1" x14ac:dyDescent="0.2">
      <c r="N807" s="37"/>
      <c r="O807" s="37"/>
      <c r="P807" s="37"/>
    </row>
    <row r="808" spans="14:16" ht="13.5" customHeight="1" x14ac:dyDescent="0.2">
      <c r="N808" s="37"/>
      <c r="O808" s="37"/>
      <c r="P808" s="37"/>
    </row>
    <row r="809" spans="14:16" ht="13.5" customHeight="1" x14ac:dyDescent="0.2">
      <c r="N809" s="37"/>
      <c r="O809" s="37"/>
      <c r="P809" s="37"/>
    </row>
    <row r="810" spans="14:16" ht="13.5" customHeight="1" x14ac:dyDescent="0.2">
      <c r="N810" s="37"/>
      <c r="O810" s="37"/>
      <c r="P810" s="37"/>
    </row>
    <row r="811" spans="14:16" ht="13.5" customHeight="1" x14ac:dyDescent="0.2">
      <c r="N811" s="37"/>
      <c r="O811" s="37"/>
      <c r="P811" s="37"/>
    </row>
    <row r="812" spans="14:16" ht="13.5" customHeight="1" x14ac:dyDescent="0.2">
      <c r="N812" s="37"/>
      <c r="O812" s="37"/>
      <c r="P812" s="37"/>
    </row>
    <row r="813" spans="14:16" ht="13.5" customHeight="1" x14ac:dyDescent="0.2">
      <c r="N813" s="37"/>
      <c r="O813" s="37"/>
      <c r="P813" s="37"/>
    </row>
    <row r="814" spans="14:16" ht="13.5" customHeight="1" x14ac:dyDescent="0.2">
      <c r="N814" s="37"/>
      <c r="O814" s="37"/>
      <c r="P814" s="37"/>
    </row>
    <row r="815" spans="14:16" ht="13.5" customHeight="1" x14ac:dyDescent="0.2">
      <c r="N815" s="37"/>
      <c r="O815" s="37"/>
      <c r="P815" s="37"/>
    </row>
    <row r="816" spans="14:16" ht="13.5" customHeight="1" x14ac:dyDescent="0.2">
      <c r="N816" s="37"/>
      <c r="O816" s="37"/>
      <c r="P816" s="37"/>
    </row>
    <row r="817" spans="14:16" ht="13.5" customHeight="1" x14ac:dyDescent="0.2">
      <c r="N817" s="37"/>
      <c r="O817" s="37"/>
      <c r="P817" s="37"/>
    </row>
    <row r="818" spans="14:16" ht="13.5" customHeight="1" x14ac:dyDescent="0.2">
      <c r="N818" s="37"/>
      <c r="O818" s="37"/>
      <c r="P818" s="37"/>
    </row>
    <row r="819" spans="14:16" ht="13.5" customHeight="1" x14ac:dyDescent="0.2">
      <c r="N819" s="37"/>
      <c r="O819" s="37"/>
      <c r="P819" s="37"/>
    </row>
    <row r="820" spans="14:16" ht="13.5" customHeight="1" x14ac:dyDescent="0.2">
      <c r="N820" s="37"/>
      <c r="O820" s="37"/>
      <c r="P820" s="37"/>
    </row>
    <row r="821" spans="14:16" ht="13.5" customHeight="1" x14ac:dyDescent="0.2">
      <c r="N821" s="37"/>
      <c r="O821" s="37"/>
      <c r="P821" s="37"/>
    </row>
    <row r="822" spans="14:16" ht="13.5" customHeight="1" x14ac:dyDescent="0.2">
      <c r="N822" s="37"/>
      <c r="O822" s="37"/>
      <c r="P822" s="37"/>
    </row>
    <row r="823" spans="14:16" ht="13.5" customHeight="1" x14ac:dyDescent="0.2">
      <c r="N823" s="37"/>
      <c r="O823" s="37"/>
      <c r="P823" s="37"/>
    </row>
    <row r="824" spans="14:16" ht="13.5" customHeight="1" x14ac:dyDescent="0.2">
      <c r="N824" s="37"/>
      <c r="O824" s="37"/>
      <c r="P824" s="37"/>
    </row>
    <row r="825" spans="14:16" ht="13.5" customHeight="1" x14ac:dyDescent="0.2">
      <c r="N825" s="37"/>
      <c r="O825" s="37"/>
      <c r="P825" s="37"/>
    </row>
    <row r="826" spans="14:16" ht="13.5" customHeight="1" x14ac:dyDescent="0.2">
      <c r="N826" s="37"/>
      <c r="O826" s="37"/>
      <c r="P826" s="37"/>
    </row>
    <row r="827" spans="14:16" ht="13.5" customHeight="1" x14ac:dyDescent="0.2">
      <c r="N827" s="37"/>
      <c r="O827" s="37"/>
      <c r="P827" s="37"/>
    </row>
    <row r="828" spans="14:16" ht="13.5" customHeight="1" x14ac:dyDescent="0.2">
      <c r="N828" s="37"/>
      <c r="O828" s="37"/>
      <c r="P828" s="37"/>
    </row>
    <row r="829" spans="14:16" ht="13.5" customHeight="1" x14ac:dyDescent="0.2">
      <c r="N829" s="37"/>
      <c r="O829" s="37"/>
      <c r="P829" s="37"/>
    </row>
    <row r="830" spans="14:16" ht="13.5" customHeight="1" x14ac:dyDescent="0.2">
      <c r="N830" s="37"/>
      <c r="O830" s="37"/>
      <c r="P830" s="37"/>
    </row>
    <row r="831" spans="14:16" ht="13.5" customHeight="1" x14ac:dyDescent="0.2">
      <c r="N831" s="37"/>
      <c r="O831" s="37"/>
      <c r="P831" s="37"/>
    </row>
    <row r="832" spans="14:16" ht="13.5" customHeight="1" x14ac:dyDescent="0.2">
      <c r="N832" s="37"/>
      <c r="O832" s="37"/>
      <c r="P832" s="37"/>
    </row>
    <row r="833" spans="14:16" ht="13.5" customHeight="1" x14ac:dyDescent="0.2">
      <c r="N833" s="37"/>
      <c r="O833" s="37"/>
      <c r="P833" s="37"/>
    </row>
    <row r="834" spans="14:16" ht="13.5" customHeight="1" x14ac:dyDescent="0.2">
      <c r="N834" s="37"/>
      <c r="O834" s="37"/>
      <c r="P834" s="37"/>
    </row>
    <row r="835" spans="14:16" ht="13.5" customHeight="1" x14ac:dyDescent="0.2">
      <c r="N835" s="37"/>
      <c r="O835" s="37"/>
      <c r="P835" s="37"/>
    </row>
    <row r="836" spans="14:16" ht="13.5" customHeight="1" x14ac:dyDescent="0.2">
      <c r="N836" s="37"/>
      <c r="O836" s="37"/>
      <c r="P836" s="37"/>
    </row>
    <row r="837" spans="14:16" ht="13.5" customHeight="1" x14ac:dyDescent="0.2">
      <c r="N837" s="37"/>
      <c r="O837" s="37"/>
      <c r="P837" s="37"/>
    </row>
    <row r="838" spans="14:16" ht="13.5" customHeight="1" x14ac:dyDescent="0.2">
      <c r="N838" s="37"/>
      <c r="O838" s="37"/>
      <c r="P838" s="37"/>
    </row>
    <row r="839" spans="14:16" ht="13.5" customHeight="1" x14ac:dyDescent="0.2">
      <c r="N839" s="37"/>
      <c r="O839" s="37"/>
      <c r="P839" s="37"/>
    </row>
    <row r="840" spans="14:16" ht="13.5" customHeight="1" x14ac:dyDescent="0.2">
      <c r="N840" s="37"/>
      <c r="O840" s="37"/>
      <c r="P840" s="37"/>
    </row>
    <row r="841" spans="14:16" ht="13.5" customHeight="1" x14ac:dyDescent="0.2">
      <c r="N841" s="37"/>
      <c r="O841" s="37"/>
      <c r="P841" s="37"/>
    </row>
    <row r="842" spans="14:16" ht="13.5" customHeight="1" x14ac:dyDescent="0.2">
      <c r="N842" s="37"/>
      <c r="O842" s="37"/>
      <c r="P842" s="37"/>
    </row>
    <row r="843" spans="14:16" ht="13.5" customHeight="1" x14ac:dyDescent="0.2">
      <c r="N843" s="37"/>
      <c r="O843" s="37"/>
      <c r="P843" s="37"/>
    </row>
    <row r="844" spans="14:16" ht="13.5" customHeight="1" x14ac:dyDescent="0.2">
      <c r="N844" s="37"/>
      <c r="O844" s="37"/>
      <c r="P844" s="37"/>
    </row>
    <row r="845" spans="14:16" ht="13.5" customHeight="1" x14ac:dyDescent="0.2">
      <c r="N845" s="37"/>
      <c r="O845" s="37"/>
      <c r="P845" s="37"/>
    </row>
    <row r="846" spans="14:16" ht="13.5" customHeight="1" x14ac:dyDescent="0.2">
      <c r="N846" s="37"/>
      <c r="O846" s="37"/>
      <c r="P846" s="37"/>
    </row>
    <row r="847" spans="14:16" ht="13.5" customHeight="1" x14ac:dyDescent="0.2">
      <c r="N847" s="37"/>
      <c r="O847" s="37"/>
      <c r="P847" s="37"/>
    </row>
    <row r="848" spans="14:16" ht="13.5" customHeight="1" x14ac:dyDescent="0.2">
      <c r="N848" s="37"/>
      <c r="O848" s="37"/>
      <c r="P848" s="37"/>
    </row>
    <row r="849" spans="14:16" ht="13.5" customHeight="1" x14ac:dyDescent="0.2">
      <c r="N849" s="37"/>
      <c r="O849" s="37"/>
      <c r="P849" s="37"/>
    </row>
    <row r="850" spans="14:16" ht="13.5" customHeight="1" x14ac:dyDescent="0.2">
      <c r="N850" s="37"/>
      <c r="O850" s="37"/>
      <c r="P850" s="37"/>
    </row>
    <row r="851" spans="14:16" ht="13.5" customHeight="1" x14ac:dyDescent="0.2">
      <c r="N851" s="37"/>
      <c r="O851" s="37"/>
      <c r="P851" s="37"/>
    </row>
    <row r="852" spans="14:16" ht="13.5" customHeight="1" x14ac:dyDescent="0.2">
      <c r="N852" s="37"/>
      <c r="O852" s="37"/>
      <c r="P852" s="37"/>
    </row>
    <row r="853" spans="14:16" ht="13.5" customHeight="1" x14ac:dyDescent="0.2">
      <c r="N853" s="37"/>
      <c r="O853" s="37"/>
      <c r="P853" s="37"/>
    </row>
    <row r="854" spans="14:16" ht="13.5" customHeight="1" x14ac:dyDescent="0.2">
      <c r="N854" s="37"/>
      <c r="O854" s="37"/>
      <c r="P854" s="37"/>
    </row>
    <row r="855" spans="14:16" ht="13.5" customHeight="1" x14ac:dyDescent="0.2">
      <c r="N855" s="37"/>
      <c r="O855" s="37"/>
      <c r="P855" s="37"/>
    </row>
    <row r="856" spans="14:16" ht="13.5" customHeight="1" x14ac:dyDescent="0.2">
      <c r="N856" s="37"/>
      <c r="O856" s="37"/>
      <c r="P856" s="37"/>
    </row>
    <row r="857" spans="14:16" ht="13.5" customHeight="1" x14ac:dyDescent="0.2">
      <c r="N857" s="37"/>
      <c r="O857" s="37"/>
      <c r="P857" s="37"/>
    </row>
    <row r="858" spans="14:16" ht="13.5" customHeight="1" x14ac:dyDescent="0.2">
      <c r="N858" s="37"/>
      <c r="O858" s="37"/>
      <c r="P858" s="37"/>
    </row>
    <row r="859" spans="14:16" ht="13.5" customHeight="1" x14ac:dyDescent="0.2">
      <c r="N859" s="37"/>
      <c r="O859" s="37"/>
      <c r="P859" s="37"/>
    </row>
    <row r="860" spans="14:16" ht="13.5" customHeight="1" x14ac:dyDescent="0.2">
      <c r="N860" s="37"/>
      <c r="O860" s="37"/>
      <c r="P860" s="37"/>
    </row>
    <row r="861" spans="14:16" ht="13.5" customHeight="1" x14ac:dyDescent="0.2">
      <c r="N861" s="37"/>
      <c r="O861" s="37"/>
      <c r="P861" s="37"/>
    </row>
    <row r="862" spans="14:16" ht="13.5" customHeight="1" x14ac:dyDescent="0.2">
      <c r="N862" s="37"/>
      <c r="O862" s="37"/>
      <c r="P862" s="37"/>
    </row>
    <row r="863" spans="14:16" ht="13.5" customHeight="1" x14ac:dyDescent="0.2">
      <c r="N863" s="37"/>
      <c r="O863" s="37"/>
      <c r="P863" s="37"/>
    </row>
    <row r="864" spans="14:16" ht="13.5" customHeight="1" x14ac:dyDescent="0.2">
      <c r="N864" s="37"/>
      <c r="O864" s="37"/>
      <c r="P864" s="37"/>
    </row>
    <row r="865" spans="14:16" ht="13.5" customHeight="1" x14ac:dyDescent="0.2">
      <c r="N865" s="37"/>
      <c r="O865" s="37"/>
      <c r="P865" s="37"/>
    </row>
    <row r="866" spans="14:16" ht="13.5" customHeight="1" x14ac:dyDescent="0.2">
      <c r="N866" s="37"/>
      <c r="O866" s="37"/>
      <c r="P866" s="37"/>
    </row>
    <row r="867" spans="14:16" ht="13.5" customHeight="1" x14ac:dyDescent="0.2">
      <c r="N867" s="37"/>
      <c r="O867" s="37"/>
      <c r="P867" s="37"/>
    </row>
    <row r="868" spans="14:16" ht="13.5" customHeight="1" x14ac:dyDescent="0.2">
      <c r="N868" s="37"/>
      <c r="O868" s="37"/>
      <c r="P868" s="37"/>
    </row>
    <row r="869" spans="14:16" ht="13.5" customHeight="1" x14ac:dyDescent="0.2">
      <c r="N869" s="37"/>
      <c r="O869" s="37"/>
      <c r="P869" s="37"/>
    </row>
    <row r="870" spans="14:16" ht="13.5" customHeight="1" x14ac:dyDescent="0.2">
      <c r="N870" s="37"/>
      <c r="O870" s="37"/>
      <c r="P870" s="37"/>
    </row>
    <row r="871" spans="14:16" ht="13.5" customHeight="1" x14ac:dyDescent="0.2">
      <c r="N871" s="37"/>
      <c r="O871" s="37"/>
      <c r="P871" s="37"/>
    </row>
    <row r="872" spans="14:16" ht="13.5" customHeight="1" x14ac:dyDescent="0.2">
      <c r="N872" s="37"/>
      <c r="O872" s="37"/>
      <c r="P872" s="37"/>
    </row>
    <row r="873" spans="14:16" ht="13.5" customHeight="1" x14ac:dyDescent="0.2">
      <c r="N873" s="37"/>
      <c r="O873" s="37"/>
      <c r="P873" s="37"/>
    </row>
    <row r="874" spans="14:16" ht="13.5" customHeight="1" x14ac:dyDescent="0.2">
      <c r="N874" s="37"/>
      <c r="O874" s="37"/>
      <c r="P874" s="37"/>
    </row>
    <row r="875" spans="14:16" ht="13.5" customHeight="1" x14ac:dyDescent="0.2">
      <c r="N875" s="37"/>
      <c r="O875" s="37"/>
      <c r="P875" s="37"/>
    </row>
    <row r="876" spans="14:16" ht="13.5" customHeight="1" x14ac:dyDescent="0.2">
      <c r="N876" s="37"/>
      <c r="O876" s="37"/>
      <c r="P876" s="37"/>
    </row>
    <row r="877" spans="14:16" ht="13.5" customHeight="1" x14ac:dyDescent="0.2">
      <c r="N877" s="37"/>
      <c r="O877" s="37"/>
      <c r="P877" s="37"/>
    </row>
    <row r="878" spans="14:16" ht="13.5" customHeight="1" x14ac:dyDescent="0.2">
      <c r="N878" s="37"/>
      <c r="O878" s="37"/>
      <c r="P878" s="37"/>
    </row>
    <row r="879" spans="14:16" ht="13.5" customHeight="1" x14ac:dyDescent="0.2">
      <c r="N879" s="37"/>
      <c r="O879" s="37"/>
      <c r="P879" s="37"/>
    </row>
    <row r="880" spans="14:16" ht="13.5" customHeight="1" x14ac:dyDescent="0.2">
      <c r="N880" s="37"/>
      <c r="O880" s="37"/>
      <c r="P880" s="37"/>
    </row>
    <row r="881" spans="14:16" ht="13.5" customHeight="1" x14ac:dyDescent="0.2">
      <c r="N881" s="37"/>
      <c r="O881" s="37"/>
      <c r="P881" s="37"/>
    </row>
    <row r="882" spans="14:16" ht="13.5" customHeight="1" x14ac:dyDescent="0.2">
      <c r="N882" s="37"/>
      <c r="O882" s="37"/>
      <c r="P882" s="37"/>
    </row>
    <row r="883" spans="14:16" ht="13.5" customHeight="1" x14ac:dyDescent="0.2">
      <c r="N883" s="37"/>
      <c r="O883" s="37"/>
      <c r="P883" s="37"/>
    </row>
    <row r="884" spans="14:16" ht="13.5" customHeight="1" x14ac:dyDescent="0.2">
      <c r="N884" s="37"/>
      <c r="O884" s="37"/>
      <c r="P884" s="37"/>
    </row>
    <row r="885" spans="14:16" ht="13.5" customHeight="1" x14ac:dyDescent="0.2">
      <c r="N885" s="37"/>
      <c r="O885" s="37"/>
      <c r="P885" s="37"/>
    </row>
    <row r="886" spans="14:16" ht="13.5" customHeight="1" x14ac:dyDescent="0.2">
      <c r="N886" s="37"/>
      <c r="O886" s="37"/>
      <c r="P886" s="37"/>
    </row>
    <row r="887" spans="14:16" ht="13.5" customHeight="1" x14ac:dyDescent="0.2">
      <c r="N887" s="37"/>
      <c r="O887" s="37"/>
      <c r="P887" s="37"/>
    </row>
    <row r="888" spans="14:16" ht="13.5" customHeight="1" x14ac:dyDescent="0.2">
      <c r="N888" s="37"/>
      <c r="O888" s="37"/>
      <c r="P888" s="37"/>
    </row>
    <row r="889" spans="14:16" ht="13.5" customHeight="1" x14ac:dyDescent="0.2">
      <c r="N889" s="37"/>
      <c r="O889" s="37"/>
      <c r="P889" s="37"/>
    </row>
    <row r="890" spans="14:16" ht="13.5" customHeight="1" x14ac:dyDescent="0.2">
      <c r="N890" s="37"/>
      <c r="O890" s="37"/>
      <c r="P890" s="37"/>
    </row>
    <row r="891" spans="14:16" ht="13.5" customHeight="1" x14ac:dyDescent="0.2">
      <c r="N891" s="37"/>
      <c r="O891" s="37"/>
      <c r="P891" s="37"/>
    </row>
    <row r="892" spans="14:16" ht="13.5" customHeight="1" x14ac:dyDescent="0.2">
      <c r="N892" s="37"/>
      <c r="O892" s="37"/>
      <c r="P892" s="37"/>
    </row>
    <row r="893" spans="14:16" ht="13.5" customHeight="1" x14ac:dyDescent="0.2">
      <c r="N893" s="37"/>
      <c r="O893" s="37"/>
      <c r="P893" s="37"/>
    </row>
    <row r="894" spans="14:16" ht="13.5" customHeight="1" x14ac:dyDescent="0.2">
      <c r="N894" s="37"/>
      <c r="O894" s="37"/>
      <c r="P894" s="37"/>
    </row>
    <row r="895" spans="14:16" ht="13.5" customHeight="1" x14ac:dyDescent="0.2">
      <c r="N895" s="37"/>
      <c r="O895" s="37"/>
      <c r="P895" s="37"/>
    </row>
    <row r="896" spans="14:16" ht="13.5" customHeight="1" x14ac:dyDescent="0.2">
      <c r="N896" s="37"/>
      <c r="O896" s="37"/>
      <c r="P896" s="37"/>
    </row>
    <row r="897" spans="14:16" ht="13.5" customHeight="1" x14ac:dyDescent="0.2">
      <c r="N897" s="37"/>
      <c r="O897" s="37"/>
      <c r="P897" s="37"/>
    </row>
    <row r="898" spans="14:16" ht="13.5" customHeight="1" x14ac:dyDescent="0.2">
      <c r="N898" s="37"/>
      <c r="O898" s="37"/>
      <c r="P898" s="37"/>
    </row>
    <row r="899" spans="14:16" ht="13.5" customHeight="1" x14ac:dyDescent="0.2">
      <c r="N899" s="37"/>
      <c r="O899" s="37"/>
      <c r="P899" s="37"/>
    </row>
    <row r="900" spans="14:16" ht="13.5" customHeight="1" x14ac:dyDescent="0.2">
      <c r="N900" s="37"/>
      <c r="O900" s="37"/>
      <c r="P900" s="37"/>
    </row>
    <row r="901" spans="14:16" ht="13.5" customHeight="1" x14ac:dyDescent="0.2">
      <c r="N901" s="37"/>
      <c r="O901" s="37"/>
      <c r="P901" s="37"/>
    </row>
    <row r="902" spans="14:16" ht="13.5" customHeight="1" x14ac:dyDescent="0.2">
      <c r="N902" s="37"/>
      <c r="O902" s="37"/>
      <c r="P902" s="37"/>
    </row>
    <row r="903" spans="14:16" ht="13.5" customHeight="1" x14ac:dyDescent="0.2">
      <c r="N903" s="37"/>
      <c r="O903" s="37"/>
      <c r="P903" s="37"/>
    </row>
    <row r="904" spans="14:16" ht="13.5" customHeight="1" x14ac:dyDescent="0.2">
      <c r="N904" s="37"/>
      <c r="O904" s="37"/>
      <c r="P904" s="37"/>
    </row>
    <row r="905" spans="14:16" ht="13.5" customHeight="1" x14ac:dyDescent="0.2">
      <c r="N905" s="37"/>
      <c r="O905" s="37"/>
      <c r="P905" s="37"/>
    </row>
    <row r="906" spans="14:16" ht="13.5" customHeight="1" x14ac:dyDescent="0.2">
      <c r="N906" s="37"/>
      <c r="O906" s="37"/>
      <c r="P906" s="37"/>
    </row>
    <row r="907" spans="14:16" ht="13.5" customHeight="1" x14ac:dyDescent="0.2">
      <c r="N907" s="37"/>
      <c r="O907" s="37"/>
      <c r="P907" s="37"/>
    </row>
    <row r="908" spans="14:16" ht="13.5" customHeight="1" x14ac:dyDescent="0.2">
      <c r="N908" s="37"/>
      <c r="O908" s="37"/>
      <c r="P908" s="37"/>
    </row>
    <row r="909" spans="14:16" ht="13.5" customHeight="1" x14ac:dyDescent="0.2">
      <c r="N909" s="37"/>
      <c r="O909" s="37"/>
      <c r="P909" s="37"/>
    </row>
    <row r="910" spans="14:16" ht="13.5" customHeight="1" x14ac:dyDescent="0.2">
      <c r="N910" s="37"/>
      <c r="O910" s="37"/>
      <c r="P910" s="37"/>
    </row>
    <row r="911" spans="14:16" ht="13.5" customHeight="1" x14ac:dyDescent="0.2">
      <c r="N911" s="37"/>
      <c r="O911" s="37"/>
      <c r="P911" s="37"/>
    </row>
    <row r="912" spans="14:16" ht="13.5" customHeight="1" x14ac:dyDescent="0.2">
      <c r="N912" s="37"/>
      <c r="O912" s="37"/>
      <c r="P912" s="37"/>
    </row>
    <row r="913" spans="14:16" ht="13.5" customHeight="1" x14ac:dyDescent="0.2">
      <c r="N913" s="37"/>
      <c r="O913" s="37"/>
      <c r="P913" s="37"/>
    </row>
    <row r="914" spans="14:16" ht="13.5" customHeight="1" x14ac:dyDescent="0.2">
      <c r="N914" s="37"/>
      <c r="O914" s="37"/>
      <c r="P914" s="37"/>
    </row>
    <row r="915" spans="14:16" ht="13.5" customHeight="1" x14ac:dyDescent="0.2">
      <c r="N915" s="37"/>
      <c r="O915" s="37"/>
      <c r="P915" s="37"/>
    </row>
    <row r="916" spans="14:16" ht="13.5" customHeight="1" x14ac:dyDescent="0.2">
      <c r="N916" s="37"/>
      <c r="O916" s="37"/>
      <c r="P916" s="37"/>
    </row>
    <row r="917" spans="14:16" ht="13.5" customHeight="1" x14ac:dyDescent="0.2">
      <c r="N917" s="37"/>
      <c r="O917" s="37"/>
      <c r="P917" s="37"/>
    </row>
    <row r="918" spans="14:16" ht="13.5" customHeight="1" x14ac:dyDescent="0.2">
      <c r="N918" s="37"/>
      <c r="O918" s="37"/>
      <c r="P918" s="37"/>
    </row>
    <row r="919" spans="14:16" ht="13.5" customHeight="1" x14ac:dyDescent="0.2">
      <c r="N919" s="37"/>
      <c r="O919" s="37"/>
      <c r="P919" s="37"/>
    </row>
    <row r="920" spans="14:16" ht="13.5" customHeight="1" x14ac:dyDescent="0.2">
      <c r="N920" s="37"/>
      <c r="O920" s="37"/>
      <c r="P920" s="37"/>
    </row>
    <row r="921" spans="14:16" ht="13.5" customHeight="1" x14ac:dyDescent="0.2">
      <c r="N921" s="37"/>
      <c r="O921" s="37"/>
      <c r="P921" s="37"/>
    </row>
    <row r="922" spans="14:16" ht="13.5" customHeight="1" x14ac:dyDescent="0.2">
      <c r="N922" s="37"/>
      <c r="O922" s="37"/>
      <c r="P922" s="37"/>
    </row>
    <row r="923" spans="14:16" ht="13.5" customHeight="1" x14ac:dyDescent="0.2">
      <c r="N923" s="37"/>
      <c r="O923" s="37"/>
      <c r="P923" s="37"/>
    </row>
    <row r="924" spans="14:16" ht="13.5" customHeight="1" x14ac:dyDescent="0.2">
      <c r="N924" s="37"/>
      <c r="O924" s="37"/>
      <c r="P924" s="37"/>
    </row>
    <row r="925" spans="14:16" ht="13.5" customHeight="1" x14ac:dyDescent="0.2">
      <c r="N925" s="37"/>
      <c r="O925" s="37"/>
      <c r="P925" s="37"/>
    </row>
    <row r="926" spans="14:16" ht="13.5" customHeight="1" x14ac:dyDescent="0.2">
      <c r="N926" s="37"/>
      <c r="O926" s="37"/>
      <c r="P926" s="37"/>
    </row>
    <row r="927" spans="14:16" ht="13.5" customHeight="1" x14ac:dyDescent="0.2">
      <c r="N927" s="37"/>
      <c r="O927" s="37"/>
      <c r="P927" s="37"/>
    </row>
    <row r="928" spans="14:16" ht="13.5" customHeight="1" x14ac:dyDescent="0.2">
      <c r="N928" s="37"/>
      <c r="O928" s="37"/>
      <c r="P928" s="37"/>
    </row>
    <row r="929" spans="14:16" ht="13.5" customHeight="1" x14ac:dyDescent="0.2">
      <c r="N929" s="37"/>
      <c r="O929" s="37"/>
      <c r="P929" s="37"/>
    </row>
    <row r="930" spans="14:16" ht="13.5" customHeight="1" x14ac:dyDescent="0.2">
      <c r="N930" s="37"/>
      <c r="O930" s="37"/>
      <c r="P930" s="37"/>
    </row>
    <row r="931" spans="14:16" ht="13.5" customHeight="1" x14ac:dyDescent="0.2">
      <c r="N931" s="37"/>
      <c r="O931" s="37"/>
      <c r="P931" s="37"/>
    </row>
    <row r="932" spans="14:16" ht="13.5" customHeight="1" x14ac:dyDescent="0.2">
      <c r="N932" s="37"/>
      <c r="O932" s="37"/>
      <c r="P932" s="37"/>
    </row>
    <row r="933" spans="14:16" ht="13.5" customHeight="1" x14ac:dyDescent="0.2">
      <c r="N933" s="37"/>
      <c r="O933" s="37"/>
      <c r="P933" s="37"/>
    </row>
    <row r="934" spans="14:16" ht="13.5" customHeight="1" x14ac:dyDescent="0.2">
      <c r="N934" s="37"/>
      <c r="O934" s="37"/>
      <c r="P934" s="37"/>
    </row>
    <row r="935" spans="14:16" ht="13.5" customHeight="1" x14ac:dyDescent="0.2">
      <c r="N935" s="37"/>
      <c r="O935" s="37"/>
      <c r="P935" s="37"/>
    </row>
    <row r="936" spans="14:16" ht="13.5" customHeight="1" x14ac:dyDescent="0.2">
      <c r="N936" s="37"/>
      <c r="O936" s="37"/>
      <c r="P936" s="37"/>
    </row>
    <row r="937" spans="14:16" ht="13.5" customHeight="1" x14ac:dyDescent="0.2">
      <c r="N937" s="37"/>
      <c r="O937" s="37"/>
      <c r="P937" s="37"/>
    </row>
    <row r="938" spans="14:16" ht="13.5" customHeight="1" x14ac:dyDescent="0.2">
      <c r="N938" s="37"/>
      <c r="O938" s="37"/>
      <c r="P938" s="37"/>
    </row>
    <row r="939" spans="14:16" ht="13.5" customHeight="1" x14ac:dyDescent="0.2">
      <c r="N939" s="37"/>
      <c r="O939" s="37"/>
      <c r="P939" s="37"/>
    </row>
    <row r="940" spans="14:16" ht="13.5" customHeight="1" x14ac:dyDescent="0.2">
      <c r="N940" s="37"/>
      <c r="O940" s="37"/>
      <c r="P940" s="37"/>
    </row>
    <row r="941" spans="14:16" ht="13.5" customHeight="1" x14ac:dyDescent="0.2">
      <c r="N941" s="37"/>
      <c r="O941" s="37"/>
      <c r="P941" s="37"/>
    </row>
    <row r="942" spans="14:16" ht="13.5" customHeight="1" x14ac:dyDescent="0.2">
      <c r="N942" s="37"/>
      <c r="O942" s="37"/>
      <c r="P942" s="37"/>
    </row>
    <row r="943" spans="14:16" ht="13.5" customHeight="1" x14ac:dyDescent="0.2">
      <c r="N943" s="37"/>
      <c r="O943" s="37"/>
      <c r="P943" s="37"/>
    </row>
    <row r="944" spans="14:16" ht="13.5" customHeight="1" x14ac:dyDescent="0.2">
      <c r="N944" s="37"/>
      <c r="O944" s="37"/>
      <c r="P944" s="37"/>
    </row>
    <row r="945" spans="14:16" ht="13.5" customHeight="1" x14ac:dyDescent="0.2">
      <c r="N945" s="37"/>
      <c r="O945" s="37"/>
      <c r="P945" s="37"/>
    </row>
    <row r="946" spans="14:16" ht="13.5" customHeight="1" x14ac:dyDescent="0.2">
      <c r="N946" s="37"/>
      <c r="O946" s="37"/>
      <c r="P946" s="37"/>
    </row>
    <row r="947" spans="14:16" ht="13.5" customHeight="1" x14ac:dyDescent="0.2">
      <c r="N947" s="37"/>
      <c r="O947" s="37"/>
      <c r="P947" s="37"/>
    </row>
    <row r="948" spans="14:16" ht="13.5" customHeight="1" x14ac:dyDescent="0.2">
      <c r="N948" s="37"/>
      <c r="O948" s="37"/>
      <c r="P948" s="37"/>
    </row>
    <row r="949" spans="14:16" ht="13.5" customHeight="1" x14ac:dyDescent="0.2">
      <c r="N949" s="37"/>
      <c r="O949" s="37"/>
      <c r="P949" s="37"/>
    </row>
    <row r="950" spans="14:16" ht="13.5" customHeight="1" x14ac:dyDescent="0.2">
      <c r="N950" s="37"/>
      <c r="O950" s="37"/>
      <c r="P950" s="37"/>
    </row>
    <row r="951" spans="14:16" ht="13.5" customHeight="1" x14ac:dyDescent="0.2">
      <c r="N951" s="37"/>
      <c r="O951" s="37"/>
      <c r="P951" s="37"/>
    </row>
    <row r="952" spans="14:16" ht="13.5" customHeight="1" x14ac:dyDescent="0.2">
      <c r="N952" s="37"/>
      <c r="O952" s="37"/>
      <c r="P952" s="37"/>
    </row>
    <row r="953" spans="14:16" ht="13.5" customHeight="1" x14ac:dyDescent="0.2">
      <c r="N953" s="37"/>
      <c r="O953" s="37"/>
      <c r="P953" s="37"/>
    </row>
    <row r="954" spans="14:16" ht="13.5" customHeight="1" x14ac:dyDescent="0.2">
      <c r="N954" s="37"/>
      <c r="O954" s="37"/>
      <c r="P954" s="37"/>
    </row>
    <row r="955" spans="14:16" ht="13.5" customHeight="1" x14ac:dyDescent="0.2">
      <c r="N955" s="37"/>
      <c r="O955" s="37"/>
      <c r="P955" s="37"/>
    </row>
    <row r="956" spans="14:16" ht="13.5" customHeight="1" x14ac:dyDescent="0.2">
      <c r="N956" s="37"/>
      <c r="O956" s="37"/>
      <c r="P956" s="37"/>
    </row>
    <row r="957" spans="14:16" ht="13.5" customHeight="1" x14ac:dyDescent="0.2">
      <c r="N957" s="37"/>
      <c r="O957" s="37"/>
      <c r="P957" s="37"/>
    </row>
    <row r="958" spans="14:16" ht="13.5" customHeight="1" x14ac:dyDescent="0.2">
      <c r="N958" s="37"/>
      <c r="O958" s="37"/>
      <c r="P958" s="37"/>
    </row>
    <row r="959" spans="14:16" ht="13.5" customHeight="1" x14ac:dyDescent="0.2">
      <c r="N959" s="37"/>
      <c r="O959" s="37"/>
      <c r="P959" s="37"/>
    </row>
    <row r="960" spans="14:16" ht="13.5" customHeight="1" x14ac:dyDescent="0.2">
      <c r="N960" s="37"/>
      <c r="O960" s="37"/>
      <c r="P960" s="37"/>
    </row>
    <row r="961" spans="14:16" ht="13.5" customHeight="1" x14ac:dyDescent="0.2">
      <c r="N961" s="37"/>
      <c r="O961" s="37"/>
      <c r="P961" s="37"/>
    </row>
    <row r="962" spans="14:16" ht="13.5" customHeight="1" x14ac:dyDescent="0.2">
      <c r="N962" s="37"/>
      <c r="O962" s="37"/>
      <c r="P962" s="37"/>
    </row>
    <row r="963" spans="14:16" ht="13.5" customHeight="1" x14ac:dyDescent="0.2">
      <c r="N963" s="37"/>
      <c r="O963" s="37"/>
      <c r="P963" s="37"/>
    </row>
    <row r="964" spans="14:16" ht="13.5" customHeight="1" x14ac:dyDescent="0.2">
      <c r="N964" s="37"/>
      <c r="O964" s="37"/>
      <c r="P964" s="37"/>
    </row>
    <row r="965" spans="14:16" ht="13.5" customHeight="1" x14ac:dyDescent="0.2">
      <c r="N965" s="37"/>
      <c r="O965" s="37"/>
      <c r="P965" s="37"/>
    </row>
    <row r="966" spans="14:16" ht="13.5" customHeight="1" x14ac:dyDescent="0.2">
      <c r="N966" s="37"/>
      <c r="O966" s="37"/>
      <c r="P966" s="37"/>
    </row>
    <row r="967" spans="14:16" ht="13.5" customHeight="1" x14ac:dyDescent="0.2">
      <c r="N967" s="37"/>
      <c r="O967" s="37"/>
      <c r="P967" s="37"/>
    </row>
    <row r="968" spans="14:16" ht="13.5" customHeight="1" x14ac:dyDescent="0.2">
      <c r="N968" s="37"/>
      <c r="O968" s="37"/>
      <c r="P968" s="37"/>
    </row>
    <row r="969" spans="14:16" ht="13.5" customHeight="1" x14ac:dyDescent="0.2">
      <c r="N969" s="37"/>
      <c r="O969" s="37"/>
      <c r="P969" s="37"/>
    </row>
    <row r="970" spans="14:16" ht="13.5" customHeight="1" x14ac:dyDescent="0.2">
      <c r="N970" s="37"/>
      <c r="O970" s="37"/>
      <c r="P970" s="37"/>
    </row>
    <row r="971" spans="14:16" ht="13.5" customHeight="1" x14ac:dyDescent="0.2">
      <c r="N971" s="37"/>
      <c r="O971" s="37"/>
      <c r="P971" s="37"/>
    </row>
    <row r="972" spans="14:16" ht="13.5" customHeight="1" x14ac:dyDescent="0.2">
      <c r="N972" s="37"/>
      <c r="O972" s="37"/>
      <c r="P972" s="37"/>
    </row>
    <row r="973" spans="14:16" ht="13.5" customHeight="1" x14ac:dyDescent="0.2">
      <c r="N973" s="37"/>
      <c r="O973" s="37"/>
      <c r="P973" s="37"/>
    </row>
    <row r="974" spans="14:16" ht="13.5" customHeight="1" x14ac:dyDescent="0.2">
      <c r="N974" s="37"/>
      <c r="O974" s="37"/>
      <c r="P974" s="37"/>
    </row>
    <row r="975" spans="14:16" ht="13.5" customHeight="1" x14ac:dyDescent="0.2">
      <c r="N975" s="37"/>
      <c r="O975" s="37"/>
      <c r="P975" s="37"/>
    </row>
    <row r="976" spans="14:16" ht="13.5" customHeight="1" x14ac:dyDescent="0.2">
      <c r="N976" s="37"/>
      <c r="O976" s="37"/>
      <c r="P976" s="37"/>
    </row>
    <row r="977" spans="14:16" ht="13.5" customHeight="1" x14ac:dyDescent="0.2">
      <c r="N977" s="37"/>
      <c r="O977" s="37"/>
      <c r="P977" s="37"/>
    </row>
    <row r="978" spans="14:16" ht="13.5" customHeight="1" x14ac:dyDescent="0.2">
      <c r="N978" s="37"/>
      <c r="O978" s="37"/>
      <c r="P978" s="37"/>
    </row>
    <row r="979" spans="14:16" ht="13.5" customHeight="1" x14ac:dyDescent="0.2">
      <c r="N979" s="37"/>
      <c r="O979" s="37"/>
      <c r="P979" s="37"/>
    </row>
    <row r="980" spans="14:16" ht="13.5" customHeight="1" x14ac:dyDescent="0.2">
      <c r="N980" s="37"/>
      <c r="O980" s="37"/>
      <c r="P980" s="37"/>
    </row>
    <row r="981" spans="14:16" ht="13.5" customHeight="1" x14ac:dyDescent="0.2">
      <c r="N981" s="37"/>
      <c r="O981" s="37"/>
      <c r="P981" s="37"/>
    </row>
    <row r="982" spans="14:16" ht="13.5" customHeight="1" x14ac:dyDescent="0.2">
      <c r="N982" s="37"/>
      <c r="O982" s="37"/>
      <c r="P982" s="37"/>
    </row>
    <row r="983" spans="14:16" ht="13.5" customHeight="1" x14ac:dyDescent="0.2">
      <c r="N983" s="37"/>
      <c r="O983" s="37"/>
      <c r="P983" s="37"/>
    </row>
    <row r="984" spans="14:16" ht="13.5" customHeight="1" x14ac:dyDescent="0.2">
      <c r="N984" s="37"/>
      <c r="O984" s="37"/>
      <c r="P984" s="37"/>
    </row>
    <row r="985" spans="14:16" ht="13.5" customHeight="1" x14ac:dyDescent="0.2">
      <c r="N985" s="37"/>
      <c r="O985" s="37"/>
      <c r="P985" s="37"/>
    </row>
    <row r="986" spans="14:16" ht="13.5" customHeight="1" x14ac:dyDescent="0.2">
      <c r="N986" s="37"/>
      <c r="O986" s="37"/>
      <c r="P986" s="37"/>
    </row>
    <row r="987" spans="14:16" ht="13.5" customHeight="1" x14ac:dyDescent="0.2">
      <c r="N987" s="37"/>
      <c r="O987" s="37"/>
      <c r="P987" s="37"/>
    </row>
    <row r="988" spans="14:16" ht="13.5" customHeight="1" x14ac:dyDescent="0.2">
      <c r="N988" s="37"/>
      <c r="O988" s="37"/>
      <c r="P988" s="37"/>
    </row>
    <row r="989" spans="14:16" ht="13.5" customHeight="1" x14ac:dyDescent="0.2">
      <c r="N989" s="37"/>
      <c r="O989" s="37"/>
      <c r="P989" s="37"/>
    </row>
    <row r="990" spans="14:16" ht="13.5" customHeight="1" x14ac:dyDescent="0.2">
      <c r="N990" s="37"/>
      <c r="O990" s="37"/>
      <c r="P990" s="37"/>
    </row>
    <row r="991" spans="14:16" ht="13.5" customHeight="1" x14ac:dyDescent="0.2">
      <c r="N991" s="37"/>
      <c r="O991" s="37"/>
      <c r="P991" s="37"/>
    </row>
    <row r="992" spans="14:16" ht="13.5" customHeight="1" x14ac:dyDescent="0.2">
      <c r="N992" s="37"/>
      <c r="O992" s="37"/>
      <c r="P992" s="37"/>
    </row>
    <row r="993" spans="14:16" ht="13.5" customHeight="1" x14ac:dyDescent="0.2">
      <c r="N993" s="37"/>
      <c r="O993" s="37"/>
      <c r="P993" s="37"/>
    </row>
    <row r="994" spans="14:16" ht="13.5" customHeight="1" x14ac:dyDescent="0.2">
      <c r="N994" s="37"/>
      <c r="O994" s="37"/>
      <c r="P994" s="37"/>
    </row>
    <row r="995" spans="14:16" ht="13.5" customHeight="1" x14ac:dyDescent="0.2">
      <c r="N995" s="37"/>
      <c r="O995" s="37"/>
      <c r="P995" s="37"/>
    </row>
    <row r="996" spans="14:16" ht="13.5" customHeight="1" x14ac:dyDescent="0.2">
      <c r="N996" s="37"/>
      <c r="O996" s="37"/>
      <c r="P996" s="37"/>
    </row>
    <row r="997" spans="14:16" ht="13.5" customHeight="1" x14ac:dyDescent="0.2">
      <c r="N997" s="37"/>
      <c r="O997" s="37"/>
      <c r="P997" s="37"/>
    </row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01"/>
  <sheetViews>
    <sheetView tabSelected="1" workbookViewId="0">
      <pane xSplit="1" ySplit="5" topLeftCell="T91" activePane="bottomRight" state="frozen"/>
      <selection pane="topRight" activeCell="B1" sqref="B1"/>
      <selection pane="bottomLeft" activeCell="A6" sqref="A6"/>
      <selection pane="bottomRight" activeCell="AA108" sqref="AA108"/>
    </sheetView>
  </sheetViews>
  <sheetFormatPr defaultColWidth="14.42578125" defaultRowHeight="15" customHeight="1" x14ac:dyDescent="0.2"/>
  <cols>
    <col min="1" max="2" width="8.7109375" customWidth="1"/>
    <col min="3" max="3" width="11" customWidth="1"/>
    <col min="4" max="5" width="8.7109375" customWidth="1"/>
    <col min="6" max="9" width="13.5703125" customWidth="1"/>
    <col min="10" max="10" width="6.7109375" customWidth="1"/>
    <col min="11" max="11" width="13.5703125" customWidth="1"/>
    <col min="12" max="12" width="6.7109375" customWidth="1"/>
    <col min="13" max="13" width="13.5703125" customWidth="1"/>
    <col min="14" max="14" width="6.7109375" customWidth="1"/>
    <col min="15" max="15" width="13.5703125" customWidth="1"/>
    <col min="16" max="16" width="13.85546875" customWidth="1"/>
    <col min="17" max="17" width="16" customWidth="1"/>
    <col min="18" max="18" width="14.5703125" customWidth="1"/>
    <col min="19" max="19" width="13.42578125" customWidth="1"/>
    <col min="20" max="20" width="16" customWidth="1"/>
    <col min="21" max="21" width="8.7109375" customWidth="1"/>
    <col min="22" max="22" width="20.7109375" customWidth="1"/>
    <col min="23" max="23" width="18.7109375" customWidth="1"/>
    <col min="24" max="24" width="18" customWidth="1"/>
    <col min="25" max="25" width="18.28515625" customWidth="1"/>
    <col min="26" max="26" width="19.7109375" customWidth="1"/>
    <col min="27" max="27" width="18.7109375" customWidth="1"/>
    <col min="28" max="28" width="17.42578125" customWidth="1"/>
    <col min="29" max="29" width="8.7109375" customWidth="1"/>
    <col min="30" max="31" width="16" customWidth="1"/>
  </cols>
  <sheetData>
    <row r="1" spans="1:31" ht="13.5" customHeight="1" x14ac:dyDescent="0.2">
      <c r="F1" s="62" t="s">
        <v>75</v>
      </c>
      <c r="G1" s="63">
        <v>1</v>
      </c>
      <c r="J1" s="62" t="s">
        <v>75</v>
      </c>
      <c r="K1" s="63">
        <v>1</v>
      </c>
      <c r="M1" s="47"/>
      <c r="O1" s="47"/>
      <c r="V1" s="34"/>
      <c r="W1" s="64"/>
      <c r="Z1" s="40" t="s">
        <v>135</v>
      </c>
      <c r="AA1" s="111">
        <f>ANÁLISES!C19</f>
        <v>8.5330714531213214E-3</v>
      </c>
    </row>
    <row r="2" spans="1:31" ht="13.5" customHeight="1" x14ac:dyDescent="0.2">
      <c r="F2" s="36" t="s">
        <v>76</v>
      </c>
      <c r="G2" s="47">
        <f>G1*DADOS!B10</f>
        <v>600000</v>
      </c>
      <c r="J2" s="36" t="s">
        <v>2</v>
      </c>
      <c r="K2" s="47">
        <f>K1*DADOS!G15</f>
        <v>43069060.943999998</v>
      </c>
      <c r="M2" s="47">
        <f>K1*DADOS!G16</f>
        <v>55023591.167999998</v>
      </c>
      <c r="O2" s="47">
        <f>K1*DADOS!G17</f>
        <v>69762053.088</v>
      </c>
      <c r="V2" s="34" t="s">
        <v>77</v>
      </c>
      <c r="W2" s="64">
        <f>ANÁLISES!B8</f>
        <v>6.0824055612518357E-3</v>
      </c>
      <c r="Z2" s="34" t="s">
        <v>77</v>
      </c>
      <c r="AA2" s="64">
        <f>ANÁLISES!B19</f>
        <v>9.4952773291030468E-3</v>
      </c>
    </row>
    <row r="3" spans="1:31" ht="13.5" customHeight="1" x14ac:dyDescent="0.2">
      <c r="A3" s="179" t="s">
        <v>78</v>
      </c>
      <c r="B3" s="182" t="s">
        <v>79</v>
      </c>
      <c r="C3" s="183"/>
      <c r="D3" s="183"/>
      <c r="E3" s="184"/>
      <c r="F3" s="182" t="s">
        <v>80</v>
      </c>
      <c r="G3" s="183"/>
      <c r="H3" s="183"/>
      <c r="I3" s="184"/>
      <c r="J3" s="188" t="s">
        <v>81</v>
      </c>
      <c r="K3" s="189"/>
      <c r="L3" s="189"/>
      <c r="M3" s="189"/>
      <c r="N3" s="189"/>
      <c r="O3" s="189"/>
      <c r="P3" s="190"/>
      <c r="Q3" s="191" t="s">
        <v>82</v>
      </c>
      <c r="R3" s="192"/>
      <c r="S3" s="192"/>
      <c r="T3" s="193"/>
      <c r="U3" s="36"/>
      <c r="V3" s="171" t="s">
        <v>83</v>
      </c>
      <c r="W3" s="194"/>
      <c r="X3" s="172"/>
      <c r="Y3" s="36"/>
      <c r="Z3" s="171" t="s">
        <v>84</v>
      </c>
      <c r="AA3" s="194"/>
      <c r="AB3" s="172"/>
      <c r="AC3" s="36"/>
      <c r="AD3" s="171" t="s">
        <v>85</v>
      </c>
      <c r="AE3" s="172"/>
    </row>
    <row r="4" spans="1:31" ht="13.5" customHeight="1" x14ac:dyDescent="0.2">
      <c r="A4" s="180"/>
      <c r="B4" s="185"/>
      <c r="C4" s="186"/>
      <c r="D4" s="186"/>
      <c r="E4" s="187"/>
      <c r="F4" s="185"/>
      <c r="G4" s="186"/>
      <c r="H4" s="186"/>
      <c r="I4" s="187"/>
      <c r="J4" s="198" t="s">
        <v>62</v>
      </c>
      <c r="K4" s="199"/>
      <c r="L4" s="200" t="s">
        <v>63</v>
      </c>
      <c r="M4" s="199"/>
      <c r="N4" s="200" t="s">
        <v>64</v>
      </c>
      <c r="O4" s="199"/>
      <c r="P4" s="201" t="s">
        <v>65</v>
      </c>
      <c r="Q4" s="195" t="s">
        <v>86</v>
      </c>
      <c r="R4" s="196" t="s">
        <v>87</v>
      </c>
      <c r="S4" s="196" t="s">
        <v>88</v>
      </c>
      <c r="T4" s="197" t="s">
        <v>89</v>
      </c>
      <c r="U4" s="36"/>
      <c r="V4" s="177" t="s">
        <v>90</v>
      </c>
      <c r="W4" s="175" t="s">
        <v>91</v>
      </c>
      <c r="X4" s="173" t="s">
        <v>92</v>
      </c>
      <c r="Y4" s="36"/>
      <c r="Z4" s="177" t="s">
        <v>93</v>
      </c>
      <c r="AA4" s="175" t="s">
        <v>91</v>
      </c>
      <c r="AB4" s="173" t="s">
        <v>92</v>
      </c>
      <c r="AC4" s="36"/>
      <c r="AD4" s="65"/>
      <c r="AE4" s="66"/>
    </row>
    <row r="5" spans="1:31" ht="13.5" customHeight="1" x14ac:dyDescent="0.2">
      <c r="A5" s="181"/>
      <c r="B5" s="67" t="s">
        <v>62</v>
      </c>
      <c r="C5" s="68" t="s">
        <v>63</v>
      </c>
      <c r="D5" s="69" t="s">
        <v>64</v>
      </c>
      <c r="E5" s="70" t="s">
        <v>65</v>
      </c>
      <c r="F5" s="71" t="s">
        <v>62</v>
      </c>
      <c r="G5" s="72" t="s">
        <v>63</v>
      </c>
      <c r="H5" s="72" t="s">
        <v>64</v>
      </c>
      <c r="I5" s="73" t="s">
        <v>65</v>
      </c>
      <c r="J5" s="74" t="s">
        <v>6</v>
      </c>
      <c r="K5" s="75" t="s">
        <v>7</v>
      </c>
      <c r="L5" s="75" t="s">
        <v>6</v>
      </c>
      <c r="M5" s="75" t="s">
        <v>7</v>
      </c>
      <c r="N5" s="75" t="s">
        <v>6</v>
      </c>
      <c r="O5" s="75" t="s">
        <v>7</v>
      </c>
      <c r="P5" s="174"/>
      <c r="Q5" s="178"/>
      <c r="R5" s="176"/>
      <c r="S5" s="176"/>
      <c r="T5" s="174"/>
      <c r="U5" s="36"/>
      <c r="V5" s="178"/>
      <c r="W5" s="176"/>
      <c r="X5" s="174"/>
      <c r="Y5" s="36"/>
      <c r="Z5" s="178"/>
      <c r="AA5" s="176"/>
      <c r="AB5" s="174"/>
      <c r="AC5" s="36"/>
      <c r="AD5" s="76" t="s">
        <v>92</v>
      </c>
      <c r="AE5" s="66"/>
    </row>
    <row r="6" spans="1:31" ht="13.5" customHeight="1" x14ac:dyDescent="0.2">
      <c r="A6" s="77">
        <v>0</v>
      </c>
      <c r="B6" s="78">
        <v>0</v>
      </c>
      <c r="C6" s="79">
        <v>0</v>
      </c>
      <c r="D6" s="79">
        <v>0</v>
      </c>
      <c r="E6" s="80">
        <v>0</v>
      </c>
      <c r="F6" s="81">
        <v>0</v>
      </c>
      <c r="G6" s="81">
        <v>0</v>
      </c>
      <c r="H6" s="81">
        <v>0</v>
      </c>
      <c r="I6" s="81">
        <v>0</v>
      </c>
      <c r="J6" s="82">
        <v>0</v>
      </c>
      <c r="K6" s="83">
        <f t="shared" ref="K6:K7" si="0">J6*$K$2</f>
        <v>0</v>
      </c>
      <c r="L6" s="84">
        <v>0</v>
      </c>
      <c r="M6" s="83">
        <f t="shared" ref="M6:M7" si="1">L6*$M$2</f>
        <v>0</v>
      </c>
      <c r="N6" s="84">
        <v>0</v>
      </c>
      <c r="O6" s="83">
        <f t="shared" ref="O6:O7" si="2">N6*$O$2</f>
        <v>0</v>
      </c>
      <c r="P6" s="85">
        <f t="shared" ref="P6:P99" si="3">K6+M6+O6</f>
        <v>0</v>
      </c>
      <c r="Q6" s="86">
        <f t="shared" ref="Q6:Q7" si="4">I6</f>
        <v>0</v>
      </c>
      <c r="R6" s="83">
        <f t="shared" ref="R6:R7" si="5">P6</f>
        <v>0</v>
      </c>
      <c r="S6" s="85">
        <f t="shared" ref="S6:S99" si="6">I6-P6</f>
        <v>0</v>
      </c>
      <c r="T6" s="85">
        <f t="shared" ref="T6:T7" si="7">S6</f>
        <v>0</v>
      </c>
      <c r="U6" s="34"/>
      <c r="V6" s="87">
        <f t="shared" ref="V6:V99" si="8">I6*(1-$W$100)</f>
        <v>0</v>
      </c>
      <c r="W6" s="83">
        <f t="shared" ref="W6:W7" si="9">P6*(1+$W$101)</f>
        <v>0</v>
      </c>
      <c r="X6" s="85">
        <f t="shared" ref="X6:X99" si="10">V6-W6</f>
        <v>0</v>
      </c>
      <c r="Y6" s="203">
        <f>ANÁLISES!F5</f>
        <v>917553181.46548796</v>
      </c>
      <c r="Z6" s="87">
        <f t="shared" ref="Z6:Z99" si="11">I6*(1-$AA$100)</f>
        <v>0</v>
      </c>
      <c r="AA6" s="83">
        <f t="shared" ref="AA6:AA99" si="12">W6</f>
        <v>0</v>
      </c>
      <c r="AB6" s="85">
        <f t="shared" ref="AB6:AB99" si="13">Z6-AA6</f>
        <v>0</v>
      </c>
      <c r="AC6" s="34"/>
      <c r="AD6" s="88">
        <f>-ANÁLISES!F14-DADOS!C25</f>
        <v>-1107571925.6063113</v>
      </c>
      <c r="AE6" s="89">
        <f t="shared" ref="AE6:AE7" si="14">AD6</f>
        <v>-1107571925.6063113</v>
      </c>
    </row>
    <row r="7" spans="1:31" ht="13.5" customHeight="1" x14ac:dyDescent="0.2">
      <c r="A7" s="90">
        <v>1</v>
      </c>
      <c r="B7" s="91">
        <v>0</v>
      </c>
      <c r="C7" s="92">
        <v>0</v>
      </c>
      <c r="D7" s="92">
        <v>0</v>
      </c>
      <c r="E7" s="93">
        <f t="shared" ref="E7:E99" si="15">B7+C7+D7</f>
        <v>0</v>
      </c>
      <c r="F7" s="81">
        <f t="shared" ref="F7:H7" si="16">B7*$G$2</f>
        <v>0</v>
      </c>
      <c r="G7" s="81">
        <f t="shared" si="16"/>
        <v>0</v>
      </c>
      <c r="H7" s="81">
        <f t="shared" si="16"/>
        <v>0</v>
      </c>
      <c r="I7" s="81">
        <f t="shared" ref="I7:I99" si="17">F7+G7+H7</f>
        <v>0</v>
      </c>
      <c r="J7" s="94">
        <v>0.01</v>
      </c>
      <c r="K7" s="81">
        <f t="shared" si="0"/>
        <v>430690.60943999997</v>
      </c>
      <c r="L7" s="95">
        <v>0</v>
      </c>
      <c r="M7" s="81">
        <f t="shared" si="1"/>
        <v>0</v>
      </c>
      <c r="N7" s="95">
        <v>0</v>
      </c>
      <c r="O7" s="81">
        <f t="shared" si="2"/>
        <v>0</v>
      </c>
      <c r="P7" s="89">
        <f t="shared" si="3"/>
        <v>430690.60943999997</v>
      </c>
      <c r="Q7" s="96">
        <f t="shared" si="4"/>
        <v>0</v>
      </c>
      <c r="R7" s="81">
        <f t="shared" si="5"/>
        <v>430690.60943999997</v>
      </c>
      <c r="S7" s="97">
        <f t="shared" si="6"/>
        <v>-430690.60943999997</v>
      </c>
      <c r="T7" s="89">
        <f t="shared" si="7"/>
        <v>-430690.60943999997</v>
      </c>
      <c r="U7" s="47"/>
      <c r="V7" s="88">
        <f t="shared" si="8"/>
        <v>0</v>
      </c>
      <c r="W7" s="81">
        <f t="shared" si="9"/>
        <v>531632.29668998392</v>
      </c>
      <c r="X7" s="89">
        <f t="shared" si="10"/>
        <v>-531632.29668998392</v>
      </c>
      <c r="Z7" s="88">
        <f t="shared" si="11"/>
        <v>0</v>
      </c>
      <c r="AA7" s="81">
        <f t="shared" si="12"/>
        <v>531632.29668998392</v>
      </c>
      <c r="AB7" s="89">
        <f t="shared" si="13"/>
        <v>-531632.29668998392</v>
      </c>
      <c r="AD7" s="88">
        <f t="shared" ref="AD7:AD99" si="18">AB7-AC7</f>
        <v>-531632.29668998392</v>
      </c>
      <c r="AE7" s="89">
        <f t="shared" si="14"/>
        <v>-531632.29668998392</v>
      </c>
    </row>
    <row r="8" spans="1:31" ht="13.5" customHeight="1" x14ac:dyDescent="0.2">
      <c r="A8" s="90">
        <v>2</v>
      </c>
      <c r="B8" s="91">
        <v>0</v>
      </c>
      <c r="C8" s="92">
        <v>0</v>
      </c>
      <c r="D8" s="92">
        <v>0</v>
      </c>
      <c r="E8" s="93">
        <f t="shared" si="15"/>
        <v>0</v>
      </c>
      <c r="F8" s="81">
        <f t="shared" ref="F8:H8" si="19">B8*$G$2</f>
        <v>0</v>
      </c>
      <c r="G8" s="81">
        <f t="shared" si="19"/>
        <v>0</v>
      </c>
      <c r="H8" s="81">
        <f t="shared" si="19"/>
        <v>0</v>
      </c>
      <c r="I8" s="81">
        <f t="shared" si="17"/>
        <v>0</v>
      </c>
      <c r="J8" s="94">
        <v>0.02</v>
      </c>
      <c r="K8" s="81">
        <f t="shared" ref="K8:K99" si="20">(J8-J7)*$K$2</f>
        <v>430690.60943999997</v>
      </c>
      <c r="L8" s="95">
        <v>0</v>
      </c>
      <c r="M8" s="81">
        <f t="shared" ref="M8:M99" si="21">(L8-L7)*$M$2</f>
        <v>0</v>
      </c>
      <c r="N8" s="95">
        <v>0</v>
      </c>
      <c r="O8" s="81">
        <f t="shared" ref="O8:O99" si="22">(N8-N7)*$O$2</f>
        <v>0</v>
      </c>
      <c r="P8" s="89">
        <f t="shared" si="3"/>
        <v>430690.60943999997</v>
      </c>
      <c r="Q8" s="96">
        <f t="shared" ref="Q8:Q99" si="23">I8+Q7</f>
        <v>0</v>
      </c>
      <c r="R8" s="81">
        <f t="shared" ref="R8:R99" si="24">P8+R7</f>
        <v>861381.21887999994</v>
      </c>
      <c r="S8" s="97">
        <f t="shared" si="6"/>
        <v>-430690.60943999997</v>
      </c>
      <c r="T8" s="89">
        <f t="shared" ref="T8:T99" si="25">S8+T7</f>
        <v>-861381.21887999994</v>
      </c>
      <c r="U8" s="47"/>
      <c r="V8" s="88">
        <f t="shared" si="8"/>
        <v>0</v>
      </c>
      <c r="W8" s="81">
        <f>P8*(1+ANÁLISES!$B$3)</f>
        <v>531632.29668998392</v>
      </c>
      <c r="X8" s="89">
        <f t="shared" si="10"/>
        <v>-531632.29668998392</v>
      </c>
      <c r="Z8" s="88">
        <f t="shared" si="11"/>
        <v>0</v>
      </c>
      <c r="AA8" s="81">
        <f t="shared" si="12"/>
        <v>531632.29668998392</v>
      </c>
      <c r="AB8" s="89">
        <f t="shared" si="13"/>
        <v>-531632.29668998392</v>
      </c>
      <c r="AD8" s="88">
        <f t="shared" si="18"/>
        <v>-531632.29668998392</v>
      </c>
      <c r="AE8" s="89">
        <f t="shared" ref="AE8:AE99" si="26">AE7+AD8</f>
        <v>-1063264.5933799678</v>
      </c>
    </row>
    <row r="9" spans="1:31" ht="13.5" customHeight="1" x14ac:dyDescent="0.2">
      <c r="A9" s="90">
        <v>3</v>
      </c>
      <c r="B9" s="91">
        <v>0</v>
      </c>
      <c r="C9" s="92">
        <v>0</v>
      </c>
      <c r="D9" s="92">
        <v>0</v>
      </c>
      <c r="E9" s="93">
        <f t="shared" si="15"/>
        <v>0</v>
      </c>
      <c r="F9" s="81">
        <f t="shared" ref="F9:H9" si="27">B9*$G$2</f>
        <v>0</v>
      </c>
      <c r="G9" s="81">
        <f t="shared" si="27"/>
        <v>0</v>
      </c>
      <c r="H9" s="81">
        <f t="shared" si="27"/>
        <v>0</v>
      </c>
      <c r="I9" s="81">
        <f t="shared" si="17"/>
        <v>0</v>
      </c>
      <c r="J9" s="94">
        <v>0.04</v>
      </c>
      <c r="K9" s="81">
        <f t="shared" si="20"/>
        <v>861381.21887999994</v>
      </c>
      <c r="L9" s="95">
        <v>0</v>
      </c>
      <c r="M9" s="81">
        <f t="shared" si="21"/>
        <v>0</v>
      </c>
      <c r="N9" s="95">
        <v>0</v>
      </c>
      <c r="O9" s="81">
        <f t="shared" si="22"/>
        <v>0</v>
      </c>
      <c r="P9" s="89">
        <f t="shared" si="3"/>
        <v>861381.21887999994</v>
      </c>
      <c r="Q9" s="96">
        <f t="shared" si="23"/>
        <v>0</v>
      </c>
      <c r="R9" s="81">
        <f t="shared" si="24"/>
        <v>1722762.4377599999</v>
      </c>
      <c r="S9" s="97">
        <f t="shared" si="6"/>
        <v>-861381.21887999994</v>
      </c>
      <c r="T9" s="89">
        <f t="shared" si="25"/>
        <v>-1722762.4377599999</v>
      </c>
      <c r="U9" s="47"/>
      <c r="V9" s="88">
        <f t="shared" si="8"/>
        <v>0</v>
      </c>
      <c r="W9" s="81">
        <f>P9*(1+ANÁLISES!$B$3)</f>
        <v>1063264.5933799678</v>
      </c>
      <c r="X9" s="89">
        <f t="shared" si="10"/>
        <v>-1063264.5933799678</v>
      </c>
      <c r="Z9" s="88">
        <f t="shared" si="11"/>
        <v>0</v>
      </c>
      <c r="AA9" s="81">
        <f t="shared" si="12"/>
        <v>1063264.5933799678</v>
      </c>
      <c r="AB9" s="89">
        <f t="shared" si="13"/>
        <v>-1063264.5933799678</v>
      </c>
      <c r="AD9" s="88">
        <f t="shared" si="18"/>
        <v>-1063264.5933799678</v>
      </c>
      <c r="AE9" s="89">
        <f t="shared" si="26"/>
        <v>-2126529.1867599357</v>
      </c>
    </row>
    <row r="10" spans="1:31" ht="13.5" customHeight="1" x14ac:dyDescent="0.2">
      <c r="A10" s="90">
        <v>4</v>
      </c>
      <c r="B10" s="91">
        <v>0</v>
      </c>
      <c r="C10" s="92">
        <v>0</v>
      </c>
      <c r="D10" s="92">
        <v>0</v>
      </c>
      <c r="E10" s="93">
        <f t="shared" si="15"/>
        <v>0</v>
      </c>
      <c r="F10" s="81">
        <f t="shared" ref="F10:H10" si="28">B10*$G$2</f>
        <v>0</v>
      </c>
      <c r="G10" s="81">
        <f t="shared" si="28"/>
        <v>0</v>
      </c>
      <c r="H10" s="81">
        <f t="shared" si="28"/>
        <v>0</v>
      </c>
      <c r="I10" s="81">
        <f t="shared" si="17"/>
        <v>0</v>
      </c>
      <c r="J10" s="94">
        <v>0.08</v>
      </c>
      <c r="K10" s="81">
        <f t="shared" si="20"/>
        <v>1722762.4377599999</v>
      </c>
      <c r="L10" s="95">
        <v>0</v>
      </c>
      <c r="M10" s="81">
        <f t="shared" si="21"/>
        <v>0</v>
      </c>
      <c r="N10" s="95">
        <v>0</v>
      </c>
      <c r="O10" s="81">
        <f t="shared" si="22"/>
        <v>0</v>
      </c>
      <c r="P10" s="89">
        <f t="shared" si="3"/>
        <v>1722762.4377599999</v>
      </c>
      <c r="Q10" s="96">
        <f t="shared" si="23"/>
        <v>0</v>
      </c>
      <c r="R10" s="81">
        <f t="shared" si="24"/>
        <v>3445524.8755199998</v>
      </c>
      <c r="S10" s="97">
        <f t="shared" si="6"/>
        <v>-1722762.4377599999</v>
      </c>
      <c r="T10" s="89">
        <f t="shared" si="25"/>
        <v>-3445524.8755199998</v>
      </c>
      <c r="U10" s="47"/>
      <c r="V10" s="88">
        <f t="shared" si="8"/>
        <v>0</v>
      </c>
      <c r="W10" s="81">
        <f>P10*(1+ANÁLISES!$B$3)</f>
        <v>2126529.1867599357</v>
      </c>
      <c r="X10" s="89">
        <f t="shared" si="10"/>
        <v>-2126529.1867599357</v>
      </c>
      <c r="Z10" s="88">
        <f t="shared" si="11"/>
        <v>0</v>
      </c>
      <c r="AA10" s="81">
        <f t="shared" si="12"/>
        <v>2126529.1867599357</v>
      </c>
      <c r="AB10" s="89">
        <f t="shared" si="13"/>
        <v>-2126529.1867599357</v>
      </c>
      <c r="AD10" s="88">
        <f t="shared" si="18"/>
        <v>-2126529.1867599357</v>
      </c>
      <c r="AE10" s="89">
        <f t="shared" si="26"/>
        <v>-4253058.3735198714</v>
      </c>
    </row>
    <row r="11" spans="1:31" ht="13.5" customHeight="1" x14ac:dyDescent="0.2">
      <c r="A11" s="90">
        <v>5</v>
      </c>
      <c r="B11" s="91">
        <v>0</v>
      </c>
      <c r="C11" s="92">
        <v>0</v>
      </c>
      <c r="D11" s="92">
        <v>0</v>
      </c>
      <c r="E11" s="93">
        <f t="shared" si="15"/>
        <v>0</v>
      </c>
      <c r="F11" s="81">
        <f t="shared" ref="F11:H11" si="29">B11*$G$2</f>
        <v>0</v>
      </c>
      <c r="G11" s="81">
        <f t="shared" si="29"/>
        <v>0</v>
      </c>
      <c r="H11" s="81">
        <f t="shared" si="29"/>
        <v>0</v>
      </c>
      <c r="I11" s="81">
        <f t="shared" si="17"/>
        <v>0</v>
      </c>
      <c r="J11" s="94">
        <v>0.14000000000000001</v>
      </c>
      <c r="K11" s="81">
        <f t="shared" si="20"/>
        <v>2584143.6566400002</v>
      </c>
      <c r="L11" s="95">
        <v>0</v>
      </c>
      <c r="M11" s="81">
        <f t="shared" si="21"/>
        <v>0</v>
      </c>
      <c r="N11" s="95">
        <v>0</v>
      </c>
      <c r="O11" s="81">
        <f t="shared" si="22"/>
        <v>0</v>
      </c>
      <c r="P11" s="89">
        <f t="shared" si="3"/>
        <v>2584143.6566400002</v>
      </c>
      <c r="Q11" s="96">
        <f t="shared" si="23"/>
        <v>0</v>
      </c>
      <c r="R11" s="81">
        <f t="shared" si="24"/>
        <v>6029668.5321599999</v>
      </c>
      <c r="S11" s="97">
        <f t="shared" si="6"/>
        <v>-2584143.6566400002</v>
      </c>
      <c r="T11" s="89">
        <f t="shared" si="25"/>
        <v>-6029668.5321599999</v>
      </c>
      <c r="U11" s="47"/>
      <c r="V11" s="88">
        <f t="shared" si="8"/>
        <v>0</v>
      </c>
      <c r="W11" s="81">
        <f>P11*(1+ANÁLISES!$B$3)</f>
        <v>3189793.780139904</v>
      </c>
      <c r="X11" s="89">
        <f t="shared" si="10"/>
        <v>-3189793.780139904</v>
      </c>
      <c r="Z11" s="88">
        <f t="shared" si="11"/>
        <v>0</v>
      </c>
      <c r="AA11" s="81">
        <f t="shared" si="12"/>
        <v>3189793.780139904</v>
      </c>
      <c r="AB11" s="89">
        <f t="shared" si="13"/>
        <v>-3189793.780139904</v>
      </c>
      <c r="AD11" s="88">
        <f t="shared" si="18"/>
        <v>-3189793.780139904</v>
      </c>
      <c r="AE11" s="89">
        <f t="shared" si="26"/>
        <v>-7442852.1536597759</v>
      </c>
    </row>
    <row r="12" spans="1:31" ht="13.5" customHeight="1" x14ac:dyDescent="0.2">
      <c r="A12" s="90">
        <v>6</v>
      </c>
      <c r="B12" s="91">
        <v>0</v>
      </c>
      <c r="C12" s="92">
        <v>0</v>
      </c>
      <c r="D12" s="92">
        <v>0</v>
      </c>
      <c r="E12" s="93">
        <f t="shared" si="15"/>
        <v>0</v>
      </c>
      <c r="F12" s="81">
        <f t="shared" ref="F12:H12" si="30">B12*$G$2</f>
        <v>0</v>
      </c>
      <c r="G12" s="81">
        <f t="shared" si="30"/>
        <v>0</v>
      </c>
      <c r="H12" s="81">
        <f t="shared" si="30"/>
        <v>0</v>
      </c>
      <c r="I12" s="81">
        <f t="shared" si="17"/>
        <v>0</v>
      </c>
      <c r="J12" s="94">
        <v>0.2</v>
      </c>
      <c r="K12" s="81">
        <f t="shared" si="20"/>
        <v>2584143.6566399997</v>
      </c>
      <c r="L12" s="95">
        <v>0</v>
      </c>
      <c r="M12" s="81">
        <f t="shared" si="21"/>
        <v>0</v>
      </c>
      <c r="N12" s="95">
        <v>0</v>
      </c>
      <c r="O12" s="81">
        <f t="shared" si="22"/>
        <v>0</v>
      </c>
      <c r="P12" s="89">
        <f t="shared" si="3"/>
        <v>2584143.6566399997</v>
      </c>
      <c r="Q12" s="96">
        <f t="shared" si="23"/>
        <v>0</v>
      </c>
      <c r="R12" s="81">
        <f t="shared" si="24"/>
        <v>8613812.1887999997</v>
      </c>
      <c r="S12" s="97">
        <f t="shared" si="6"/>
        <v>-2584143.6566399997</v>
      </c>
      <c r="T12" s="89">
        <f t="shared" si="25"/>
        <v>-8613812.1887999997</v>
      </c>
      <c r="U12" s="47"/>
      <c r="V12" s="88">
        <f t="shared" si="8"/>
        <v>0</v>
      </c>
      <c r="W12" s="81">
        <f>P12*(1+ANÁLISES!$B$3)</f>
        <v>3189793.7801399035</v>
      </c>
      <c r="X12" s="89">
        <f t="shared" si="10"/>
        <v>-3189793.7801399035</v>
      </c>
      <c r="Z12" s="88">
        <f t="shared" si="11"/>
        <v>0</v>
      </c>
      <c r="AA12" s="81">
        <f t="shared" si="12"/>
        <v>3189793.7801399035</v>
      </c>
      <c r="AB12" s="89">
        <f t="shared" si="13"/>
        <v>-3189793.7801399035</v>
      </c>
      <c r="AD12" s="88">
        <f t="shared" si="18"/>
        <v>-3189793.7801399035</v>
      </c>
      <c r="AE12" s="89">
        <f t="shared" si="26"/>
        <v>-10632645.93379968</v>
      </c>
    </row>
    <row r="13" spans="1:31" ht="13.5" customHeight="1" x14ac:dyDescent="0.2">
      <c r="A13" s="90">
        <v>7</v>
      </c>
      <c r="B13" s="91">
        <v>0</v>
      </c>
      <c r="C13" s="92">
        <v>0</v>
      </c>
      <c r="D13" s="92">
        <v>0</v>
      </c>
      <c r="E13" s="93">
        <f t="shared" si="15"/>
        <v>0</v>
      </c>
      <c r="F13" s="81">
        <f t="shared" ref="F13:H13" si="31">B13*$G$2</f>
        <v>0</v>
      </c>
      <c r="G13" s="81">
        <f t="shared" si="31"/>
        <v>0</v>
      </c>
      <c r="H13" s="81">
        <f t="shared" si="31"/>
        <v>0</v>
      </c>
      <c r="I13" s="81">
        <f t="shared" si="17"/>
        <v>0</v>
      </c>
      <c r="J13" s="94">
        <v>0.26</v>
      </c>
      <c r="K13" s="81">
        <f t="shared" si="20"/>
        <v>2584143.6566399997</v>
      </c>
      <c r="L13" s="95">
        <v>0</v>
      </c>
      <c r="M13" s="81">
        <f t="shared" si="21"/>
        <v>0</v>
      </c>
      <c r="N13" s="95">
        <v>0</v>
      </c>
      <c r="O13" s="81">
        <f t="shared" si="22"/>
        <v>0</v>
      </c>
      <c r="P13" s="89">
        <f t="shared" si="3"/>
        <v>2584143.6566399997</v>
      </c>
      <c r="Q13" s="96">
        <f t="shared" si="23"/>
        <v>0</v>
      </c>
      <c r="R13" s="81">
        <f t="shared" si="24"/>
        <v>11197955.84544</v>
      </c>
      <c r="S13" s="97">
        <f t="shared" si="6"/>
        <v>-2584143.6566399997</v>
      </c>
      <c r="T13" s="89">
        <f t="shared" si="25"/>
        <v>-11197955.84544</v>
      </c>
      <c r="U13" s="47"/>
      <c r="V13" s="88">
        <f t="shared" si="8"/>
        <v>0</v>
      </c>
      <c r="W13" s="81">
        <f>P13*(1+ANÁLISES!$B$3)</f>
        <v>3189793.7801399035</v>
      </c>
      <c r="X13" s="89">
        <f t="shared" si="10"/>
        <v>-3189793.7801399035</v>
      </c>
      <c r="Z13" s="88">
        <f t="shared" si="11"/>
        <v>0</v>
      </c>
      <c r="AA13" s="81">
        <f t="shared" si="12"/>
        <v>3189793.7801399035</v>
      </c>
      <c r="AB13" s="89">
        <f t="shared" si="13"/>
        <v>-3189793.7801399035</v>
      </c>
      <c r="AD13" s="88">
        <f t="shared" si="18"/>
        <v>-3189793.7801399035</v>
      </c>
      <c r="AE13" s="89">
        <f t="shared" si="26"/>
        <v>-13822439.713939585</v>
      </c>
    </row>
    <row r="14" spans="1:31" ht="13.5" customHeight="1" x14ac:dyDescent="0.2">
      <c r="A14" s="90">
        <v>8</v>
      </c>
      <c r="B14" s="91">
        <v>0</v>
      </c>
      <c r="C14" s="92">
        <v>0</v>
      </c>
      <c r="D14" s="92">
        <v>0</v>
      </c>
      <c r="E14" s="93">
        <f t="shared" si="15"/>
        <v>0</v>
      </c>
      <c r="F14" s="81">
        <f t="shared" ref="F14:H14" si="32">B14*$G$2</f>
        <v>0</v>
      </c>
      <c r="G14" s="81">
        <f t="shared" si="32"/>
        <v>0</v>
      </c>
      <c r="H14" s="81">
        <f t="shared" si="32"/>
        <v>0</v>
      </c>
      <c r="I14" s="81">
        <f t="shared" si="17"/>
        <v>0</v>
      </c>
      <c r="J14" s="94">
        <v>0.32</v>
      </c>
      <c r="K14" s="81">
        <f t="shared" si="20"/>
        <v>2584143.6566399997</v>
      </c>
      <c r="L14" s="95">
        <v>0</v>
      </c>
      <c r="M14" s="81">
        <f t="shared" si="21"/>
        <v>0</v>
      </c>
      <c r="N14" s="95">
        <v>0</v>
      </c>
      <c r="O14" s="81">
        <f t="shared" si="22"/>
        <v>0</v>
      </c>
      <c r="P14" s="89">
        <f t="shared" si="3"/>
        <v>2584143.6566399997</v>
      </c>
      <c r="Q14" s="96">
        <f t="shared" si="23"/>
        <v>0</v>
      </c>
      <c r="R14" s="81">
        <f t="shared" si="24"/>
        <v>13782099.502080001</v>
      </c>
      <c r="S14" s="97">
        <f t="shared" si="6"/>
        <v>-2584143.6566399997</v>
      </c>
      <c r="T14" s="89">
        <f t="shared" si="25"/>
        <v>-13782099.502080001</v>
      </c>
      <c r="U14" s="47"/>
      <c r="V14" s="88">
        <f t="shared" si="8"/>
        <v>0</v>
      </c>
      <c r="W14" s="81">
        <f>P14*(1+ANÁLISES!$B$3)</f>
        <v>3189793.7801399035</v>
      </c>
      <c r="X14" s="89">
        <f t="shared" si="10"/>
        <v>-3189793.7801399035</v>
      </c>
      <c r="Y14" s="47"/>
      <c r="Z14" s="88">
        <f t="shared" si="11"/>
        <v>0</v>
      </c>
      <c r="AA14" s="81">
        <f t="shared" si="12"/>
        <v>3189793.7801399035</v>
      </c>
      <c r="AB14" s="89">
        <f t="shared" si="13"/>
        <v>-3189793.7801399035</v>
      </c>
      <c r="AC14" s="47"/>
      <c r="AD14" s="88">
        <f t="shared" si="18"/>
        <v>-3189793.7801399035</v>
      </c>
      <c r="AE14" s="89">
        <f t="shared" si="26"/>
        <v>-17012233.494079489</v>
      </c>
    </row>
    <row r="15" spans="1:31" ht="13.5" customHeight="1" x14ac:dyDescent="0.2">
      <c r="A15" s="90">
        <v>9</v>
      </c>
      <c r="B15" s="91">
        <v>0</v>
      </c>
      <c r="C15" s="92">
        <v>0</v>
      </c>
      <c r="D15" s="92">
        <v>0</v>
      </c>
      <c r="E15" s="93">
        <f t="shared" si="15"/>
        <v>0</v>
      </c>
      <c r="F15" s="81">
        <f t="shared" ref="F15:H15" si="33">B15*$G$2</f>
        <v>0</v>
      </c>
      <c r="G15" s="81">
        <f t="shared" si="33"/>
        <v>0</v>
      </c>
      <c r="H15" s="81">
        <f t="shared" si="33"/>
        <v>0</v>
      </c>
      <c r="I15" s="81">
        <f t="shared" si="17"/>
        <v>0</v>
      </c>
      <c r="J15" s="94">
        <v>0.4</v>
      </c>
      <c r="K15" s="81">
        <f t="shared" si="20"/>
        <v>3445524.8755200007</v>
      </c>
      <c r="L15" s="95">
        <v>0</v>
      </c>
      <c r="M15" s="81">
        <f t="shared" si="21"/>
        <v>0</v>
      </c>
      <c r="N15" s="95">
        <v>0</v>
      </c>
      <c r="O15" s="81">
        <f t="shared" si="22"/>
        <v>0</v>
      </c>
      <c r="P15" s="89">
        <f t="shared" si="3"/>
        <v>3445524.8755200007</v>
      </c>
      <c r="Q15" s="96">
        <f t="shared" si="23"/>
        <v>0</v>
      </c>
      <c r="R15" s="81">
        <f t="shared" si="24"/>
        <v>17227624.377600003</v>
      </c>
      <c r="S15" s="97">
        <f t="shared" si="6"/>
        <v>-3445524.8755200007</v>
      </c>
      <c r="T15" s="89">
        <f t="shared" si="25"/>
        <v>-17227624.377600003</v>
      </c>
      <c r="U15" s="47"/>
      <c r="V15" s="88">
        <f t="shared" si="8"/>
        <v>0</v>
      </c>
      <c r="W15" s="81">
        <f>P15*(1+ANÁLISES!$B$3)</f>
        <v>4253058.3735198723</v>
      </c>
      <c r="X15" s="89">
        <f t="shared" si="10"/>
        <v>-4253058.3735198723</v>
      </c>
      <c r="Y15" s="47"/>
      <c r="Z15" s="88">
        <f t="shared" si="11"/>
        <v>0</v>
      </c>
      <c r="AA15" s="81">
        <f t="shared" si="12"/>
        <v>4253058.3735198723</v>
      </c>
      <c r="AB15" s="89">
        <f t="shared" si="13"/>
        <v>-4253058.3735198723</v>
      </c>
      <c r="AC15" s="47"/>
      <c r="AD15" s="88">
        <f t="shared" si="18"/>
        <v>-4253058.3735198723</v>
      </c>
      <c r="AE15" s="89">
        <f t="shared" si="26"/>
        <v>-21265291.867599361</v>
      </c>
    </row>
    <row r="16" spans="1:31" ht="13.5" customHeight="1" x14ac:dyDescent="0.2">
      <c r="A16" s="90">
        <v>10</v>
      </c>
      <c r="B16" s="91">
        <v>0</v>
      </c>
      <c r="C16" s="92">
        <v>0</v>
      </c>
      <c r="D16" s="92">
        <v>0</v>
      </c>
      <c r="E16" s="93">
        <f t="shared" si="15"/>
        <v>0</v>
      </c>
      <c r="F16" s="81">
        <f t="shared" ref="F16:H16" si="34">B16*$G$2</f>
        <v>0</v>
      </c>
      <c r="G16" s="81">
        <f t="shared" si="34"/>
        <v>0</v>
      </c>
      <c r="H16" s="81">
        <f t="shared" si="34"/>
        <v>0</v>
      </c>
      <c r="I16" s="81">
        <f t="shared" si="17"/>
        <v>0</v>
      </c>
      <c r="J16" s="94">
        <v>0.5</v>
      </c>
      <c r="K16" s="81">
        <f t="shared" si="20"/>
        <v>4306906.0943999989</v>
      </c>
      <c r="L16" s="95">
        <v>0</v>
      </c>
      <c r="M16" s="81">
        <f t="shared" si="21"/>
        <v>0</v>
      </c>
      <c r="N16" s="95">
        <v>0</v>
      </c>
      <c r="O16" s="81">
        <f t="shared" si="22"/>
        <v>0</v>
      </c>
      <c r="P16" s="89">
        <f t="shared" si="3"/>
        <v>4306906.0943999989</v>
      </c>
      <c r="Q16" s="96">
        <f t="shared" si="23"/>
        <v>0</v>
      </c>
      <c r="R16" s="81">
        <f t="shared" si="24"/>
        <v>21534530.472000003</v>
      </c>
      <c r="S16" s="97">
        <f t="shared" si="6"/>
        <v>-4306906.0943999989</v>
      </c>
      <c r="T16" s="89">
        <f t="shared" si="25"/>
        <v>-21534530.472000003</v>
      </c>
      <c r="U16" s="47"/>
      <c r="V16" s="88">
        <f t="shared" si="8"/>
        <v>0</v>
      </c>
      <c r="W16" s="81">
        <f>P16*(1+ANÁLISES!$B$3)</f>
        <v>5316322.9668998383</v>
      </c>
      <c r="X16" s="89">
        <f t="shared" si="10"/>
        <v>-5316322.9668998383</v>
      </c>
      <c r="Y16" s="47"/>
      <c r="Z16" s="88">
        <f t="shared" si="11"/>
        <v>0</v>
      </c>
      <c r="AA16" s="81">
        <f t="shared" si="12"/>
        <v>5316322.9668998383</v>
      </c>
      <c r="AB16" s="89">
        <f t="shared" si="13"/>
        <v>-5316322.9668998383</v>
      </c>
      <c r="AC16" s="47"/>
      <c r="AD16" s="88">
        <f t="shared" si="18"/>
        <v>-5316322.9668998383</v>
      </c>
      <c r="AE16" s="89">
        <f t="shared" si="26"/>
        <v>-26581614.834499199</v>
      </c>
    </row>
    <row r="17" spans="1:31" ht="13.5" customHeight="1" x14ac:dyDescent="0.2">
      <c r="A17" s="90">
        <v>11</v>
      </c>
      <c r="B17" s="91">
        <v>0</v>
      </c>
      <c r="C17" s="92">
        <v>0</v>
      </c>
      <c r="D17" s="92">
        <v>0</v>
      </c>
      <c r="E17" s="93">
        <f t="shared" si="15"/>
        <v>0</v>
      </c>
      <c r="F17" s="81">
        <f t="shared" ref="F17:H17" si="35">B17*$G$2</f>
        <v>0</v>
      </c>
      <c r="G17" s="81">
        <f t="shared" si="35"/>
        <v>0</v>
      </c>
      <c r="H17" s="81">
        <f t="shared" si="35"/>
        <v>0</v>
      </c>
      <c r="I17" s="81">
        <f t="shared" si="17"/>
        <v>0</v>
      </c>
      <c r="J17" s="94">
        <v>0.6</v>
      </c>
      <c r="K17" s="81">
        <f t="shared" si="20"/>
        <v>4306906.0943999989</v>
      </c>
      <c r="L17" s="95">
        <v>0</v>
      </c>
      <c r="M17" s="81">
        <f t="shared" si="21"/>
        <v>0</v>
      </c>
      <c r="N17" s="95">
        <v>0</v>
      </c>
      <c r="O17" s="81">
        <f t="shared" si="22"/>
        <v>0</v>
      </c>
      <c r="P17" s="89">
        <f t="shared" si="3"/>
        <v>4306906.0943999989</v>
      </c>
      <c r="Q17" s="96">
        <f t="shared" si="23"/>
        <v>0</v>
      </c>
      <c r="R17" s="81">
        <f t="shared" si="24"/>
        <v>25841436.566400003</v>
      </c>
      <c r="S17" s="97">
        <f t="shared" si="6"/>
        <v>-4306906.0943999989</v>
      </c>
      <c r="T17" s="89">
        <f t="shared" si="25"/>
        <v>-25841436.566400003</v>
      </c>
      <c r="U17" s="47"/>
      <c r="V17" s="88">
        <f t="shared" si="8"/>
        <v>0</v>
      </c>
      <c r="W17" s="81">
        <f>P17*(1+ANÁLISES!$B$3)</f>
        <v>5316322.9668998383</v>
      </c>
      <c r="X17" s="89">
        <f t="shared" si="10"/>
        <v>-5316322.9668998383</v>
      </c>
      <c r="Z17" s="88">
        <f t="shared" si="11"/>
        <v>0</v>
      </c>
      <c r="AA17" s="81">
        <f t="shared" si="12"/>
        <v>5316322.9668998383</v>
      </c>
      <c r="AB17" s="89">
        <f t="shared" si="13"/>
        <v>-5316322.9668998383</v>
      </c>
      <c r="AD17" s="88">
        <f t="shared" si="18"/>
        <v>-5316322.9668998383</v>
      </c>
      <c r="AE17" s="89">
        <f t="shared" si="26"/>
        <v>-31897937.801399037</v>
      </c>
    </row>
    <row r="18" spans="1:31" ht="13.5" customHeight="1" x14ac:dyDescent="0.2">
      <c r="A18" s="90">
        <v>12</v>
      </c>
      <c r="B18" s="91">
        <f>DADOS!$D$15</f>
        <v>50</v>
      </c>
      <c r="C18" s="92">
        <v>0</v>
      </c>
      <c r="D18" s="92">
        <v>0</v>
      </c>
      <c r="E18" s="93">
        <f t="shared" si="15"/>
        <v>50</v>
      </c>
      <c r="F18" s="81">
        <f t="shared" ref="F18:H18" si="36">B18*$G$2</f>
        <v>30000000</v>
      </c>
      <c r="G18" s="81">
        <f t="shared" si="36"/>
        <v>0</v>
      </c>
      <c r="H18" s="81">
        <f t="shared" si="36"/>
        <v>0</v>
      </c>
      <c r="I18" s="81">
        <f t="shared" si="17"/>
        <v>30000000</v>
      </c>
      <c r="J18" s="94">
        <v>0.75</v>
      </c>
      <c r="K18" s="81">
        <f t="shared" si="20"/>
        <v>6460359.1416000007</v>
      </c>
      <c r="L18" s="95">
        <v>0</v>
      </c>
      <c r="M18" s="81">
        <f t="shared" si="21"/>
        <v>0</v>
      </c>
      <c r="N18" s="95">
        <v>0</v>
      </c>
      <c r="O18" s="81">
        <f t="shared" si="22"/>
        <v>0</v>
      </c>
      <c r="P18" s="89">
        <f t="shared" si="3"/>
        <v>6460359.1416000007</v>
      </c>
      <c r="Q18" s="96">
        <f t="shared" si="23"/>
        <v>30000000</v>
      </c>
      <c r="R18" s="81">
        <f t="shared" si="24"/>
        <v>32301795.708000004</v>
      </c>
      <c r="S18" s="97">
        <f t="shared" si="6"/>
        <v>23539640.858399998</v>
      </c>
      <c r="T18" s="89">
        <f t="shared" si="25"/>
        <v>-2301795.7080000043</v>
      </c>
      <c r="U18" s="47"/>
      <c r="V18" s="88">
        <f t="shared" si="8"/>
        <v>18726674.022424724</v>
      </c>
      <c r="W18" s="81">
        <f>P18*(1+ANÁLISES!$B$3)</f>
        <v>7974484.4503497602</v>
      </c>
      <c r="X18" s="89">
        <f t="shared" si="10"/>
        <v>10752189.572074965</v>
      </c>
      <c r="Y18" s="47"/>
      <c r="Z18" s="88">
        <f t="shared" si="11"/>
        <v>24726674.02242472</v>
      </c>
      <c r="AA18" s="81">
        <f t="shared" si="12"/>
        <v>7974484.4503497602</v>
      </c>
      <c r="AB18" s="89">
        <f t="shared" si="13"/>
        <v>16752189.572074961</v>
      </c>
      <c r="AC18" s="47"/>
      <c r="AD18" s="88">
        <f t="shared" si="18"/>
        <v>16752189.572074961</v>
      </c>
      <c r="AE18" s="89">
        <f t="shared" si="26"/>
        <v>-15145748.229324076</v>
      </c>
    </row>
    <row r="19" spans="1:31" ht="13.5" customHeight="1" x14ac:dyDescent="0.2">
      <c r="A19" s="90">
        <v>13</v>
      </c>
      <c r="B19" s="91">
        <f>DADOS!$D$15</f>
        <v>50</v>
      </c>
      <c r="C19" s="92">
        <v>0</v>
      </c>
      <c r="D19" s="92">
        <v>0</v>
      </c>
      <c r="E19" s="93">
        <f t="shared" si="15"/>
        <v>50</v>
      </c>
      <c r="F19" s="81">
        <f t="shared" ref="F19:H19" si="37">B19*$G$2</f>
        <v>30000000</v>
      </c>
      <c r="G19" s="81">
        <f t="shared" si="37"/>
        <v>0</v>
      </c>
      <c r="H19" s="81">
        <f t="shared" si="37"/>
        <v>0</v>
      </c>
      <c r="I19" s="81">
        <f t="shared" si="17"/>
        <v>30000000</v>
      </c>
      <c r="J19" s="94">
        <v>0.85</v>
      </c>
      <c r="K19" s="81">
        <f t="shared" si="20"/>
        <v>4306906.0943999989</v>
      </c>
      <c r="L19" s="95">
        <v>0</v>
      </c>
      <c r="M19" s="81">
        <f t="shared" si="21"/>
        <v>0</v>
      </c>
      <c r="N19" s="95">
        <v>0</v>
      </c>
      <c r="O19" s="81">
        <f t="shared" si="22"/>
        <v>0</v>
      </c>
      <c r="P19" s="89">
        <f t="shared" si="3"/>
        <v>4306906.0943999989</v>
      </c>
      <c r="Q19" s="96">
        <f t="shared" si="23"/>
        <v>60000000</v>
      </c>
      <c r="R19" s="81">
        <f t="shared" si="24"/>
        <v>36608701.8024</v>
      </c>
      <c r="S19" s="97">
        <f t="shared" si="6"/>
        <v>25693093.9056</v>
      </c>
      <c r="T19" s="89">
        <f t="shared" si="25"/>
        <v>23391298.197599996</v>
      </c>
      <c r="U19" s="47"/>
      <c r="V19" s="88">
        <f t="shared" si="8"/>
        <v>18726674.022424724</v>
      </c>
      <c r="W19" s="81">
        <f>P19*(1+ANÁLISES!$B$3)</f>
        <v>5316322.9668998383</v>
      </c>
      <c r="X19" s="89">
        <f t="shared" si="10"/>
        <v>13410351.055524886</v>
      </c>
      <c r="Z19" s="88">
        <f t="shared" si="11"/>
        <v>24726674.02242472</v>
      </c>
      <c r="AA19" s="81">
        <f t="shared" si="12"/>
        <v>5316322.9668998383</v>
      </c>
      <c r="AB19" s="89">
        <f t="shared" si="13"/>
        <v>19410351.055524882</v>
      </c>
      <c r="AD19" s="88">
        <f t="shared" si="18"/>
        <v>19410351.055524882</v>
      </c>
      <c r="AE19" s="89">
        <f t="shared" si="26"/>
        <v>4264602.8262008056</v>
      </c>
    </row>
    <row r="20" spans="1:31" ht="13.5" customHeight="1" x14ac:dyDescent="0.2">
      <c r="A20" s="90">
        <v>14</v>
      </c>
      <c r="B20" s="91">
        <f>DADOS!$D$15</f>
        <v>50</v>
      </c>
      <c r="C20" s="92">
        <v>0</v>
      </c>
      <c r="D20" s="92">
        <v>0</v>
      </c>
      <c r="E20" s="93">
        <f t="shared" si="15"/>
        <v>50</v>
      </c>
      <c r="F20" s="81">
        <f t="shared" ref="F20:H20" si="38">B20*$G$2</f>
        <v>30000000</v>
      </c>
      <c r="G20" s="81">
        <f t="shared" si="38"/>
        <v>0</v>
      </c>
      <c r="H20" s="81">
        <f t="shared" si="38"/>
        <v>0</v>
      </c>
      <c r="I20" s="81">
        <f t="shared" si="17"/>
        <v>30000000</v>
      </c>
      <c r="J20" s="94">
        <v>1</v>
      </c>
      <c r="K20" s="81">
        <f t="shared" si="20"/>
        <v>6460359.1416000007</v>
      </c>
      <c r="L20" s="95">
        <v>0</v>
      </c>
      <c r="M20" s="81">
        <f t="shared" si="21"/>
        <v>0</v>
      </c>
      <c r="N20" s="95">
        <v>0</v>
      </c>
      <c r="O20" s="81">
        <f t="shared" si="22"/>
        <v>0</v>
      </c>
      <c r="P20" s="89">
        <f t="shared" si="3"/>
        <v>6460359.1416000007</v>
      </c>
      <c r="Q20" s="96">
        <f t="shared" si="23"/>
        <v>90000000</v>
      </c>
      <c r="R20" s="81">
        <f t="shared" si="24"/>
        <v>43069060.943999998</v>
      </c>
      <c r="S20" s="97">
        <f t="shared" si="6"/>
        <v>23539640.858399998</v>
      </c>
      <c r="T20" s="89">
        <f t="shared" si="25"/>
        <v>46930939.055999994</v>
      </c>
      <c r="U20" s="47"/>
      <c r="V20" s="88">
        <f t="shared" si="8"/>
        <v>18726674.022424724</v>
      </c>
      <c r="W20" s="81">
        <f>P20*(1+ANÁLISES!$B$3)</f>
        <v>7974484.4503497602</v>
      </c>
      <c r="X20" s="89">
        <f t="shared" si="10"/>
        <v>10752189.572074965</v>
      </c>
      <c r="Y20" s="47"/>
      <c r="Z20" s="88">
        <f t="shared" si="11"/>
        <v>24726674.02242472</v>
      </c>
      <c r="AA20" s="81">
        <f t="shared" si="12"/>
        <v>7974484.4503497602</v>
      </c>
      <c r="AB20" s="89">
        <f t="shared" si="13"/>
        <v>16752189.572074961</v>
      </c>
      <c r="AC20" s="47"/>
      <c r="AD20" s="88">
        <f t="shared" si="18"/>
        <v>16752189.572074961</v>
      </c>
      <c r="AE20" s="89">
        <f t="shared" si="26"/>
        <v>21016792.398275767</v>
      </c>
    </row>
    <row r="21" spans="1:31" ht="13.5" customHeight="1" x14ac:dyDescent="0.2">
      <c r="A21" s="90">
        <v>15</v>
      </c>
      <c r="B21" s="91">
        <f>DADOS!$D$15</f>
        <v>50</v>
      </c>
      <c r="C21" s="92">
        <v>0</v>
      </c>
      <c r="D21" s="92">
        <v>0</v>
      </c>
      <c r="E21" s="93">
        <f t="shared" si="15"/>
        <v>50</v>
      </c>
      <c r="F21" s="81">
        <f t="shared" ref="F21:H21" si="39">B21*$G$2</f>
        <v>30000000</v>
      </c>
      <c r="G21" s="81">
        <f t="shared" si="39"/>
        <v>0</v>
      </c>
      <c r="H21" s="81">
        <f t="shared" si="39"/>
        <v>0</v>
      </c>
      <c r="I21" s="81">
        <f t="shared" si="17"/>
        <v>30000000</v>
      </c>
      <c r="J21" s="94">
        <v>1</v>
      </c>
      <c r="K21" s="81">
        <f t="shared" si="20"/>
        <v>0</v>
      </c>
      <c r="L21" s="95">
        <v>0.01</v>
      </c>
      <c r="M21" s="81">
        <f t="shared" si="21"/>
        <v>550235.91168000002</v>
      </c>
      <c r="N21" s="95">
        <v>0</v>
      </c>
      <c r="O21" s="81">
        <f t="shared" si="22"/>
        <v>0</v>
      </c>
      <c r="P21" s="89">
        <f t="shared" si="3"/>
        <v>550235.91168000002</v>
      </c>
      <c r="Q21" s="96">
        <f t="shared" si="23"/>
        <v>120000000</v>
      </c>
      <c r="R21" s="81">
        <f t="shared" si="24"/>
        <v>43619296.855679996</v>
      </c>
      <c r="S21" s="97">
        <f t="shared" si="6"/>
        <v>29449764.088319998</v>
      </c>
      <c r="T21" s="89">
        <f t="shared" si="25"/>
        <v>76380703.144319996</v>
      </c>
      <c r="U21" s="47"/>
      <c r="V21" s="88">
        <f t="shared" si="8"/>
        <v>18726674.022424724</v>
      </c>
      <c r="W21" s="81">
        <f>P21*(1+ANÁLISES!$B$3)</f>
        <v>679195.63379404799</v>
      </c>
      <c r="X21" s="89">
        <f t="shared" si="10"/>
        <v>18047478.388630677</v>
      </c>
      <c r="Y21" s="47"/>
      <c r="Z21" s="88">
        <f t="shared" si="11"/>
        <v>24726674.02242472</v>
      </c>
      <c r="AA21" s="81">
        <f t="shared" si="12"/>
        <v>679195.63379404799</v>
      </c>
      <c r="AB21" s="89">
        <f t="shared" si="13"/>
        <v>24047478.388630673</v>
      </c>
      <c r="AC21" s="47"/>
      <c r="AD21" s="88">
        <f t="shared" si="18"/>
        <v>24047478.388630673</v>
      </c>
      <c r="AE21" s="89">
        <f t="shared" si="26"/>
        <v>45064270.786906436</v>
      </c>
    </row>
    <row r="22" spans="1:31" ht="13.5" customHeight="1" x14ac:dyDescent="0.2">
      <c r="A22" s="90">
        <v>16</v>
      </c>
      <c r="B22" s="91">
        <f>DADOS!$D$15</f>
        <v>50</v>
      </c>
      <c r="C22" s="92">
        <v>0</v>
      </c>
      <c r="D22" s="92">
        <v>0</v>
      </c>
      <c r="E22" s="93">
        <f t="shared" si="15"/>
        <v>50</v>
      </c>
      <c r="F22" s="81">
        <f t="shared" ref="F22:H22" si="40">B22*$G$2</f>
        <v>30000000</v>
      </c>
      <c r="G22" s="81">
        <f t="shared" si="40"/>
        <v>0</v>
      </c>
      <c r="H22" s="81">
        <f t="shared" si="40"/>
        <v>0</v>
      </c>
      <c r="I22" s="81">
        <f t="shared" si="17"/>
        <v>30000000</v>
      </c>
      <c r="J22" s="94">
        <v>1</v>
      </c>
      <c r="K22" s="81">
        <f t="shared" si="20"/>
        <v>0</v>
      </c>
      <c r="L22" s="95">
        <v>0.02</v>
      </c>
      <c r="M22" s="81">
        <f t="shared" si="21"/>
        <v>550235.91168000002</v>
      </c>
      <c r="N22" s="95">
        <v>0</v>
      </c>
      <c r="O22" s="81">
        <f t="shared" si="22"/>
        <v>0</v>
      </c>
      <c r="P22" s="89">
        <f t="shared" si="3"/>
        <v>550235.91168000002</v>
      </c>
      <c r="Q22" s="96">
        <f t="shared" si="23"/>
        <v>150000000</v>
      </c>
      <c r="R22" s="81">
        <f t="shared" si="24"/>
        <v>44169532.767359994</v>
      </c>
      <c r="S22" s="97">
        <f t="shared" si="6"/>
        <v>29449764.088319998</v>
      </c>
      <c r="T22" s="89">
        <f t="shared" si="25"/>
        <v>105830467.23264</v>
      </c>
      <c r="U22" s="47"/>
      <c r="V22" s="88">
        <f t="shared" si="8"/>
        <v>18726674.022424724</v>
      </c>
      <c r="W22" s="81">
        <f>P22*(1+ANÁLISES!$B$3)</f>
        <v>679195.63379404799</v>
      </c>
      <c r="X22" s="89">
        <f t="shared" si="10"/>
        <v>18047478.388630677</v>
      </c>
      <c r="Z22" s="88">
        <f t="shared" si="11"/>
        <v>24726674.02242472</v>
      </c>
      <c r="AA22" s="81">
        <f t="shared" si="12"/>
        <v>679195.63379404799</v>
      </c>
      <c r="AB22" s="89">
        <f t="shared" si="13"/>
        <v>24047478.388630673</v>
      </c>
      <c r="AD22" s="88">
        <f t="shared" si="18"/>
        <v>24047478.388630673</v>
      </c>
      <c r="AE22" s="89">
        <f t="shared" si="26"/>
        <v>69111749.175537109</v>
      </c>
    </row>
    <row r="23" spans="1:31" ht="13.5" customHeight="1" x14ac:dyDescent="0.2">
      <c r="A23" s="90">
        <v>17</v>
      </c>
      <c r="B23" s="91">
        <f>DADOS!$D$15</f>
        <v>50</v>
      </c>
      <c r="C23" s="92">
        <v>0</v>
      </c>
      <c r="D23" s="92">
        <v>0</v>
      </c>
      <c r="E23" s="93">
        <f t="shared" si="15"/>
        <v>50</v>
      </c>
      <c r="F23" s="81">
        <f t="shared" ref="F23:H23" si="41">B23*$G$2</f>
        <v>30000000</v>
      </c>
      <c r="G23" s="81">
        <f t="shared" si="41"/>
        <v>0</v>
      </c>
      <c r="H23" s="81">
        <f t="shared" si="41"/>
        <v>0</v>
      </c>
      <c r="I23" s="81">
        <f t="shared" si="17"/>
        <v>30000000</v>
      </c>
      <c r="J23" s="94">
        <v>1</v>
      </c>
      <c r="K23" s="81">
        <f t="shared" si="20"/>
        <v>0</v>
      </c>
      <c r="L23" s="95">
        <v>0.04</v>
      </c>
      <c r="M23" s="81">
        <f t="shared" si="21"/>
        <v>1100471.82336</v>
      </c>
      <c r="N23" s="95">
        <v>0</v>
      </c>
      <c r="O23" s="81">
        <f t="shared" si="22"/>
        <v>0</v>
      </c>
      <c r="P23" s="89">
        <f t="shared" si="3"/>
        <v>1100471.82336</v>
      </c>
      <c r="Q23" s="96">
        <f t="shared" si="23"/>
        <v>180000000</v>
      </c>
      <c r="R23" s="81">
        <f t="shared" si="24"/>
        <v>45270004.590719998</v>
      </c>
      <c r="S23" s="97">
        <f t="shared" si="6"/>
        <v>28899528.17664</v>
      </c>
      <c r="T23" s="89">
        <f t="shared" si="25"/>
        <v>134729995.40928</v>
      </c>
      <c r="U23" s="47"/>
      <c r="V23" s="88">
        <f t="shared" si="8"/>
        <v>18726674.022424724</v>
      </c>
      <c r="W23" s="81">
        <f>P23*(1+ANÁLISES!$B$3)</f>
        <v>1358391.267588096</v>
      </c>
      <c r="X23" s="89">
        <f t="shared" si="10"/>
        <v>17368282.754836626</v>
      </c>
      <c r="Y23" s="47"/>
      <c r="Z23" s="88">
        <f t="shared" si="11"/>
        <v>24726674.02242472</v>
      </c>
      <c r="AA23" s="81">
        <f t="shared" si="12"/>
        <v>1358391.267588096</v>
      </c>
      <c r="AB23" s="89">
        <f t="shared" si="13"/>
        <v>23368282.754836623</v>
      </c>
      <c r="AC23" s="47"/>
      <c r="AD23" s="88">
        <f t="shared" si="18"/>
        <v>23368282.754836623</v>
      </c>
      <c r="AE23" s="89">
        <f t="shared" si="26"/>
        <v>92480031.930373728</v>
      </c>
    </row>
    <row r="24" spans="1:31" ht="13.5" customHeight="1" x14ac:dyDescent="0.2">
      <c r="A24" s="90">
        <v>18</v>
      </c>
      <c r="B24" s="91">
        <f>DADOS!$D$15</f>
        <v>50</v>
      </c>
      <c r="C24" s="92">
        <v>0</v>
      </c>
      <c r="D24" s="92">
        <v>0</v>
      </c>
      <c r="E24" s="93">
        <f t="shared" si="15"/>
        <v>50</v>
      </c>
      <c r="F24" s="81">
        <f t="shared" ref="F24:H24" si="42">B24*$G$2</f>
        <v>30000000</v>
      </c>
      <c r="G24" s="81">
        <f t="shared" si="42"/>
        <v>0</v>
      </c>
      <c r="H24" s="81">
        <f t="shared" si="42"/>
        <v>0</v>
      </c>
      <c r="I24" s="81">
        <f t="shared" si="17"/>
        <v>30000000</v>
      </c>
      <c r="J24" s="94">
        <v>1</v>
      </c>
      <c r="K24" s="81">
        <f t="shared" si="20"/>
        <v>0</v>
      </c>
      <c r="L24" s="95">
        <v>0.08</v>
      </c>
      <c r="M24" s="81">
        <f t="shared" si="21"/>
        <v>2200943.6467200001</v>
      </c>
      <c r="N24" s="95">
        <v>0</v>
      </c>
      <c r="O24" s="81">
        <f t="shared" si="22"/>
        <v>0</v>
      </c>
      <c r="P24" s="89">
        <f t="shared" si="3"/>
        <v>2200943.6467200001</v>
      </c>
      <c r="Q24" s="96">
        <f t="shared" si="23"/>
        <v>210000000</v>
      </c>
      <c r="R24" s="81">
        <f t="shared" si="24"/>
        <v>47470948.237439997</v>
      </c>
      <c r="S24" s="97">
        <f t="shared" si="6"/>
        <v>27799056.35328</v>
      </c>
      <c r="T24" s="89">
        <f t="shared" si="25"/>
        <v>162529051.76256001</v>
      </c>
      <c r="U24" s="47"/>
      <c r="V24" s="88">
        <f t="shared" si="8"/>
        <v>18726674.022424724</v>
      </c>
      <c r="W24" s="81">
        <f>P24*(1+ANÁLISES!$B$3)</f>
        <v>2716782.5351761919</v>
      </c>
      <c r="X24" s="89">
        <f t="shared" si="10"/>
        <v>16009891.487248532</v>
      </c>
      <c r="Y24" s="47"/>
      <c r="Z24" s="88">
        <f t="shared" si="11"/>
        <v>24726674.02242472</v>
      </c>
      <c r="AA24" s="81">
        <f t="shared" si="12"/>
        <v>2716782.5351761919</v>
      </c>
      <c r="AB24" s="89">
        <f t="shared" si="13"/>
        <v>22009891.487248529</v>
      </c>
      <c r="AC24" s="47"/>
      <c r="AD24" s="88">
        <f t="shared" si="18"/>
        <v>22009891.487248529</v>
      </c>
      <c r="AE24" s="89">
        <f t="shared" si="26"/>
        <v>114489923.41762225</v>
      </c>
    </row>
    <row r="25" spans="1:31" ht="13.5" customHeight="1" x14ac:dyDescent="0.2">
      <c r="A25" s="90">
        <v>19</v>
      </c>
      <c r="B25" s="91">
        <f>DADOS!$D$15</f>
        <v>50</v>
      </c>
      <c r="C25" s="92">
        <v>0</v>
      </c>
      <c r="D25" s="92">
        <v>0</v>
      </c>
      <c r="E25" s="93">
        <f t="shared" si="15"/>
        <v>50</v>
      </c>
      <c r="F25" s="81">
        <f t="shared" ref="F25:H25" si="43">B25*$G$2</f>
        <v>30000000</v>
      </c>
      <c r="G25" s="81">
        <f t="shared" si="43"/>
        <v>0</v>
      </c>
      <c r="H25" s="81">
        <f t="shared" si="43"/>
        <v>0</v>
      </c>
      <c r="I25" s="81">
        <f t="shared" si="17"/>
        <v>30000000</v>
      </c>
      <c r="J25" s="94">
        <v>1</v>
      </c>
      <c r="K25" s="81">
        <f t="shared" si="20"/>
        <v>0</v>
      </c>
      <c r="L25" s="95">
        <v>0.12</v>
      </c>
      <c r="M25" s="81">
        <f t="shared" si="21"/>
        <v>2200943.6467199996</v>
      </c>
      <c r="N25" s="95">
        <v>0</v>
      </c>
      <c r="O25" s="81">
        <f t="shared" si="22"/>
        <v>0</v>
      </c>
      <c r="P25" s="89">
        <f t="shared" si="3"/>
        <v>2200943.6467199996</v>
      </c>
      <c r="Q25" s="96">
        <f t="shared" si="23"/>
        <v>240000000</v>
      </c>
      <c r="R25" s="81">
        <f t="shared" si="24"/>
        <v>49671891.884159997</v>
      </c>
      <c r="S25" s="97">
        <f t="shared" si="6"/>
        <v>27799056.35328</v>
      </c>
      <c r="T25" s="89">
        <f t="shared" si="25"/>
        <v>190328108.11584002</v>
      </c>
      <c r="U25" s="47"/>
      <c r="V25" s="88">
        <f t="shared" si="8"/>
        <v>18726674.022424724</v>
      </c>
      <c r="W25" s="81">
        <f>P25*(1+ANÁLISES!$B$3)</f>
        <v>2716782.5351761915</v>
      </c>
      <c r="X25" s="89">
        <f t="shared" si="10"/>
        <v>16009891.487248532</v>
      </c>
      <c r="Z25" s="88">
        <f t="shared" si="11"/>
        <v>24726674.02242472</v>
      </c>
      <c r="AA25" s="81">
        <f t="shared" si="12"/>
        <v>2716782.5351761915</v>
      </c>
      <c r="AB25" s="89">
        <f t="shared" si="13"/>
        <v>22009891.487248529</v>
      </c>
      <c r="AD25" s="88">
        <f t="shared" si="18"/>
        <v>22009891.487248529</v>
      </c>
      <c r="AE25" s="89">
        <f t="shared" si="26"/>
        <v>136499814.90487078</v>
      </c>
    </row>
    <row r="26" spans="1:31" ht="13.5" customHeight="1" x14ac:dyDescent="0.2">
      <c r="A26" s="90">
        <v>20</v>
      </c>
      <c r="B26" s="91">
        <f>DADOS!$D$15</f>
        <v>50</v>
      </c>
      <c r="C26" s="92">
        <v>0</v>
      </c>
      <c r="D26" s="92">
        <v>0</v>
      </c>
      <c r="E26" s="93">
        <f t="shared" si="15"/>
        <v>50</v>
      </c>
      <c r="F26" s="81">
        <f t="shared" ref="F26:H26" si="44">B26*$G$2</f>
        <v>30000000</v>
      </c>
      <c r="G26" s="81">
        <f t="shared" si="44"/>
        <v>0</v>
      </c>
      <c r="H26" s="81">
        <f t="shared" si="44"/>
        <v>0</v>
      </c>
      <c r="I26" s="81">
        <f t="shared" si="17"/>
        <v>30000000</v>
      </c>
      <c r="J26" s="94">
        <v>1</v>
      </c>
      <c r="K26" s="81">
        <f t="shared" si="20"/>
        <v>0</v>
      </c>
      <c r="L26" s="95">
        <v>0.16</v>
      </c>
      <c r="M26" s="81">
        <f t="shared" si="21"/>
        <v>2200943.6467200005</v>
      </c>
      <c r="N26" s="95">
        <v>0</v>
      </c>
      <c r="O26" s="81">
        <f t="shared" si="22"/>
        <v>0</v>
      </c>
      <c r="P26" s="89">
        <f t="shared" si="3"/>
        <v>2200943.6467200005</v>
      </c>
      <c r="Q26" s="96">
        <f t="shared" si="23"/>
        <v>270000000</v>
      </c>
      <c r="R26" s="81">
        <f t="shared" si="24"/>
        <v>51872835.530879997</v>
      </c>
      <c r="S26" s="97">
        <f t="shared" si="6"/>
        <v>27799056.35328</v>
      </c>
      <c r="T26" s="89">
        <f t="shared" si="25"/>
        <v>218127164.46912003</v>
      </c>
      <c r="U26" s="47"/>
      <c r="V26" s="88">
        <f t="shared" si="8"/>
        <v>18726674.022424724</v>
      </c>
      <c r="W26" s="81">
        <f>P26*(1+ANÁLISES!$B$3)</f>
        <v>2716782.5351761924</v>
      </c>
      <c r="X26" s="89">
        <f t="shared" si="10"/>
        <v>16009891.487248532</v>
      </c>
      <c r="Z26" s="88">
        <f t="shared" si="11"/>
        <v>24726674.02242472</v>
      </c>
      <c r="AA26" s="81">
        <f t="shared" si="12"/>
        <v>2716782.5351761924</v>
      </c>
      <c r="AB26" s="89">
        <f t="shared" si="13"/>
        <v>22009891.487248529</v>
      </c>
      <c r="AD26" s="88">
        <f t="shared" si="18"/>
        <v>22009891.487248529</v>
      </c>
      <c r="AE26" s="89">
        <f t="shared" si="26"/>
        <v>158509706.39211932</v>
      </c>
    </row>
    <row r="27" spans="1:31" ht="13.5" customHeight="1" x14ac:dyDescent="0.2">
      <c r="A27" s="90">
        <v>21</v>
      </c>
      <c r="B27" s="91">
        <f>DADOS!$D$15</f>
        <v>50</v>
      </c>
      <c r="C27" s="92">
        <v>0</v>
      </c>
      <c r="D27" s="92">
        <v>0</v>
      </c>
      <c r="E27" s="93">
        <f t="shared" si="15"/>
        <v>50</v>
      </c>
      <c r="F27" s="81">
        <f t="shared" ref="F27:H27" si="45">B27*$G$2</f>
        <v>30000000</v>
      </c>
      <c r="G27" s="81">
        <f t="shared" si="45"/>
        <v>0</v>
      </c>
      <c r="H27" s="81">
        <f t="shared" si="45"/>
        <v>0</v>
      </c>
      <c r="I27" s="81">
        <f t="shared" si="17"/>
        <v>30000000</v>
      </c>
      <c r="J27" s="94">
        <v>1</v>
      </c>
      <c r="K27" s="81">
        <f t="shared" si="20"/>
        <v>0</v>
      </c>
      <c r="L27" s="95">
        <v>0.2</v>
      </c>
      <c r="M27" s="81">
        <f t="shared" si="21"/>
        <v>2200943.6467200005</v>
      </c>
      <c r="N27" s="95">
        <v>0</v>
      </c>
      <c r="O27" s="81">
        <f t="shared" si="22"/>
        <v>0</v>
      </c>
      <c r="P27" s="89">
        <f t="shared" si="3"/>
        <v>2200943.6467200005</v>
      </c>
      <c r="Q27" s="96">
        <f t="shared" si="23"/>
        <v>300000000</v>
      </c>
      <c r="R27" s="81">
        <f t="shared" si="24"/>
        <v>54073779.177599996</v>
      </c>
      <c r="S27" s="97">
        <f t="shared" si="6"/>
        <v>27799056.35328</v>
      </c>
      <c r="T27" s="89">
        <f t="shared" si="25"/>
        <v>245926220.82240003</v>
      </c>
      <c r="U27" s="47"/>
      <c r="V27" s="88">
        <f t="shared" si="8"/>
        <v>18726674.022424724</v>
      </c>
      <c r="W27" s="81">
        <f>P27*(1+ANÁLISES!$B$3)</f>
        <v>2716782.5351761924</v>
      </c>
      <c r="X27" s="89">
        <f t="shared" si="10"/>
        <v>16009891.487248532</v>
      </c>
      <c r="Z27" s="88">
        <f t="shared" si="11"/>
        <v>24726674.02242472</v>
      </c>
      <c r="AA27" s="81">
        <f t="shared" si="12"/>
        <v>2716782.5351761924</v>
      </c>
      <c r="AB27" s="89">
        <f t="shared" si="13"/>
        <v>22009891.487248529</v>
      </c>
      <c r="AD27" s="88">
        <f t="shared" si="18"/>
        <v>22009891.487248529</v>
      </c>
      <c r="AE27" s="89">
        <f t="shared" si="26"/>
        <v>180519597.87936786</v>
      </c>
    </row>
    <row r="28" spans="1:31" ht="13.5" customHeight="1" x14ac:dyDescent="0.2">
      <c r="A28" s="90">
        <v>22</v>
      </c>
      <c r="B28" s="91">
        <f>DADOS!$D$15</f>
        <v>50</v>
      </c>
      <c r="C28" s="92">
        <v>0</v>
      </c>
      <c r="D28" s="92">
        <v>0</v>
      </c>
      <c r="E28" s="93">
        <f t="shared" si="15"/>
        <v>50</v>
      </c>
      <c r="F28" s="81">
        <f t="shared" ref="F28:H28" si="46">B28*$G$2</f>
        <v>30000000</v>
      </c>
      <c r="G28" s="81">
        <f t="shared" si="46"/>
        <v>0</v>
      </c>
      <c r="H28" s="81">
        <f t="shared" si="46"/>
        <v>0</v>
      </c>
      <c r="I28" s="81">
        <f t="shared" si="17"/>
        <v>30000000</v>
      </c>
      <c r="J28" s="94">
        <v>1</v>
      </c>
      <c r="K28" s="81">
        <f t="shared" si="20"/>
        <v>0</v>
      </c>
      <c r="L28" s="95">
        <v>0.25</v>
      </c>
      <c r="M28" s="81">
        <f t="shared" si="21"/>
        <v>2751179.558399999</v>
      </c>
      <c r="N28" s="95">
        <v>0</v>
      </c>
      <c r="O28" s="81">
        <f t="shared" si="22"/>
        <v>0</v>
      </c>
      <c r="P28" s="89">
        <f t="shared" si="3"/>
        <v>2751179.558399999</v>
      </c>
      <c r="Q28" s="96">
        <f t="shared" si="23"/>
        <v>330000000</v>
      </c>
      <c r="R28" s="81">
        <f t="shared" si="24"/>
        <v>56824958.735999994</v>
      </c>
      <c r="S28" s="97">
        <f t="shared" si="6"/>
        <v>27248820.441600002</v>
      </c>
      <c r="T28" s="89">
        <f t="shared" si="25"/>
        <v>273175041.26400006</v>
      </c>
      <c r="U28" s="47"/>
      <c r="V28" s="88">
        <f t="shared" si="8"/>
        <v>18726674.022424724</v>
      </c>
      <c r="W28" s="81">
        <f>P28*(1+ANÁLISES!$B$3)</f>
        <v>3395978.1689702384</v>
      </c>
      <c r="X28" s="89">
        <f t="shared" si="10"/>
        <v>15330695.853454486</v>
      </c>
      <c r="Z28" s="88">
        <f t="shared" si="11"/>
        <v>24726674.02242472</v>
      </c>
      <c r="AA28" s="81">
        <f t="shared" si="12"/>
        <v>3395978.1689702384</v>
      </c>
      <c r="AB28" s="89">
        <f t="shared" si="13"/>
        <v>21330695.853454482</v>
      </c>
      <c r="AD28" s="88">
        <f t="shared" si="18"/>
        <v>21330695.853454482</v>
      </c>
      <c r="AE28" s="89">
        <f t="shared" si="26"/>
        <v>201850293.73282233</v>
      </c>
    </row>
    <row r="29" spans="1:31" ht="13.5" customHeight="1" x14ac:dyDescent="0.2">
      <c r="A29" s="90">
        <v>23</v>
      </c>
      <c r="B29" s="91">
        <f>DADOS!$D$15</f>
        <v>50</v>
      </c>
      <c r="C29" s="92">
        <v>0</v>
      </c>
      <c r="D29" s="92">
        <v>0</v>
      </c>
      <c r="E29" s="93">
        <f t="shared" si="15"/>
        <v>50</v>
      </c>
      <c r="F29" s="81">
        <f t="shared" ref="F29:H29" si="47">B29*$G$2</f>
        <v>30000000</v>
      </c>
      <c r="G29" s="81">
        <f t="shared" si="47"/>
        <v>0</v>
      </c>
      <c r="H29" s="81">
        <f t="shared" si="47"/>
        <v>0</v>
      </c>
      <c r="I29" s="81">
        <f t="shared" si="17"/>
        <v>30000000</v>
      </c>
      <c r="J29" s="94">
        <v>1</v>
      </c>
      <c r="K29" s="81">
        <f t="shared" si="20"/>
        <v>0</v>
      </c>
      <c r="L29" s="95">
        <v>0.3</v>
      </c>
      <c r="M29" s="81">
        <f t="shared" si="21"/>
        <v>2751179.558399999</v>
      </c>
      <c r="N29" s="95">
        <v>0</v>
      </c>
      <c r="O29" s="81">
        <f t="shared" si="22"/>
        <v>0</v>
      </c>
      <c r="P29" s="89">
        <f t="shared" si="3"/>
        <v>2751179.558399999</v>
      </c>
      <c r="Q29" s="96">
        <f t="shared" si="23"/>
        <v>360000000</v>
      </c>
      <c r="R29" s="81">
        <f t="shared" si="24"/>
        <v>59576138.294399992</v>
      </c>
      <c r="S29" s="97">
        <f t="shared" si="6"/>
        <v>27248820.441600002</v>
      </c>
      <c r="T29" s="89">
        <f t="shared" si="25"/>
        <v>300423861.70560008</v>
      </c>
      <c r="U29" s="47"/>
      <c r="V29" s="88">
        <f t="shared" si="8"/>
        <v>18726674.022424724</v>
      </c>
      <c r="W29" s="81">
        <f>P29*(1+ANÁLISES!$B$3)</f>
        <v>3395978.1689702384</v>
      </c>
      <c r="X29" s="89">
        <f t="shared" si="10"/>
        <v>15330695.853454486</v>
      </c>
      <c r="Z29" s="88">
        <f t="shared" si="11"/>
        <v>24726674.02242472</v>
      </c>
      <c r="AA29" s="81">
        <f t="shared" si="12"/>
        <v>3395978.1689702384</v>
      </c>
      <c r="AB29" s="89">
        <f t="shared" si="13"/>
        <v>21330695.853454482</v>
      </c>
      <c r="AD29" s="88">
        <f t="shared" si="18"/>
        <v>21330695.853454482</v>
      </c>
      <c r="AE29" s="89">
        <f t="shared" si="26"/>
        <v>223180989.5862768</v>
      </c>
    </row>
    <row r="30" spans="1:31" ht="13.5" customHeight="1" x14ac:dyDescent="0.2">
      <c r="A30" s="90">
        <v>24</v>
      </c>
      <c r="B30" s="91">
        <f>DADOS!$D$15</f>
        <v>50</v>
      </c>
      <c r="C30" s="92">
        <v>0</v>
      </c>
      <c r="D30" s="92">
        <v>0</v>
      </c>
      <c r="E30" s="93">
        <f t="shared" si="15"/>
        <v>50</v>
      </c>
      <c r="F30" s="81">
        <f t="shared" ref="F30:H30" si="48">B30*$G$2</f>
        <v>30000000</v>
      </c>
      <c r="G30" s="81">
        <f t="shared" si="48"/>
        <v>0</v>
      </c>
      <c r="H30" s="81">
        <f t="shared" si="48"/>
        <v>0</v>
      </c>
      <c r="I30" s="81">
        <f t="shared" si="17"/>
        <v>30000000</v>
      </c>
      <c r="J30" s="94">
        <v>1</v>
      </c>
      <c r="K30" s="81">
        <f t="shared" si="20"/>
        <v>0</v>
      </c>
      <c r="L30" s="95">
        <v>0.36</v>
      </c>
      <c r="M30" s="81">
        <f t="shared" si="21"/>
        <v>3301415.4700799999</v>
      </c>
      <c r="N30" s="95">
        <v>0</v>
      </c>
      <c r="O30" s="81">
        <f t="shared" si="22"/>
        <v>0</v>
      </c>
      <c r="P30" s="89">
        <f t="shared" si="3"/>
        <v>3301415.4700799999</v>
      </c>
      <c r="Q30" s="96">
        <f t="shared" si="23"/>
        <v>390000000</v>
      </c>
      <c r="R30" s="81">
        <f t="shared" si="24"/>
        <v>62877553.764479995</v>
      </c>
      <c r="S30" s="97">
        <f t="shared" si="6"/>
        <v>26698584.529920001</v>
      </c>
      <c r="T30" s="89">
        <f t="shared" si="25"/>
        <v>327122446.23552006</v>
      </c>
      <c r="U30" s="47"/>
      <c r="V30" s="88">
        <f t="shared" si="8"/>
        <v>18726674.022424724</v>
      </c>
      <c r="W30" s="81">
        <f>P30*(1+ANÁLISES!$B$3)</f>
        <v>4075173.8027642877</v>
      </c>
      <c r="X30" s="89">
        <f t="shared" si="10"/>
        <v>14651500.219660437</v>
      </c>
      <c r="Z30" s="88">
        <f t="shared" si="11"/>
        <v>24726674.02242472</v>
      </c>
      <c r="AA30" s="81">
        <f t="shared" si="12"/>
        <v>4075173.8027642877</v>
      </c>
      <c r="AB30" s="89">
        <f t="shared" si="13"/>
        <v>20651500.219660431</v>
      </c>
      <c r="AD30" s="88">
        <f t="shared" si="18"/>
        <v>20651500.219660431</v>
      </c>
      <c r="AE30" s="89">
        <f t="shared" si="26"/>
        <v>243832489.80593723</v>
      </c>
    </row>
    <row r="31" spans="1:31" ht="13.5" customHeight="1" x14ac:dyDescent="0.2">
      <c r="A31" s="90">
        <v>25</v>
      </c>
      <c r="B31" s="91">
        <f>DADOS!$D$15</f>
        <v>50</v>
      </c>
      <c r="C31" s="92">
        <v>0</v>
      </c>
      <c r="D31" s="92">
        <v>0</v>
      </c>
      <c r="E31" s="93">
        <f t="shared" si="15"/>
        <v>50</v>
      </c>
      <c r="F31" s="81">
        <f t="shared" ref="F31:H31" si="49">B31*$G$2</f>
        <v>30000000</v>
      </c>
      <c r="G31" s="81">
        <f t="shared" si="49"/>
        <v>0</v>
      </c>
      <c r="H31" s="81">
        <f t="shared" si="49"/>
        <v>0</v>
      </c>
      <c r="I31" s="81">
        <f t="shared" si="17"/>
        <v>30000000</v>
      </c>
      <c r="J31" s="94">
        <v>1</v>
      </c>
      <c r="K31" s="81">
        <f t="shared" si="20"/>
        <v>0</v>
      </c>
      <c r="L31" s="95">
        <v>0.42</v>
      </c>
      <c r="M31" s="81">
        <f t="shared" si="21"/>
        <v>3301415.4700799999</v>
      </c>
      <c r="N31" s="95">
        <v>0</v>
      </c>
      <c r="O31" s="81">
        <f t="shared" si="22"/>
        <v>0</v>
      </c>
      <c r="P31" s="89">
        <f t="shared" si="3"/>
        <v>3301415.4700799999</v>
      </c>
      <c r="Q31" s="96">
        <f t="shared" si="23"/>
        <v>420000000</v>
      </c>
      <c r="R31" s="81">
        <f t="shared" si="24"/>
        <v>66178969.234559998</v>
      </c>
      <c r="S31" s="97">
        <f t="shared" si="6"/>
        <v>26698584.529920001</v>
      </c>
      <c r="T31" s="89">
        <f t="shared" si="25"/>
        <v>353821030.76544005</v>
      </c>
      <c r="U31" s="47"/>
      <c r="V31" s="88">
        <f t="shared" si="8"/>
        <v>18726674.022424724</v>
      </c>
      <c r="W31" s="81">
        <f>P31*(1+ANÁLISES!$B$3)</f>
        <v>4075173.8027642877</v>
      </c>
      <c r="X31" s="89">
        <f t="shared" si="10"/>
        <v>14651500.219660437</v>
      </c>
      <c r="Z31" s="88">
        <f t="shared" si="11"/>
        <v>24726674.02242472</v>
      </c>
      <c r="AA31" s="81">
        <f t="shared" si="12"/>
        <v>4075173.8027642877</v>
      </c>
      <c r="AB31" s="89">
        <f t="shared" si="13"/>
        <v>20651500.219660431</v>
      </c>
      <c r="AD31" s="88">
        <f t="shared" si="18"/>
        <v>20651500.219660431</v>
      </c>
      <c r="AE31" s="89">
        <f t="shared" si="26"/>
        <v>264483990.02559766</v>
      </c>
    </row>
    <row r="32" spans="1:31" ht="13.5" customHeight="1" x14ac:dyDescent="0.2">
      <c r="A32" s="90">
        <v>26</v>
      </c>
      <c r="B32" s="91">
        <f>DADOS!$D$15</f>
        <v>50</v>
      </c>
      <c r="C32" s="92">
        <v>0</v>
      </c>
      <c r="D32" s="92">
        <v>0</v>
      </c>
      <c r="E32" s="93">
        <f t="shared" si="15"/>
        <v>50</v>
      </c>
      <c r="F32" s="81">
        <f t="shared" ref="F32:H32" si="50">B32*$G$2</f>
        <v>30000000</v>
      </c>
      <c r="G32" s="81">
        <f t="shared" si="50"/>
        <v>0</v>
      </c>
      <c r="H32" s="81">
        <f t="shared" si="50"/>
        <v>0</v>
      </c>
      <c r="I32" s="81">
        <f t="shared" si="17"/>
        <v>30000000</v>
      </c>
      <c r="J32" s="94">
        <v>1</v>
      </c>
      <c r="K32" s="81">
        <f t="shared" si="20"/>
        <v>0</v>
      </c>
      <c r="L32" s="95">
        <v>0.5</v>
      </c>
      <c r="M32" s="81">
        <f t="shared" si="21"/>
        <v>4401887.2934400011</v>
      </c>
      <c r="N32" s="95">
        <v>0</v>
      </c>
      <c r="O32" s="81">
        <f t="shared" si="22"/>
        <v>0</v>
      </c>
      <c r="P32" s="89">
        <f t="shared" si="3"/>
        <v>4401887.2934400011</v>
      </c>
      <c r="Q32" s="96">
        <f t="shared" si="23"/>
        <v>450000000</v>
      </c>
      <c r="R32" s="81">
        <f t="shared" si="24"/>
        <v>70580856.527999997</v>
      </c>
      <c r="S32" s="97">
        <f t="shared" si="6"/>
        <v>25598112.706560001</v>
      </c>
      <c r="T32" s="89">
        <f t="shared" si="25"/>
        <v>379419143.47200006</v>
      </c>
      <c r="U32" s="47"/>
      <c r="V32" s="88">
        <f t="shared" si="8"/>
        <v>18726674.022424724</v>
      </c>
      <c r="W32" s="81">
        <f>P32*(1+ANÁLISES!$B$3)</f>
        <v>5433565.0703523848</v>
      </c>
      <c r="X32" s="89">
        <f t="shared" si="10"/>
        <v>13293108.952072339</v>
      </c>
      <c r="Z32" s="88">
        <f t="shared" si="11"/>
        <v>24726674.02242472</v>
      </c>
      <c r="AA32" s="81">
        <f t="shared" si="12"/>
        <v>5433565.0703523848</v>
      </c>
      <c r="AB32" s="89">
        <f t="shared" si="13"/>
        <v>19293108.952072337</v>
      </c>
      <c r="AD32" s="88">
        <f t="shared" si="18"/>
        <v>19293108.952072337</v>
      </c>
      <c r="AE32" s="89">
        <f t="shared" si="26"/>
        <v>283777098.97767001</v>
      </c>
    </row>
    <row r="33" spans="1:31" ht="13.5" customHeight="1" x14ac:dyDescent="0.2">
      <c r="A33" s="90">
        <v>27</v>
      </c>
      <c r="B33" s="91">
        <f>DADOS!$D$15</f>
        <v>50</v>
      </c>
      <c r="C33" s="92">
        <v>0</v>
      </c>
      <c r="D33" s="92">
        <v>0</v>
      </c>
      <c r="E33" s="93">
        <f t="shared" si="15"/>
        <v>50</v>
      </c>
      <c r="F33" s="81">
        <f t="shared" ref="F33:H33" si="51">B33*$G$2</f>
        <v>30000000</v>
      </c>
      <c r="G33" s="81">
        <f t="shared" si="51"/>
        <v>0</v>
      </c>
      <c r="H33" s="81">
        <f t="shared" si="51"/>
        <v>0</v>
      </c>
      <c r="I33" s="81">
        <f t="shared" si="17"/>
        <v>30000000</v>
      </c>
      <c r="J33" s="94">
        <v>1</v>
      </c>
      <c r="K33" s="81">
        <f t="shared" si="20"/>
        <v>0</v>
      </c>
      <c r="L33" s="95">
        <v>0.6</v>
      </c>
      <c r="M33" s="81">
        <f t="shared" si="21"/>
        <v>5502359.1167999981</v>
      </c>
      <c r="N33" s="95">
        <v>0</v>
      </c>
      <c r="O33" s="81">
        <f t="shared" si="22"/>
        <v>0</v>
      </c>
      <c r="P33" s="89">
        <f t="shared" si="3"/>
        <v>5502359.1167999981</v>
      </c>
      <c r="Q33" s="96">
        <f t="shared" si="23"/>
        <v>480000000</v>
      </c>
      <c r="R33" s="81">
        <f t="shared" si="24"/>
        <v>76083215.644799992</v>
      </c>
      <c r="S33" s="97">
        <f t="shared" si="6"/>
        <v>24497640.883200001</v>
      </c>
      <c r="T33" s="89">
        <f t="shared" si="25"/>
        <v>403916784.35520005</v>
      </c>
      <c r="U33" s="47"/>
      <c r="V33" s="88">
        <f t="shared" si="8"/>
        <v>18726674.022424724</v>
      </c>
      <c r="W33" s="81">
        <f>P33*(1+ANÁLISES!$B$3)</f>
        <v>6791956.3379404768</v>
      </c>
      <c r="X33" s="89">
        <f t="shared" si="10"/>
        <v>11934717.684484247</v>
      </c>
      <c r="Z33" s="88">
        <f t="shared" si="11"/>
        <v>24726674.02242472</v>
      </c>
      <c r="AA33" s="81">
        <f t="shared" si="12"/>
        <v>6791956.3379404768</v>
      </c>
      <c r="AB33" s="89">
        <f t="shared" si="13"/>
        <v>17934717.684484243</v>
      </c>
      <c r="AD33" s="88">
        <f t="shared" si="18"/>
        <v>17934717.684484243</v>
      </c>
      <c r="AE33" s="89">
        <f t="shared" si="26"/>
        <v>301711816.66215426</v>
      </c>
    </row>
    <row r="34" spans="1:31" ht="13.5" customHeight="1" x14ac:dyDescent="0.2">
      <c r="A34" s="90">
        <v>28</v>
      </c>
      <c r="B34" s="91">
        <f>DADOS!$D$15</f>
        <v>50</v>
      </c>
      <c r="C34" s="92">
        <v>0</v>
      </c>
      <c r="D34" s="92">
        <v>0</v>
      </c>
      <c r="E34" s="93">
        <f t="shared" si="15"/>
        <v>50</v>
      </c>
      <c r="F34" s="81">
        <f t="shared" ref="F34:H34" si="52">B34*$G$2</f>
        <v>30000000</v>
      </c>
      <c r="G34" s="81">
        <f t="shared" si="52"/>
        <v>0</v>
      </c>
      <c r="H34" s="81">
        <f t="shared" si="52"/>
        <v>0</v>
      </c>
      <c r="I34" s="81">
        <f t="shared" si="17"/>
        <v>30000000</v>
      </c>
      <c r="J34" s="94">
        <v>1</v>
      </c>
      <c r="K34" s="81">
        <f t="shared" si="20"/>
        <v>0</v>
      </c>
      <c r="L34" s="95">
        <v>0.75</v>
      </c>
      <c r="M34" s="81">
        <f t="shared" si="21"/>
        <v>8253538.6752000013</v>
      </c>
      <c r="N34" s="95">
        <v>0</v>
      </c>
      <c r="O34" s="81">
        <f t="shared" si="22"/>
        <v>0</v>
      </c>
      <c r="P34" s="89">
        <f t="shared" si="3"/>
        <v>8253538.6752000013</v>
      </c>
      <c r="Q34" s="96">
        <f t="shared" si="23"/>
        <v>510000000</v>
      </c>
      <c r="R34" s="81">
        <f t="shared" si="24"/>
        <v>84336754.319999993</v>
      </c>
      <c r="S34" s="97">
        <f t="shared" si="6"/>
        <v>21746461.3248</v>
      </c>
      <c r="T34" s="89">
        <f t="shared" si="25"/>
        <v>425663245.68000007</v>
      </c>
      <c r="U34" s="47"/>
      <c r="V34" s="88">
        <f t="shared" si="8"/>
        <v>18726674.022424724</v>
      </c>
      <c r="W34" s="81">
        <f>P34*(1+ANÁLISES!$B$3)</f>
        <v>10187934.506910721</v>
      </c>
      <c r="X34" s="89">
        <f t="shared" si="10"/>
        <v>8538739.5155140031</v>
      </c>
      <c r="Z34" s="88">
        <f t="shared" si="11"/>
        <v>24726674.02242472</v>
      </c>
      <c r="AA34" s="81">
        <f t="shared" si="12"/>
        <v>10187934.506910721</v>
      </c>
      <c r="AB34" s="89">
        <f t="shared" si="13"/>
        <v>14538739.515513999</v>
      </c>
      <c r="AD34" s="88">
        <f t="shared" si="18"/>
        <v>14538739.515513999</v>
      </c>
      <c r="AE34" s="89">
        <f t="shared" si="26"/>
        <v>316250556.17766827</v>
      </c>
    </row>
    <row r="35" spans="1:31" ht="13.5" customHeight="1" x14ac:dyDescent="0.2">
      <c r="A35" s="90">
        <v>29</v>
      </c>
      <c r="B35" s="91">
        <f>DADOS!$D$15</f>
        <v>50</v>
      </c>
      <c r="C35" s="92">
        <v>0</v>
      </c>
      <c r="D35" s="92">
        <v>0</v>
      </c>
      <c r="E35" s="93">
        <f t="shared" si="15"/>
        <v>50</v>
      </c>
      <c r="F35" s="81">
        <f t="shared" ref="F35:H35" si="53">B35*$G$2</f>
        <v>30000000</v>
      </c>
      <c r="G35" s="81">
        <f t="shared" si="53"/>
        <v>0</v>
      </c>
      <c r="H35" s="81">
        <f t="shared" si="53"/>
        <v>0</v>
      </c>
      <c r="I35" s="81">
        <f t="shared" si="17"/>
        <v>30000000</v>
      </c>
      <c r="J35" s="94">
        <v>1</v>
      </c>
      <c r="K35" s="81">
        <f t="shared" si="20"/>
        <v>0</v>
      </c>
      <c r="L35" s="95">
        <v>0.85</v>
      </c>
      <c r="M35" s="81">
        <f t="shared" si="21"/>
        <v>5502359.1167999981</v>
      </c>
      <c r="N35" s="95">
        <v>0</v>
      </c>
      <c r="O35" s="81">
        <f t="shared" si="22"/>
        <v>0</v>
      </c>
      <c r="P35" s="89">
        <f t="shared" si="3"/>
        <v>5502359.1167999981</v>
      </c>
      <c r="Q35" s="96">
        <f t="shared" si="23"/>
        <v>540000000</v>
      </c>
      <c r="R35" s="81">
        <f t="shared" si="24"/>
        <v>89839113.436799988</v>
      </c>
      <c r="S35" s="97">
        <f t="shared" si="6"/>
        <v>24497640.883200001</v>
      </c>
      <c r="T35" s="89">
        <f t="shared" si="25"/>
        <v>450160886.56320006</v>
      </c>
      <c r="U35" s="47"/>
      <c r="V35" s="88">
        <f t="shared" si="8"/>
        <v>18726674.022424724</v>
      </c>
      <c r="W35" s="81">
        <f>P35*(1+ANÁLISES!$B$3)</f>
        <v>6791956.3379404768</v>
      </c>
      <c r="X35" s="89">
        <f t="shared" si="10"/>
        <v>11934717.684484247</v>
      </c>
      <c r="Z35" s="88">
        <f t="shared" si="11"/>
        <v>24726674.02242472</v>
      </c>
      <c r="AA35" s="81">
        <f t="shared" si="12"/>
        <v>6791956.3379404768</v>
      </c>
      <c r="AB35" s="89">
        <f t="shared" si="13"/>
        <v>17934717.684484243</v>
      </c>
      <c r="AD35" s="88">
        <f t="shared" si="18"/>
        <v>17934717.684484243</v>
      </c>
      <c r="AE35" s="89">
        <f t="shared" si="26"/>
        <v>334185273.86215252</v>
      </c>
    </row>
    <row r="36" spans="1:31" ht="13.5" customHeight="1" x14ac:dyDescent="0.2">
      <c r="A36" s="90">
        <v>30</v>
      </c>
      <c r="B36" s="91">
        <f>DADOS!$D$15</f>
        <v>50</v>
      </c>
      <c r="C36" s="92">
        <v>0</v>
      </c>
      <c r="D36" s="92">
        <v>0</v>
      </c>
      <c r="E36" s="93">
        <f t="shared" si="15"/>
        <v>50</v>
      </c>
      <c r="F36" s="81">
        <f t="shared" ref="F36:H36" si="54">B36*$G$2</f>
        <v>30000000</v>
      </c>
      <c r="G36" s="81">
        <f t="shared" si="54"/>
        <v>0</v>
      </c>
      <c r="H36" s="81">
        <f t="shared" si="54"/>
        <v>0</v>
      </c>
      <c r="I36" s="81">
        <f t="shared" si="17"/>
        <v>30000000</v>
      </c>
      <c r="J36" s="94">
        <v>1</v>
      </c>
      <c r="K36" s="81">
        <f t="shared" si="20"/>
        <v>0</v>
      </c>
      <c r="L36" s="95">
        <v>0.9</v>
      </c>
      <c r="M36" s="81">
        <f t="shared" si="21"/>
        <v>2751179.5584000023</v>
      </c>
      <c r="N36" s="95">
        <v>0</v>
      </c>
      <c r="O36" s="81">
        <f t="shared" si="22"/>
        <v>0</v>
      </c>
      <c r="P36" s="89">
        <f t="shared" si="3"/>
        <v>2751179.5584000023</v>
      </c>
      <c r="Q36" s="96">
        <f t="shared" si="23"/>
        <v>570000000</v>
      </c>
      <c r="R36" s="81">
        <f t="shared" si="24"/>
        <v>92590292.995199993</v>
      </c>
      <c r="S36" s="97">
        <f t="shared" si="6"/>
        <v>27248820.441599999</v>
      </c>
      <c r="T36" s="89">
        <f t="shared" si="25"/>
        <v>477409707.00480008</v>
      </c>
      <c r="U36" s="47"/>
      <c r="V36" s="88">
        <f t="shared" si="8"/>
        <v>18726674.022424724</v>
      </c>
      <c r="W36" s="81">
        <f>P36*(1+ANÁLISES!$B$3)</f>
        <v>3395978.1689702426</v>
      </c>
      <c r="X36" s="89">
        <f>V36-W36</f>
        <v>15330695.853454482</v>
      </c>
      <c r="Z36" s="88">
        <f t="shared" si="11"/>
        <v>24726674.02242472</v>
      </c>
      <c r="AA36" s="81">
        <f t="shared" si="12"/>
        <v>3395978.1689702426</v>
      </c>
      <c r="AB36" s="89">
        <f t="shared" si="13"/>
        <v>21330695.853454478</v>
      </c>
      <c r="AD36" s="88">
        <f t="shared" si="18"/>
        <v>21330695.853454478</v>
      </c>
      <c r="AE36" s="89">
        <f t="shared" si="26"/>
        <v>355515969.71560699</v>
      </c>
    </row>
    <row r="37" spans="1:31" ht="13.5" customHeight="1" x14ac:dyDescent="0.2">
      <c r="A37" s="90">
        <v>31</v>
      </c>
      <c r="B37" s="91">
        <f>DADOS!$D$15</f>
        <v>50</v>
      </c>
      <c r="C37" s="92">
        <v>0</v>
      </c>
      <c r="D37" s="92">
        <v>0</v>
      </c>
      <c r="E37" s="93">
        <f t="shared" si="15"/>
        <v>50</v>
      </c>
      <c r="F37" s="81">
        <f t="shared" ref="F37:H37" si="55">B37*$G$2</f>
        <v>30000000</v>
      </c>
      <c r="G37" s="81">
        <f t="shared" si="55"/>
        <v>0</v>
      </c>
      <c r="H37" s="81">
        <f t="shared" si="55"/>
        <v>0</v>
      </c>
      <c r="I37" s="81">
        <f t="shared" si="17"/>
        <v>30000000</v>
      </c>
      <c r="J37" s="94">
        <v>1</v>
      </c>
      <c r="K37" s="81">
        <f t="shared" si="20"/>
        <v>0</v>
      </c>
      <c r="L37" s="95">
        <v>0.95</v>
      </c>
      <c r="M37" s="81">
        <f t="shared" si="21"/>
        <v>2751179.5583999963</v>
      </c>
      <c r="N37" s="95">
        <v>0</v>
      </c>
      <c r="O37" s="81">
        <f t="shared" si="22"/>
        <v>0</v>
      </c>
      <c r="P37" s="89">
        <f t="shared" si="3"/>
        <v>2751179.5583999963</v>
      </c>
      <c r="Q37" s="96">
        <f t="shared" si="23"/>
        <v>600000000</v>
      </c>
      <c r="R37" s="81">
        <f t="shared" si="24"/>
        <v>95341472.553599983</v>
      </c>
      <c r="S37" s="97">
        <f t="shared" si="6"/>
        <v>27248820.441600002</v>
      </c>
      <c r="T37" s="89">
        <f t="shared" si="25"/>
        <v>504658527.44640011</v>
      </c>
      <c r="U37" s="47"/>
      <c r="V37" s="88">
        <f t="shared" si="8"/>
        <v>18726674.022424724</v>
      </c>
      <c r="W37" s="81">
        <f>P37*(1+ANÁLISES!$B$3)</f>
        <v>3395978.1689702352</v>
      </c>
      <c r="X37" s="89">
        <f t="shared" si="10"/>
        <v>15330695.853454489</v>
      </c>
      <c r="Z37" s="88">
        <f t="shared" si="11"/>
        <v>24726674.02242472</v>
      </c>
      <c r="AA37" s="81">
        <f t="shared" si="12"/>
        <v>3395978.1689702352</v>
      </c>
      <c r="AB37" s="89">
        <f t="shared" si="13"/>
        <v>21330695.853454486</v>
      </c>
      <c r="AD37" s="88">
        <f t="shared" si="18"/>
        <v>21330695.853454486</v>
      </c>
      <c r="AE37" s="89">
        <f t="shared" si="26"/>
        <v>376846665.56906146</v>
      </c>
    </row>
    <row r="38" spans="1:31" ht="13.5" customHeight="1" x14ac:dyDescent="0.2">
      <c r="A38" s="90">
        <v>32</v>
      </c>
      <c r="B38" s="91">
        <v>50</v>
      </c>
      <c r="C38" s="92">
        <v>0</v>
      </c>
      <c r="D38" s="92">
        <v>0</v>
      </c>
      <c r="E38" s="93">
        <f t="shared" si="15"/>
        <v>50</v>
      </c>
      <c r="F38" s="81">
        <f t="shared" ref="F38:H38" si="56">B38*$G$2</f>
        <v>30000000</v>
      </c>
      <c r="G38" s="81">
        <f t="shared" si="56"/>
        <v>0</v>
      </c>
      <c r="H38" s="81">
        <f t="shared" si="56"/>
        <v>0</v>
      </c>
      <c r="I38" s="81">
        <f t="shared" si="17"/>
        <v>30000000</v>
      </c>
      <c r="J38" s="94">
        <v>1</v>
      </c>
      <c r="K38" s="81">
        <f t="shared" si="20"/>
        <v>0</v>
      </c>
      <c r="L38" s="95">
        <v>1</v>
      </c>
      <c r="M38" s="81">
        <f t="shared" si="21"/>
        <v>2751179.5584000023</v>
      </c>
      <c r="N38" s="95">
        <v>0</v>
      </c>
      <c r="O38" s="81">
        <f t="shared" si="22"/>
        <v>0</v>
      </c>
      <c r="P38" s="89">
        <f t="shared" si="3"/>
        <v>2751179.5584000023</v>
      </c>
      <c r="Q38" s="96">
        <f t="shared" si="23"/>
        <v>630000000</v>
      </c>
      <c r="R38" s="81">
        <f t="shared" si="24"/>
        <v>98092652.111999989</v>
      </c>
      <c r="S38" s="97">
        <f t="shared" si="6"/>
        <v>27248820.441599999</v>
      </c>
      <c r="T38" s="89">
        <f t="shared" si="25"/>
        <v>531907347.88800013</v>
      </c>
      <c r="U38" s="47"/>
      <c r="V38" s="88">
        <f t="shared" si="8"/>
        <v>18726674.022424724</v>
      </c>
      <c r="W38" s="81">
        <f>P38*(1+ANÁLISES!$B$3)</f>
        <v>3395978.1689702426</v>
      </c>
      <c r="X38" s="89">
        <f t="shared" si="10"/>
        <v>15330695.853454482</v>
      </c>
      <c r="Z38" s="88">
        <f t="shared" si="11"/>
        <v>24726674.02242472</v>
      </c>
      <c r="AA38" s="81">
        <f t="shared" si="12"/>
        <v>3395978.1689702426</v>
      </c>
      <c r="AB38" s="89">
        <f t="shared" si="13"/>
        <v>21330695.853454478</v>
      </c>
      <c r="AD38" s="88">
        <f t="shared" si="18"/>
        <v>21330695.853454478</v>
      </c>
      <c r="AE38" s="89">
        <f t="shared" si="26"/>
        <v>398177361.42251593</v>
      </c>
    </row>
    <row r="39" spans="1:31" ht="13.5" customHeight="1" x14ac:dyDescent="0.2">
      <c r="A39" s="90">
        <v>33</v>
      </c>
      <c r="B39" s="91">
        <v>2</v>
      </c>
      <c r="C39" s="92">
        <v>48</v>
      </c>
      <c r="D39" s="92">
        <v>0</v>
      </c>
      <c r="E39" s="93">
        <f t="shared" si="15"/>
        <v>50</v>
      </c>
      <c r="F39" s="81">
        <f t="shared" ref="F39:H39" si="57">B39*$G$2</f>
        <v>1200000</v>
      </c>
      <c r="G39" s="81">
        <f t="shared" si="57"/>
        <v>28800000</v>
      </c>
      <c r="H39" s="81">
        <f t="shared" si="57"/>
        <v>0</v>
      </c>
      <c r="I39" s="81">
        <f t="shared" si="17"/>
        <v>30000000</v>
      </c>
      <c r="J39" s="94">
        <v>1</v>
      </c>
      <c r="K39" s="81">
        <f t="shared" si="20"/>
        <v>0</v>
      </c>
      <c r="L39" s="95">
        <v>1</v>
      </c>
      <c r="M39" s="81">
        <f t="shared" si="21"/>
        <v>0</v>
      </c>
      <c r="N39" s="95">
        <v>0.01</v>
      </c>
      <c r="O39" s="81">
        <f t="shared" si="22"/>
        <v>697620.53087999998</v>
      </c>
      <c r="P39" s="89">
        <f t="shared" si="3"/>
        <v>697620.53087999998</v>
      </c>
      <c r="Q39" s="96">
        <f t="shared" si="23"/>
        <v>660000000</v>
      </c>
      <c r="R39" s="81">
        <f t="shared" si="24"/>
        <v>98790272.642879993</v>
      </c>
      <c r="S39" s="97">
        <f t="shared" si="6"/>
        <v>29302379.46912</v>
      </c>
      <c r="T39" s="89">
        <f t="shared" si="25"/>
        <v>561209727.35712016</v>
      </c>
      <c r="U39" s="47"/>
      <c r="V39" s="88">
        <f t="shared" si="8"/>
        <v>18726674.022424724</v>
      </c>
      <c r="W39" s="81">
        <f>P39*(1+ANÁLISES!$B$3)</f>
        <v>861123.0357031679</v>
      </c>
      <c r="X39" s="89">
        <f t="shared" si="10"/>
        <v>17865550.986721557</v>
      </c>
      <c r="Z39" s="88">
        <f t="shared" si="11"/>
        <v>24726674.02242472</v>
      </c>
      <c r="AA39" s="81">
        <f t="shared" si="12"/>
        <v>861123.0357031679</v>
      </c>
      <c r="AB39" s="89">
        <f t="shared" si="13"/>
        <v>23865550.986721553</v>
      </c>
      <c r="AD39" s="88">
        <f t="shared" si="18"/>
        <v>23865550.986721553</v>
      </c>
      <c r="AE39" s="89">
        <f t="shared" si="26"/>
        <v>422042912.4092375</v>
      </c>
    </row>
    <row r="40" spans="1:31" ht="13.5" customHeight="1" x14ac:dyDescent="0.2">
      <c r="A40" s="90">
        <v>34</v>
      </c>
      <c r="B40" s="91">
        <v>0</v>
      </c>
      <c r="C40" s="92">
        <f>DADOS!$D$16</f>
        <v>50</v>
      </c>
      <c r="D40" s="92">
        <v>0</v>
      </c>
      <c r="E40" s="93">
        <f t="shared" si="15"/>
        <v>50</v>
      </c>
      <c r="F40" s="81">
        <f t="shared" ref="F40:H40" si="58">B40*$G$2</f>
        <v>0</v>
      </c>
      <c r="G40" s="81">
        <f t="shared" si="58"/>
        <v>30000000</v>
      </c>
      <c r="H40" s="81">
        <f t="shared" si="58"/>
        <v>0</v>
      </c>
      <c r="I40" s="81">
        <f t="shared" si="17"/>
        <v>30000000</v>
      </c>
      <c r="J40" s="94">
        <v>1</v>
      </c>
      <c r="K40" s="81">
        <f t="shared" si="20"/>
        <v>0</v>
      </c>
      <c r="L40" s="95">
        <v>1</v>
      </c>
      <c r="M40" s="81">
        <f t="shared" si="21"/>
        <v>0</v>
      </c>
      <c r="N40" s="95">
        <v>0.02</v>
      </c>
      <c r="O40" s="81">
        <f t="shared" si="22"/>
        <v>697620.53087999998</v>
      </c>
      <c r="P40" s="89">
        <f t="shared" si="3"/>
        <v>697620.53087999998</v>
      </c>
      <c r="Q40" s="96">
        <f t="shared" si="23"/>
        <v>690000000</v>
      </c>
      <c r="R40" s="81">
        <f t="shared" si="24"/>
        <v>99487893.173759997</v>
      </c>
      <c r="S40" s="97">
        <f t="shared" si="6"/>
        <v>29302379.46912</v>
      </c>
      <c r="T40" s="89">
        <f t="shared" si="25"/>
        <v>590512106.82624018</v>
      </c>
      <c r="U40" s="47"/>
      <c r="V40" s="88">
        <f t="shared" si="8"/>
        <v>18726674.022424724</v>
      </c>
      <c r="W40" s="81">
        <f>P40*(1+ANÁLISES!$B$3)</f>
        <v>861123.0357031679</v>
      </c>
      <c r="X40" s="89">
        <f t="shared" si="10"/>
        <v>17865550.986721557</v>
      </c>
      <c r="Z40" s="88">
        <f t="shared" si="11"/>
        <v>24726674.02242472</v>
      </c>
      <c r="AA40" s="81">
        <f t="shared" si="12"/>
        <v>861123.0357031679</v>
      </c>
      <c r="AB40" s="89">
        <f t="shared" si="13"/>
        <v>23865550.986721553</v>
      </c>
      <c r="AD40" s="88">
        <f t="shared" si="18"/>
        <v>23865550.986721553</v>
      </c>
      <c r="AE40" s="89">
        <f t="shared" si="26"/>
        <v>445908463.39595908</v>
      </c>
    </row>
    <row r="41" spans="1:31" ht="13.5" customHeight="1" x14ac:dyDescent="0.2">
      <c r="A41" s="90">
        <v>35</v>
      </c>
      <c r="B41" s="91">
        <v>0</v>
      </c>
      <c r="C41" s="92">
        <f>DADOS!$D$16</f>
        <v>50</v>
      </c>
      <c r="D41" s="92">
        <v>0</v>
      </c>
      <c r="E41" s="93">
        <f t="shared" si="15"/>
        <v>50</v>
      </c>
      <c r="F41" s="81">
        <f t="shared" ref="F41:H41" si="59">B41*$G$2</f>
        <v>0</v>
      </c>
      <c r="G41" s="81">
        <f t="shared" si="59"/>
        <v>30000000</v>
      </c>
      <c r="H41" s="81">
        <f t="shared" si="59"/>
        <v>0</v>
      </c>
      <c r="I41" s="81">
        <f t="shared" si="17"/>
        <v>30000000</v>
      </c>
      <c r="J41" s="94">
        <v>1</v>
      </c>
      <c r="K41" s="81">
        <f t="shared" si="20"/>
        <v>0</v>
      </c>
      <c r="L41" s="95">
        <v>1</v>
      </c>
      <c r="M41" s="81">
        <f t="shared" si="21"/>
        <v>0</v>
      </c>
      <c r="N41" s="95">
        <v>0.04</v>
      </c>
      <c r="O41" s="81">
        <f t="shared" si="22"/>
        <v>1395241.06176</v>
      </c>
      <c r="P41" s="89">
        <f t="shared" si="3"/>
        <v>1395241.06176</v>
      </c>
      <c r="Q41" s="96">
        <f t="shared" si="23"/>
        <v>720000000</v>
      </c>
      <c r="R41" s="81">
        <f t="shared" si="24"/>
        <v>100883134.23551999</v>
      </c>
      <c r="S41" s="97">
        <f t="shared" si="6"/>
        <v>28604758.938239999</v>
      </c>
      <c r="T41" s="89">
        <f t="shared" si="25"/>
        <v>619116865.76448023</v>
      </c>
      <c r="U41" s="47"/>
      <c r="V41" s="88">
        <f t="shared" si="8"/>
        <v>18726674.022424724</v>
      </c>
      <c r="W41" s="81">
        <f>P41*(1+ANÁLISES!$B$3)</f>
        <v>1722246.0714063358</v>
      </c>
      <c r="X41" s="89">
        <f t="shared" si="10"/>
        <v>17004427.951018389</v>
      </c>
      <c r="Z41" s="88">
        <f t="shared" si="11"/>
        <v>24726674.02242472</v>
      </c>
      <c r="AA41" s="81">
        <f t="shared" si="12"/>
        <v>1722246.0714063358</v>
      </c>
      <c r="AB41" s="89">
        <f t="shared" si="13"/>
        <v>23004427.951018386</v>
      </c>
      <c r="AD41" s="88">
        <f t="shared" si="18"/>
        <v>23004427.951018386</v>
      </c>
      <c r="AE41" s="89">
        <f t="shared" si="26"/>
        <v>468912891.34697747</v>
      </c>
    </row>
    <row r="42" spans="1:31" ht="13.5" customHeight="1" x14ac:dyDescent="0.2">
      <c r="A42" s="90">
        <v>36</v>
      </c>
      <c r="B42" s="91">
        <v>0</v>
      </c>
      <c r="C42" s="92">
        <f>DADOS!$D$16</f>
        <v>50</v>
      </c>
      <c r="D42" s="92">
        <v>0</v>
      </c>
      <c r="E42" s="93">
        <f t="shared" si="15"/>
        <v>50</v>
      </c>
      <c r="F42" s="81">
        <f t="shared" ref="F42:H42" si="60">B42*$G$2</f>
        <v>0</v>
      </c>
      <c r="G42" s="81">
        <f t="shared" si="60"/>
        <v>30000000</v>
      </c>
      <c r="H42" s="81">
        <f t="shared" si="60"/>
        <v>0</v>
      </c>
      <c r="I42" s="81">
        <f t="shared" si="17"/>
        <v>30000000</v>
      </c>
      <c r="J42" s="94">
        <v>1</v>
      </c>
      <c r="K42" s="81">
        <f t="shared" si="20"/>
        <v>0</v>
      </c>
      <c r="L42" s="95">
        <v>1</v>
      </c>
      <c r="M42" s="81">
        <f t="shared" si="21"/>
        <v>0</v>
      </c>
      <c r="N42" s="95">
        <v>0.06</v>
      </c>
      <c r="O42" s="81">
        <f t="shared" si="22"/>
        <v>1395241.0617599997</v>
      </c>
      <c r="P42" s="89">
        <f t="shared" si="3"/>
        <v>1395241.0617599997</v>
      </c>
      <c r="Q42" s="96">
        <f t="shared" si="23"/>
        <v>750000000</v>
      </c>
      <c r="R42" s="81">
        <f t="shared" si="24"/>
        <v>102278375.29727998</v>
      </c>
      <c r="S42" s="97">
        <f t="shared" si="6"/>
        <v>28604758.938239999</v>
      </c>
      <c r="T42" s="89">
        <f t="shared" si="25"/>
        <v>647721624.70272028</v>
      </c>
      <c r="U42" s="47"/>
      <c r="V42" s="88">
        <f t="shared" si="8"/>
        <v>18726674.022424724</v>
      </c>
      <c r="W42" s="81">
        <f>P42*(1+ANÁLISES!$B$3)</f>
        <v>1722246.0714063356</v>
      </c>
      <c r="X42" s="89">
        <f t="shared" si="10"/>
        <v>17004427.951018389</v>
      </c>
      <c r="Z42" s="88">
        <f t="shared" si="11"/>
        <v>24726674.02242472</v>
      </c>
      <c r="AA42" s="81">
        <f t="shared" si="12"/>
        <v>1722246.0714063356</v>
      </c>
      <c r="AB42" s="89">
        <f t="shared" si="13"/>
        <v>23004427.951018386</v>
      </c>
      <c r="AD42" s="88">
        <f t="shared" si="18"/>
        <v>23004427.951018386</v>
      </c>
      <c r="AE42" s="89">
        <f t="shared" si="26"/>
        <v>491917319.29799587</v>
      </c>
    </row>
    <row r="43" spans="1:31" ht="13.5" customHeight="1" x14ac:dyDescent="0.2">
      <c r="A43" s="90">
        <v>37</v>
      </c>
      <c r="B43" s="91">
        <v>0</v>
      </c>
      <c r="C43" s="92">
        <f>DADOS!$D$16</f>
        <v>50</v>
      </c>
      <c r="D43" s="92">
        <v>0</v>
      </c>
      <c r="E43" s="93">
        <f t="shared" si="15"/>
        <v>50</v>
      </c>
      <c r="F43" s="81">
        <f t="shared" ref="F43:H43" si="61">B43*$G$2</f>
        <v>0</v>
      </c>
      <c r="G43" s="81">
        <f t="shared" si="61"/>
        <v>30000000</v>
      </c>
      <c r="H43" s="81">
        <f t="shared" si="61"/>
        <v>0</v>
      </c>
      <c r="I43" s="81">
        <f t="shared" si="17"/>
        <v>30000000</v>
      </c>
      <c r="J43" s="94">
        <v>1</v>
      </c>
      <c r="K43" s="81">
        <f t="shared" si="20"/>
        <v>0</v>
      </c>
      <c r="L43" s="95">
        <v>1</v>
      </c>
      <c r="M43" s="81">
        <f t="shared" si="21"/>
        <v>0</v>
      </c>
      <c r="N43" s="95">
        <v>0.08</v>
      </c>
      <c r="O43" s="81">
        <f t="shared" si="22"/>
        <v>1395241.0617600002</v>
      </c>
      <c r="P43" s="89">
        <f t="shared" si="3"/>
        <v>1395241.0617600002</v>
      </c>
      <c r="Q43" s="96">
        <f t="shared" si="23"/>
        <v>780000000</v>
      </c>
      <c r="R43" s="81">
        <f t="shared" si="24"/>
        <v>103673616.35903998</v>
      </c>
      <c r="S43" s="97">
        <f t="shared" si="6"/>
        <v>28604758.938239999</v>
      </c>
      <c r="T43" s="89">
        <f t="shared" si="25"/>
        <v>676326383.64096034</v>
      </c>
      <c r="U43" s="47"/>
      <c r="V43" s="88">
        <f t="shared" si="8"/>
        <v>18726674.022424724</v>
      </c>
      <c r="W43" s="81">
        <f>P43*(1+ANÁLISES!$B$3)</f>
        <v>1722246.071406336</v>
      </c>
      <c r="X43" s="89">
        <f t="shared" si="10"/>
        <v>17004427.951018389</v>
      </c>
      <c r="Z43" s="88">
        <f t="shared" si="11"/>
        <v>24726674.02242472</v>
      </c>
      <c r="AA43" s="81">
        <f t="shared" si="12"/>
        <v>1722246.071406336</v>
      </c>
      <c r="AB43" s="89">
        <f t="shared" si="13"/>
        <v>23004427.951018386</v>
      </c>
      <c r="AD43" s="88">
        <f t="shared" si="18"/>
        <v>23004427.951018386</v>
      </c>
      <c r="AE43" s="89">
        <f t="shared" si="26"/>
        <v>514921747.24901426</v>
      </c>
    </row>
    <row r="44" spans="1:31" ht="13.5" customHeight="1" x14ac:dyDescent="0.2">
      <c r="A44" s="90">
        <v>38</v>
      </c>
      <c r="B44" s="91">
        <v>0</v>
      </c>
      <c r="C44" s="92">
        <f>DADOS!$D$16</f>
        <v>50</v>
      </c>
      <c r="D44" s="92">
        <v>0</v>
      </c>
      <c r="E44" s="93">
        <f t="shared" si="15"/>
        <v>50</v>
      </c>
      <c r="F44" s="81">
        <f t="shared" ref="F44:H44" si="62">B44*$G$2</f>
        <v>0</v>
      </c>
      <c r="G44" s="81">
        <f t="shared" si="62"/>
        <v>30000000</v>
      </c>
      <c r="H44" s="81">
        <f t="shared" si="62"/>
        <v>0</v>
      </c>
      <c r="I44" s="81">
        <f t="shared" si="17"/>
        <v>30000000</v>
      </c>
      <c r="J44" s="94">
        <v>1</v>
      </c>
      <c r="K44" s="81">
        <f t="shared" si="20"/>
        <v>0</v>
      </c>
      <c r="L44" s="95">
        <v>1</v>
      </c>
      <c r="M44" s="81">
        <f t="shared" si="21"/>
        <v>0</v>
      </c>
      <c r="N44" s="95">
        <v>0.12</v>
      </c>
      <c r="O44" s="81">
        <f t="shared" si="22"/>
        <v>2790482.1235199994</v>
      </c>
      <c r="P44" s="89">
        <f t="shared" si="3"/>
        <v>2790482.1235199994</v>
      </c>
      <c r="Q44" s="96">
        <f t="shared" si="23"/>
        <v>810000000</v>
      </c>
      <c r="R44" s="81">
        <f t="shared" si="24"/>
        <v>106464098.48255998</v>
      </c>
      <c r="S44" s="97">
        <f t="shared" si="6"/>
        <v>27209517.876480002</v>
      </c>
      <c r="T44" s="89">
        <f t="shared" si="25"/>
        <v>703535901.51744032</v>
      </c>
      <c r="U44" s="47"/>
      <c r="V44" s="88">
        <f t="shared" si="8"/>
        <v>18726674.022424724</v>
      </c>
      <c r="W44" s="81">
        <f>P44*(1+ANÁLISES!$B$3)</f>
        <v>3444492.1428126711</v>
      </c>
      <c r="X44" s="89">
        <f t="shared" si="10"/>
        <v>15282181.879612053</v>
      </c>
      <c r="Z44" s="88">
        <f t="shared" si="11"/>
        <v>24726674.02242472</v>
      </c>
      <c r="AA44" s="81">
        <f t="shared" si="12"/>
        <v>3444492.1428126711</v>
      </c>
      <c r="AB44" s="89">
        <f t="shared" si="13"/>
        <v>21282181.879612051</v>
      </c>
      <c r="AD44" s="88">
        <f t="shared" si="18"/>
        <v>21282181.879612051</v>
      </c>
      <c r="AE44" s="89">
        <f t="shared" si="26"/>
        <v>536203929.12862629</v>
      </c>
    </row>
    <row r="45" spans="1:31" ht="13.5" customHeight="1" x14ac:dyDescent="0.2">
      <c r="A45" s="90">
        <v>39</v>
      </c>
      <c r="B45" s="91">
        <v>0</v>
      </c>
      <c r="C45" s="92">
        <f>DADOS!$D$16</f>
        <v>50</v>
      </c>
      <c r="D45" s="92">
        <v>0</v>
      </c>
      <c r="E45" s="93">
        <f t="shared" si="15"/>
        <v>50</v>
      </c>
      <c r="F45" s="81">
        <f t="shared" ref="F45:H45" si="63">B45*$G$2</f>
        <v>0</v>
      </c>
      <c r="G45" s="81">
        <f t="shared" si="63"/>
        <v>30000000</v>
      </c>
      <c r="H45" s="81">
        <f t="shared" si="63"/>
        <v>0</v>
      </c>
      <c r="I45" s="81">
        <f t="shared" si="17"/>
        <v>30000000</v>
      </c>
      <c r="J45" s="94">
        <v>1</v>
      </c>
      <c r="K45" s="81">
        <f t="shared" si="20"/>
        <v>0</v>
      </c>
      <c r="L45" s="95">
        <v>1</v>
      </c>
      <c r="M45" s="81">
        <f t="shared" si="21"/>
        <v>0</v>
      </c>
      <c r="N45" s="95">
        <v>0.16</v>
      </c>
      <c r="O45" s="81">
        <f t="shared" si="22"/>
        <v>2790482.1235200004</v>
      </c>
      <c r="P45" s="89">
        <f t="shared" si="3"/>
        <v>2790482.1235200004</v>
      </c>
      <c r="Q45" s="96">
        <f t="shared" si="23"/>
        <v>840000000</v>
      </c>
      <c r="R45" s="81">
        <f t="shared" si="24"/>
        <v>109254580.60607998</v>
      </c>
      <c r="S45" s="97">
        <f t="shared" si="6"/>
        <v>27209517.876479998</v>
      </c>
      <c r="T45" s="89">
        <f t="shared" si="25"/>
        <v>730745419.3939203</v>
      </c>
      <c r="U45" s="47"/>
      <c r="V45" s="88">
        <f t="shared" si="8"/>
        <v>18726674.022424724</v>
      </c>
      <c r="W45" s="81">
        <f>P45*(1+ANÁLISES!$B$3)</f>
        <v>3444492.1428126721</v>
      </c>
      <c r="X45" s="89">
        <f t="shared" si="10"/>
        <v>15282181.879612051</v>
      </c>
      <c r="Z45" s="88">
        <f t="shared" si="11"/>
        <v>24726674.02242472</v>
      </c>
      <c r="AA45" s="81">
        <f t="shared" si="12"/>
        <v>3444492.1428126721</v>
      </c>
      <c r="AB45" s="89">
        <f t="shared" si="13"/>
        <v>21282181.879612047</v>
      </c>
      <c r="AD45" s="88">
        <f t="shared" si="18"/>
        <v>21282181.879612047</v>
      </c>
      <c r="AE45" s="89">
        <f t="shared" si="26"/>
        <v>557486111.00823832</v>
      </c>
    </row>
    <row r="46" spans="1:31" ht="13.5" customHeight="1" x14ac:dyDescent="0.2">
      <c r="A46" s="90">
        <v>40</v>
      </c>
      <c r="B46" s="91">
        <v>0</v>
      </c>
      <c r="C46" s="92">
        <f>DADOS!$D$16</f>
        <v>50</v>
      </c>
      <c r="D46" s="92">
        <v>0</v>
      </c>
      <c r="E46" s="93">
        <f t="shared" si="15"/>
        <v>50</v>
      </c>
      <c r="F46" s="81">
        <f t="shared" ref="F46:H46" si="64">B46*$G$2</f>
        <v>0</v>
      </c>
      <c r="G46" s="81">
        <f t="shared" si="64"/>
        <v>30000000</v>
      </c>
      <c r="H46" s="81">
        <f t="shared" si="64"/>
        <v>0</v>
      </c>
      <c r="I46" s="81">
        <f t="shared" si="17"/>
        <v>30000000</v>
      </c>
      <c r="J46" s="94">
        <v>1</v>
      </c>
      <c r="K46" s="81">
        <f t="shared" si="20"/>
        <v>0</v>
      </c>
      <c r="L46" s="95">
        <v>1</v>
      </c>
      <c r="M46" s="81">
        <f t="shared" si="21"/>
        <v>0</v>
      </c>
      <c r="N46" s="95">
        <v>0.2</v>
      </c>
      <c r="O46" s="81">
        <f t="shared" si="22"/>
        <v>2790482.1235200004</v>
      </c>
      <c r="P46" s="89">
        <f t="shared" si="3"/>
        <v>2790482.1235200004</v>
      </c>
      <c r="Q46" s="96">
        <f t="shared" si="23"/>
        <v>870000000</v>
      </c>
      <c r="R46" s="81">
        <f t="shared" si="24"/>
        <v>112045062.72959998</v>
      </c>
      <c r="S46" s="97">
        <f t="shared" si="6"/>
        <v>27209517.876479998</v>
      </c>
      <c r="T46" s="89">
        <f t="shared" si="25"/>
        <v>757954937.27040029</v>
      </c>
      <c r="U46" s="47"/>
      <c r="V46" s="88">
        <f t="shared" si="8"/>
        <v>18726674.022424724</v>
      </c>
      <c r="W46" s="81">
        <f>P46*(1+ANÁLISES!$B$3)</f>
        <v>3444492.1428126721</v>
      </c>
      <c r="X46" s="89">
        <f t="shared" si="10"/>
        <v>15282181.879612051</v>
      </c>
      <c r="Z46" s="88">
        <f t="shared" si="11"/>
        <v>24726674.02242472</v>
      </c>
      <c r="AA46" s="81">
        <f t="shared" si="12"/>
        <v>3444492.1428126721</v>
      </c>
      <c r="AB46" s="89">
        <f t="shared" si="13"/>
        <v>21282181.879612047</v>
      </c>
      <c r="AD46" s="88">
        <f t="shared" si="18"/>
        <v>21282181.879612047</v>
      </c>
      <c r="AE46" s="89">
        <f t="shared" si="26"/>
        <v>578768292.8878504</v>
      </c>
    </row>
    <row r="47" spans="1:31" ht="13.5" customHeight="1" x14ac:dyDescent="0.2">
      <c r="A47" s="90">
        <v>41</v>
      </c>
      <c r="B47" s="91">
        <v>0</v>
      </c>
      <c r="C47" s="92">
        <f>DADOS!$D$16</f>
        <v>50</v>
      </c>
      <c r="D47" s="92">
        <v>0</v>
      </c>
      <c r="E47" s="93">
        <f t="shared" si="15"/>
        <v>50</v>
      </c>
      <c r="F47" s="81">
        <f t="shared" ref="F47:H47" si="65">B47*$G$2</f>
        <v>0</v>
      </c>
      <c r="G47" s="81">
        <f t="shared" si="65"/>
        <v>30000000</v>
      </c>
      <c r="H47" s="81">
        <f t="shared" si="65"/>
        <v>0</v>
      </c>
      <c r="I47" s="81">
        <f t="shared" si="17"/>
        <v>30000000</v>
      </c>
      <c r="J47" s="94">
        <v>1</v>
      </c>
      <c r="K47" s="81">
        <f t="shared" si="20"/>
        <v>0</v>
      </c>
      <c r="L47" s="95">
        <v>1</v>
      </c>
      <c r="M47" s="81">
        <f t="shared" si="21"/>
        <v>0</v>
      </c>
      <c r="N47" s="95">
        <v>0.24</v>
      </c>
      <c r="O47" s="81">
        <f t="shared" si="22"/>
        <v>2790482.1235199985</v>
      </c>
      <c r="P47" s="89">
        <f t="shared" si="3"/>
        <v>2790482.1235199985</v>
      </c>
      <c r="Q47" s="96">
        <f t="shared" si="23"/>
        <v>900000000</v>
      </c>
      <c r="R47" s="81">
        <f t="shared" si="24"/>
        <v>114835544.85311998</v>
      </c>
      <c r="S47" s="97">
        <f t="shared" si="6"/>
        <v>27209517.876480002</v>
      </c>
      <c r="T47" s="89">
        <f t="shared" si="25"/>
        <v>785164455.14688027</v>
      </c>
      <c r="U47" s="47"/>
      <c r="V47" s="88">
        <f t="shared" si="8"/>
        <v>18726674.022424724</v>
      </c>
      <c r="W47" s="81">
        <f>P47*(1+ANÁLISES!$B$3)</f>
        <v>3444492.1428126697</v>
      </c>
      <c r="X47" s="89">
        <f t="shared" si="10"/>
        <v>15282181.879612055</v>
      </c>
      <c r="Z47" s="88">
        <f t="shared" si="11"/>
        <v>24726674.02242472</v>
      </c>
      <c r="AA47" s="81">
        <f t="shared" si="12"/>
        <v>3444492.1428126697</v>
      </c>
      <c r="AB47" s="89">
        <f t="shared" si="13"/>
        <v>21282181.879612051</v>
      </c>
      <c r="AD47" s="88">
        <f t="shared" si="18"/>
        <v>21282181.879612051</v>
      </c>
      <c r="AE47" s="89">
        <f t="shared" si="26"/>
        <v>600050474.76746249</v>
      </c>
    </row>
    <row r="48" spans="1:31" ht="13.5" customHeight="1" x14ac:dyDescent="0.2">
      <c r="A48" s="90">
        <v>42</v>
      </c>
      <c r="B48" s="91">
        <v>0</v>
      </c>
      <c r="C48" s="92">
        <f>DADOS!$D$16</f>
        <v>50</v>
      </c>
      <c r="D48" s="92">
        <v>0</v>
      </c>
      <c r="E48" s="93">
        <f t="shared" si="15"/>
        <v>50</v>
      </c>
      <c r="F48" s="81">
        <f t="shared" ref="F48:H48" si="66">B48*$G$2</f>
        <v>0</v>
      </c>
      <c r="G48" s="81">
        <f t="shared" si="66"/>
        <v>30000000</v>
      </c>
      <c r="H48" s="81">
        <f t="shared" si="66"/>
        <v>0</v>
      </c>
      <c r="I48" s="81">
        <f t="shared" si="17"/>
        <v>30000000</v>
      </c>
      <c r="J48" s="94">
        <v>1</v>
      </c>
      <c r="K48" s="81">
        <f t="shared" si="20"/>
        <v>0</v>
      </c>
      <c r="L48" s="95">
        <v>1</v>
      </c>
      <c r="M48" s="81">
        <f t="shared" si="21"/>
        <v>0</v>
      </c>
      <c r="N48" s="95">
        <v>0.3</v>
      </c>
      <c r="O48" s="81">
        <f t="shared" si="22"/>
        <v>4185723.1852799999</v>
      </c>
      <c r="P48" s="89">
        <f t="shared" si="3"/>
        <v>4185723.1852799999</v>
      </c>
      <c r="Q48" s="96">
        <f t="shared" si="23"/>
        <v>930000000</v>
      </c>
      <c r="R48" s="81">
        <f t="shared" si="24"/>
        <v>119021268.03839998</v>
      </c>
      <c r="S48" s="97">
        <f t="shared" si="6"/>
        <v>25814276.814720001</v>
      </c>
      <c r="T48" s="89">
        <f t="shared" si="25"/>
        <v>810978731.9616003</v>
      </c>
      <c r="U48" s="47"/>
      <c r="V48" s="88">
        <f t="shared" si="8"/>
        <v>18726674.022424724</v>
      </c>
      <c r="W48" s="81">
        <f>P48*(1+ANÁLISES!$B$3)</f>
        <v>5166738.2142190076</v>
      </c>
      <c r="X48" s="89">
        <f t="shared" si="10"/>
        <v>13559935.808205716</v>
      </c>
      <c r="Z48" s="88">
        <f t="shared" si="11"/>
        <v>24726674.02242472</v>
      </c>
      <c r="AA48" s="81">
        <f t="shared" si="12"/>
        <v>5166738.2142190076</v>
      </c>
      <c r="AB48" s="89">
        <f t="shared" si="13"/>
        <v>19559935.808205713</v>
      </c>
      <c r="AD48" s="88">
        <f t="shared" si="18"/>
        <v>19559935.808205713</v>
      </c>
      <c r="AE48" s="89">
        <f t="shared" si="26"/>
        <v>619610410.57566822</v>
      </c>
    </row>
    <row r="49" spans="1:31" ht="13.5" customHeight="1" x14ac:dyDescent="0.2">
      <c r="A49" s="90">
        <v>43</v>
      </c>
      <c r="B49" s="91">
        <v>0</v>
      </c>
      <c r="C49" s="92">
        <f>DADOS!$D$16</f>
        <v>50</v>
      </c>
      <c r="D49" s="92">
        <v>0</v>
      </c>
      <c r="E49" s="93">
        <f t="shared" si="15"/>
        <v>50</v>
      </c>
      <c r="F49" s="81">
        <f t="shared" ref="F49:H49" si="67">B49*$G$2</f>
        <v>0</v>
      </c>
      <c r="G49" s="81">
        <f t="shared" si="67"/>
        <v>30000000</v>
      </c>
      <c r="H49" s="81">
        <f t="shared" si="67"/>
        <v>0</v>
      </c>
      <c r="I49" s="81">
        <f t="shared" si="17"/>
        <v>30000000</v>
      </c>
      <c r="J49" s="94">
        <v>1</v>
      </c>
      <c r="K49" s="81">
        <f t="shared" si="20"/>
        <v>0</v>
      </c>
      <c r="L49" s="95">
        <v>1</v>
      </c>
      <c r="M49" s="81">
        <f t="shared" si="21"/>
        <v>0</v>
      </c>
      <c r="N49" s="95">
        <v>0.36</v>
      </c>
      <c r="O49" s="81">
        <f t="shared" si="22"/>
        <v>4185723.1852799999</v>
      </c>
      <c r="P49" s="89">
        <f t="shared" si="3"/>
        <v>4185723.1852799999</v>
      </c>
      <c r="Q49" s="96">
        <f t="shared" si="23"/>
        <v>960000000</v>
      </c>
      <c r="R49" s="81">
        <f t="shared" si="24"/>
        <v>123206991.22367997</v>
      </c>
      <c r="S49" s="97">
        <f t="shared" si="6"/>
        <v>25814276.814720001</v>
      </c>
      <c r="T49" s="89">
        <f t="shared" si="25"/>
        <v>836793008.77632034</v>
      </c>
      <c r="U49" s="47"/>
      <c r="V49" s="88">
        <f t="shared" si="8"/>
        <v>18726674.022424724</v>
      </c>
      <c r="W49" s="81">
        <f>P49*(1+ANÁLISES!$B$3)</f>
        <v>5166738.2142190076</v>
      </c>
      <c r="X49" s="89">
        <f t="shared" si="10"/>
        <v>13559935.808205716</v>
      </c>
      <c r="Z49" s="88">
        <f t="shared" si="11"/>
        <v>24726674.02242472</v>
      </c>
      <c r="AA49" s="81">
        <f t="shared" si="12"/>
        <v>5166738.2142190076</v>
      </c>
      <c r="AB49" s="89">
        <f t="shared" si="13"/>
        <v>19559935.808205713</v>
      </c>
      <c r="AD49" s="88">
        <f t="shared" si="18"/>
        <v>19559935.808205713</v>
      </c>
      <c r="AE49" s="89">
        <f t="shared" si="26"/>
        <v>639170346.38387394</v>
      </c>
    </row>
    <row r="50" spans="1:31" ht="13.5" customHeight="1" x14ac:dyDescent="0.2">
      <c r="A50" s="90">
        <v>44</v>
      </c>
      <c r="B50" s="91">
        <v>0</v>
      </c>
      <c r="C50" s="92">
        <f>DADOS!$D$16</f>
        <v>50</v>
      </c>
      <c r="D50" s="92">
        <v>0</v>
      </c>
      <c r="E50" s="93">
        <f t="shared" si="15"/>
        <v>50</v>
      </c>
      <c r="F50" s="81">
        <f t="shared" ref="F50:H50" si="68">B50*$G$2</f>
        <v>0</v>
      </c>
      <c r="G50" s="81">
        <f t="shared" si="68"/>
        <v>30000000</v>
      </c>
      <c r="H50" s="81">
        <f t="shared" si="68"/>
        <v>0</v>
      </c>
      <c r="I50" s="81">
        <f t="shared" si="17"/>
        <v>30000000</v>
      </c>
      <c r="J50" s="94">
        <v>1</v>
      </c>
      <c r="K50" s="81">
        <f t="shared" si="20"/>
        <v>0</v>
      </c>
      <c r="L50" s="95">
        <v>1</v>
      </c>
      <c r="M50" s="81">
        <f t="shared" si="21"/>
        <v>0</v>
      </c>
      <c r="N50" s="95">
        <v>0.42</v>
      </c>
      <c r="O50" s="81">
        <f t="shared" si="22"/>
        <v>4185723.1852799999</v>
      </c>
      <c r="P50" s="89">
        <f t="shared" si="3"/>
        <v>4185723.1852799999</v>
      </c>
      <c r="Q50" s="96">
        <f t="shared" si="23"/>
        <v>990000000</v>
      </c>
      <c r="R50" s="81">
        <f t="shared" si="24"/>
        <v>127392714.40895997</v>
      </c>
      <c r="S50" s="97">
        <f t="shared" si="6"/>
        <v>25814276.814720001</v>
      </c>
      <c r="T50" s="89">
        <f t="shared" si="25"/>
        <v>862607285.59104037</v>
      </c>
      <c r="U50" s="47"/>
      <c r="V50" s="88">
        <f t="shared" si="8"/>
        <v>18726674.022424724</v>
      </c>
      <c r="W50" s="81">
        <f>P50*(1+ANÁLISES!$B$3)</f>
        <v>5166738.2142190076</v>
      </c>
      <c r="X50" s="89">
        <f t="shared" si="10"/>
        <v>13559935.808205716</v>
      </c>
      <c r="Z50" s="88">
        <f t="shared" si="11"/>
        <v>24726674.02242472</v>
      </c>
      <c r="AA50" s="81">
        <f t="shared" si="12"/>
        <v>5166738.2142190076</v>
      </c>
      <c r="AB50" s="89">
        <f t="shared" si="13"/>
        <v>19559935.808205713</v>
      </c>
      <c r="AD50" s="88">
        <f t="shared" si="18"/>
        <v>19559935.808205713</v>
      </c>
      <c r="AE50" s="89">
        <f t="shared" si="26"/>
        <v>658730282.19207966</v>
      </c>
    </row>
    <row r="51" spans="1:31" ht="13.5" customHeight="1" x14ac:dyDescent="0.2">
      <c r="A51" s="90">
        <v>45</v>
      </c>
      <c r="B51" s="91">
        <v>0</v>
      </c>
      <c r="C51" s="92">
        <f>DADOS!$D$16</f>
        <v>50</v>
      </c>
      <c r="D51" s="92">
        <v>0</v>
      </c>
      <c r="E51" s="93">
        <f t="shared" si="15"/>
        <v>50</v>
      </c>
      <c r="F51" s="81">
        <f t="shared" ref="F51:H51" si="69">B51*$G$2</f>
        <v>0</v>
      </c>
      <c r="G51" s="81">
        <f t="shared" si="69"/>
        <v>30000000</v>
      </c>
      <c r="H51" s="81">
        <f t="shared" si="69"/>
        <v>0</v>
      </c>
      <c r="I51" s="81">
        <f t="shared" si="17"/>
        <v>30000000</v>
      </c>
      <c r="J51" s="94">
        <v>1</v>
      </c>
      <c r="K51" s="81">
        <f t="shared" si="20"/>
        <v>0</v>
      </c>
      <c r="L51" s="95">
        <v>1</v>
      </c>
      <c r="M51" s="81">
        <f t="shared" si="21"/>
        <v>0</v>
      </c>
      <c r="N51" s="95">
        <v>0.5</v>
      </c>
      <c r="O51" s="81">
        <f t="shared" si="22"/>
        <v>5580964.2470400007</v>
      </c>
      <c r="P51" s="89">
        <f t="shared" si="3"/>
        <v>5580964.2470400007</v>
      </c>
      <c r="Q51" s="96">
        <f t="shared" si="23"/>
        <v>1020000000</v>
      </c>
      <c r="R51" s="81">
        <f t="shared" si="24"/>
        <v>132973678.65599997</v>
      </c>
      <c r="S51" s="97">
        <f t="shared" si="6"/>
        <v>24419035.75296</v>
      </c>
      <c r="T51" s="89">
        <f t="shared" si="25"/>
        <v>887026321.34400034</v>
      </c>
      <c r="U51" s="47"/>
      <c r="V51" s="88">
        <f t="shared" si="8"/>
        <v>18726674.022424724</v>
      </c>
      <c r="W51" s="81">
        <f>P51*(1+ANÁLISES!$B$3)</f>
        <v>6888984.2856253441</v>
      </c>
      <c r="X51" s="89">
        <f t="shared" si="10"/>
        <v>11837689.73679938</v>
      </c>
      <c r="Z51" s="88">
        <f t="shared" si="11"/>
        <v>24726674.02242472</v>
      </c>
      <c r="AA51" s="81">
        <f t="shared" si="12"/>
        <v>6888984.2856253441</v>
      </c>
      <c r="AB51" s="89">
        <f t="shared" si="13"/>
        <v>17837689.736799374</v>
      </c>
      <c r="AD51" s="88">
        <f t="shared" si="18"/>
        <v>17837689.736799374</v>
      </c>
      <c r="AE51" s="89">
        <f t="shared" si="26"/>
        <v>676567971.92887902</v>
      </c>
    </row>
    <row r="52" spans="1:31" ht="13.5" customHeight="1" x14ac:dyDescent="0.2">
      <c r="A52" s="90">
        <v>46</v>
      </c>
      <c r="B52" s="91">
        <v>0</v>
      </c>
      <c r="C52" s="92">
        <f>DADOS!$D$16</f>
        <v>50</v>
      </c>
      <c r="D52" s="92">
        <v>0</v>
      </c>
      <c r="E52" s="93">
        <f t="shared" si="15"/>
        <v>50</v>
      </c>
      <c r="F52" s="81">
        <f t="shared" ref="F52:H52" si="70">B52*$G$2</f>
        <v>0</v>
      </c>
      <c r="G52" s="81">
        <f t="shared" si="70"/>
        <v>30000000</v>
      </c>
      <c r="H52" s="81">
        <f t="shared" si="70"/>
        <v>0</v>
      </c>
      <c r="I52" s="81">
        <f t="shared" si="17"/>
        <v>30000000</v>
      </c>
      <c r="J52" s="94">
        <v>1</v>
      </c>
      <c r="K52" s="81">
        <f t="shared" si="20"/>
        <v>0</v>
      </c>
      <c r="L52" s="95">
        <v>1</v>
      </c>
      <c r="M52" s="81">
        <f t="shared" si="21"/>
        <v>0</v>
      </c>
      <c r="N52" s="95">
        <v>0.57999999999999996</v>
      </c>
      <c r="O52" s="81">
        <f t="shared" si="22"/>
        <v>5580964.247039997</v>
      </c>
      <c r="P52" s="89">
        <f t="shared" si="3"/>
        <v>5580964.247039997</v>
      </c>
      <c r="Q52" s="96">
        <f t="shared" si="23"/>
        <v>1050000000</v>
      </c>
      <c r="R52" s="81">
        <f t="shared" si="24"/>
        <v>138554642.90303996</v>
      </c>
      <c r="S52" s="97">
        <f t="shared" si="6"/>
        <v>24419035.752960004</v>
      </c>
      <c r="T52" s="89">
        <f t="shared" si="25"/>
        <v>911445357.09696031</v>
      </c>
      <c r="U52" s="47"/>
      <c r="V52" s="88">
        <f t="shared" si="8"/>
        <v>18726674.022424724</v>
      </c>
      <c r="W52" s="81">
        <f>P52*(1+ANÁLISES!$B$3)</f>
        <v>6888984.2856253395</v>
      </c>
      <c r="X52" s="89">
        <f t="shared" si="10"/>
        <v>11837689.736799385</v>
      </c>
      <c r="Z52" s="88">
        <f t="shared" si="11"/>
        <v>24726674.02242472</v>
      </c>
      <c r="AA52" s="81">
        <f t="shared" si="12"/>
        <v>6888984.2856253395</v>
      </c>
      <c r="AB52" s="89">
        <f t="shared" si="13"/>
        <v>17837689.736799382</v>
      </c>
      <c r="AD52" s="88">
        <f t="shared" si="18"/>
        <v>17837689.736799382</v>
      </c>
      <c r="AE52" s="89">
        <f t="shared" si="26"/>
        <v>694405661.66567838</v>
      </c>
    </row>
    <row r="53" spans="1:31" ht="13.5" customHeight="1" x14ac:dyDescent="0.2">
      <c r="A53" s="90">
        <v>47</v>
      </c>
      <c r="B53" s="91">
        <v>0</v>
      </c>
      <c r="C53" s="92">
        <f>DADOS!$D$16</f>
        <v>50</v>
      </c>
      <c r="D53" s="92">
        <v>0</v>
      </c>
      <c r="E53" s="93">
        <f t="shared" si="15"/>
        <v>50</v>
      </c>
      <c r="F53" s="81">
        <f t="shared" ref="F53:H53" si="71">B53*$G$2</f>
        <v>0</v>
      </c>
      <c r="G53" s="81">
        <f t="shared" si="71"/>
        <v>30000000</v>
      </c>
      <c r="H53" s="81">
        <f t="shared" si="71"/>
        <v>0</v>
      </c>
      <c r="I53" s="81">
        <f t="shared" si="17"/>
        <v>30000000</v>
      </c>
      <c r="J53" s="94">
        <v>1</v>
      </c>
      <c r="K53" s="81">
        <f t="shared" si="20"/>
        <v>0</v>
      </c>
      <c r="L53" s="95">
        <v>1</v>
      </c>
      <c r="M53" s="81">
        <f t="shared" si="21"/>
        <v>0</v>
      </c>
      <c r="N53" s="95">
        <v>0.66</v>
      </c>
      <c r="O53" s="81">
        <f t="shared" si="22"/>
        <v>5580964.2470400045</v>
      </c>
      <c r="P53" s="89">
        <f t="shared" si="3"/>
        <v>5580964.2470400045</v>
      </c>
      <c r="Q53" s="96">
        <f t="shared" si="23"/>
        <v>1080000000</v>
      </c>
      <c r="R53" s="81">
        <f t="shared" si="24"/>
        <v>144135607.15007997</v>
      </c>
      <c r="S53" s="97">
        <f t="shared" si="6"/>
        <v>24419035.752959996</v>
      </c>
      <c r="T53" s="89">
        <f t="shared" si="25"/>
        <v>935864392.84992027</v>
      </c>
      <c r="U53" s="47"/>
      <c r="V53" s="88">
        <f t="shared" si="8"/>
        <v>18726674.022424724</v>
      </c>
      <c r="W53" s="81">
        <f>P53*(1+ANÁLISES!$B$3)</f>
        <v>6888984.2856253488</v>
      </c>
      <c r="X53" s="89">
        <f t="shared" si="10"/>
        <v>11837689.736799374</v>
      </c>
      <c r="Z53" s="88">
        <f t="shared" si="11"/>
        <v>24726674.02242472</v>
      </c>
      <c r="AA53" s="81">
        <f t="shared" si="12"/>
        <v>6888984.2856253488</v>
      </c>
      <c r="AB53" s="89">
        <f t="shared" si="13"/>
        <v>17837689.73679937</v>
      </c>
      <c r="AD53" s="88">
        <f t="shared" si="18"/>
        <v>17837689.73679937</v>
      </c>
      <c r="AE53" s="89">
        <f t="shared" si="26"/>
        <v>712243351.40247774</v>
      </c>
    </row>
    <row r="54" spans="1:31" ht="13.5" customHeight="1" x14ac:dyDescent="0.2">
      <c r="A54" s="90">
        <v>48</v>
      </c>
      <c r="B54" s="91">
        <v>0</v>
      </c>
      <c r="C54" s="92">
        <f>DADOS!$D$16</f>
        <v>50</v>
      </c>
      <c r="D54" s="92">
        <v>0</v>
      </c>
      <c r="E54" s="93">
        <f t="shared" si="15"/>
        <v>50</v>
      </c>
      <c r="F54" s="81">
        <f t="shared" ref="F54:H54" si="72">B54*$G$2</f>
        <v>0</v>
      </c>
      <c r="G54" s="81">
        <f t="shared" si="72"/>
        <v>30000000</v>
      </c>
      <c r="H54" s="81">
        <f t="shared" si="72"/>
        <v>0</v>
      </c>
      <c r="I54" s="81">
        <f t="shared" si="17"/>
        <v>30000000</v>
      </c>
      <c r="J54" s="94">
        <v>1</v>
      </c>
      <c r="K54" s="81">
        <f t="shared" si="20"/>
        <v>0</v>
      </c>
      <c r="L54" s="95">
        <v>1</v>
      </c>
      <c r="M54" s="81">
        <f t="shared" si="21"/>
        <v>0</v>
      </c>
      <c r="N54" s="95">
        <v>0.72</v>
      </c>
      <c r="O54" s="81">
        <f t="shared" si="22"/>
        <v>4185723.1852799961</v>
      </c>
      <c r="P54" s="89">
        <f t="shared" si="3"/>
        <v>4185723.1852799961</v>
      </c>
      <c r="Q54" s="96">
        <f t="shared" si="23"/>
        <v>1110000000</v>
      </c>
      <c r="R54" s="81">
        <f t="shared" si="24"/>
        <v>148321330.33535996</v>
      </c>
      <c r="S54" s="97">
        <f t="shared" si="6"/>
        <v>25814276.814720005</v>
      </c>
      <c r="T54" s="89">
        <f t="shared" si="25"/>
        <v>961678669.66464031</v>
      </c>
      <c r="U54" s="47"/>
      <c r="V54" s="88">
        <f t="shared" si="8"/>
        <v>18726674.022424724</v>
      </c>
      <c r="W54" s="81">
        <f>P54*(1+ANÁLISES!$B$3)</f>
        <v>5166738.214219003</v>
      </c>
      <c r="X54" s="89">
        <f t="shared" si="10"/>
        <v>13559935.80820572</v>
      </c>
      <c r="Z54" s="88">
        <f t="shared" si="11"/>
        <v>24726674.02242472</v>
      </c>
      <c r="AA54" s="81">
        <f t="shared" si="12"/>
        <v>5166738.214219003</v>
      </c>
      <c r="AB54" s="89">
        <f t="shared" si="13"/>
        <v>19559935.808205716</v>
      </c>
      <c r="AD54" s="88">
        <f t="shared" si="18"/>
        <v>19559935.808205716</v>
      </c>
      <c r="AE54" s="89">
        <f t="shared" si="26"/>
        <v>731803287.21068347</v>
      </c>
    </row>
    <row r="55" spans="1:31" ht="13.5" customHeight="1" x14ac:dyDescent="0.2">
      <c r="A55" s="90">
        <v>49</v>
      </c>
      <c r="B55" s="91">
        <v>0</v>
      </c>
      <c r="C55" s="92">
        <f>DADOS!$D$16</f>
        <v>50</v>
      </c>
      <c r="D55" s="92">
        <v>0</v>
      </c>
      <c r="E55" s="93">
        <f t="shared" si="15"/>
        <v>50</v>
      </c>
      <c r="F55" s="81">
        <f t="shared" ref="F55:H55" si="73">B55*$G$2</f>
        <v>0</v>
      </c>
      <c r="G55" s="81">
        <f t="shared" si="73"/>
        <v>30000000</v>
      </c>
      <c r="H55" s="81">
        <f t="shared" si="73"/>
        <v>0</v>
      </c>
      <c r="I55" s="81">
        <f t="shared" si="17"/>
        <v>30000000</v>
      </c>
      <c r="J55" s="94">
        <v>1</v>
      </c>
      <c r="K55" s="81">
        <f t="shared" si="20"/>
        <v>0</v>
      </c>
      <c r="L55" s="95">
        <v>1</v>
      </c>
      <c r="M55" s="81">
        <f t="shared" si="21"/>
        <v>0</v>
      </c>
      <c r="N55" s="95">
        <v>0.8</v>
      </c>
      <c r="O55" s="81">
        <f t="shared" si="22"/>
        <v>5580964.2470400045</v>
      </c>
      <c r="P55" s="89">
        <f t="shared" si="3"/>
        <v>5580964.2470400045</v>
      </c>
      <c r="Q55" s="96">
        <f t="shared" si="23"/>
        <v>1140000000</v>
      </c>
      <c r="R55" s="81">
        <f t="shared" si="24"/>
        <v>153902294.58239996</v>
      </c>
      <c r="S55" s="97">
        <f t="shared" si="6"/>
        <v>24419035.752959996</v>
      </c>
      <c r="T55" s="89">
        <f t="shared" si="25"/>
        <v>986097705.41760027</v>
      </c>
      <c r="U55" s="47"/>
      <c r="V55" s="88">
        <f t="shared" si="8"/>
        <v>18726674.022424724</v>
      </c>
      <c r="W55" s="81">
        <f>P55*(1+ANÁLISES!$B$3)</f>
        <v>6888984.2856253488</v>
      </c>
      <c r="X55" s="89">
        <f t="shared" si="10"/>
        <v>11837689.736799374</v>
      </c>
      <c r="Z55" s="88">
        <f t="shared" si="11"/>
        <v>24726674.02242472</v>
      </c>
      <c r="AA55" s="81">
        <f t="shared" si="12"/>
        <v>6888984.2856253488</v>
      </c>
      <c r="AB55" s="89">
        <f t="shared" si="13"/>
        <v>17837689.73679937</v>
      </c>
      <c r="AD55" s="88">
        <f t="shared" si="18"/>
        <v>17837689.73679937</v>
      </c>
      <c r="AE55" s="89">
        <f t="shared" si="26"/>
        <v>749640976.94748282</v>
      </c>
    </row>
    <row r="56" spans="1:31" ht="13.5" customHeight="1" x14ac:dyDescent="0.2">
      <c r="A56" s="90">
        <v>50</v>
      </c>
      <c r="B56" s="91">
        <v>0</v>
      </c>
      <c r="C56" s="92">
        <f>DADOS!$D$16</f>
        <v>50</v>
      </c>
      <c r="D56" s="92">
        <v>0</v>
      </c>
      <c r="E56" s="93">
        <f t="shared" si="15"/>
        <v>50</v>
      </c>
      <c r="F56" s="81">
        <f t="shared" ref="F56:H56" si="74">B56*$G$2</f>
        <v>0</v>
      </c>
      <c r="G56" s="81">
        <f t="shared" si="74"/>
        <v>30000000</v>
      </c>
      <c r="H56" s="81">
        <f t="shared" si="74"/>
        <v>0</v>
      </c>
      <c r="I56" s="81">
        <f t="shared" si="17"/>
        <v>30000000</v>
      </c>
      <c r="J56" s="94">
        <v>1</v>
      </c>
      <c r="K56" s="81">
        <f t="shared" si="20"/>
        <v>0</v>
      </c>
      <c r="L56" s="95">
        <v>1</v>
      </c>
      <c r="M56" s="81">
        <f t="shared" si="21"/>
        <v>0</v>
      </c>
      <c r="N56" s="95">
        <v>0.85</v>
      </c>
      <c r="O56" s="81">
        <f t="shared" si="22"/>
        <v>3488102.6543999952</v>
      </c>
      <c r="P56" s="89">
        <f t="shared" si="3"/>
        <v>3488102.6543999952</v>
      </c>
      <c r="Q56" s="96">
        <f t="shared" si="23"/>
        <v>1170000000</v>
      </c>
      <c r="R56" s="81">
        <f t="shared" si="24"/>
        <v>157390397.23679996</v>
      </c>
      <c r="S56" s="97">
        <f t="shared" si="6"/>
        <v>26511897.345600005</v>
      </c>
      <c r="T56" s="89">
        <f t="shared" si="25"/>
        <v>1012609602.7632003</v>
      </c>
      <c r="U56" s="47"/>
      <c r="V56" s="88">
        <f t="shared" si="8"/>
        <v>18726674.022424724</v>
      </c>
      <c r="W56" s="81">
        <f>P56*(1+ANÁLISES!$B$3)</f>
        <v>4305615.1785158338</v>
      </c>
      <c r="X56" s="89">
        <f t="shared" si="10"/>
        <v>14421058.843908891</v>
      </c>
      <c r="Z56" s="88">
        <f t="shared" si="11"/>
        <v>24726674.02242472</v>
      </c>
      <c r="AA56" s="81">
        <f t="shared" si="12"/>
        <v>4305615.1785158338</v>
      </c>
      <c r="AB56" s="89">
        <f t="shared" si="13"/>
        <v>20421058.843908887</v>
      </c>
      <c r="AD56" s="88">
        <f t="shared" si="18"/>
        <v>20421058.843908887</v>
      </c>
      <c r="AE56" s="89">
        <f t="shared" si="26"/>
        <v>770062035.79139173</v>
      </c>
    </row>
    <row r="57" spans="1:31" ht="13.5" customHeight="1" x14ac:dyDescent="0.2">
      <c r="A57" s="90">
        <v>51</v>
      </c>
      <c r="B57" s="91">
        <v>0</v>
      </c>
      <c r="C57" s="92">
        <f>DADOS!$D$16</f>
        <v>50</v>
      </c>
      <c r="D57" s="92">
        <v>0</v>
      </c>
      <c r="E57" s="93">
        <f t="shared" si="15"/>
        <v>50</v>
      </c>
      <c r="F57" s="81">
        <f t="shared" ref="F57:H57" si="75">B57*$G$2</f>
        <v>0</v>
      </c>
      <c r="G57" s="81">
        <f t="shared" si="75"/>
        <v>30000000</v>
      </c>
      <c r="H57" s="81">
        <f t="shared" si="75"/>
        <v>0</v>
      </c>
      <c r="I57" s="81">
        <f t="shared" si="17"/>
        <v>30000000</v>
      </c>
      <c r="J57" s="94">
        <v>1</v>
      </c>
      <c r="K57" s="81">
        <f t="shared" si="20"/>
        <v>0</v>
      </c>
      <c r="L57" s="95">
        <v>1</v>
      </c>
      <c r="M57" s="81">
        <f t="shared" si="21"/>
        <v>0</v>
      </c>
      <c r="N57" s="95">
        <v>0.88</v>
      </c>
      <c r="O57" s="81">
        <f t="shared" si="22"/>
        <v>2092861.5926400018</v>
      </c>
      <c r="P57" s="89">
        <f t="shared" si="3"/>
        <v>2092861.5926400018</v>
      </c>
      <c r="Q57" s="96">
        <f t="shared" si="23"/>
        <v>1200000000</v>
      </c>
      <c r="R57" s="81">
        <f t="shared" si="24"/>
        <v>159483258.82943997</v>
      </c>
      <c r="S57" s="97">
        <f t="shared" si="6"/>
        <v>27907138.407359999</v>
      </c>
      <c r="T57" s="89">
        <f t="shared" si="25"/>
        <v>1040516741.1705602</v>
      </c>
      <c r="U57" s="47"/>
      <c r="V57" s="88">
        <f t="shared" si="8"/>
        <v>18726674.022424724</v>
      </c>
      <c r="W57" s="81">
        <f>P57*(1+ANÁLISES!$B$3)</f>
        <v>2583369.1071095061</v>
      </c>
      <c r="X57" s="89">
        <f t="shared" si="10"/>
        <v>16143304.915315218</v>
      </c>
      <c r="Z57" s="88">
        <f t="shared" si="11"/>
        <v>24726674.02242472</v>
      </c>
      <c r="AA57" s="81">
        <f t="shared" si="12"/>
        <v>2583369.1071095061</v>
      </c>
      <c r="AB57" s="89">
        <f t="shared" si="13"/>
        <v>22143304.915315215</v>
      </c>
      <c r="AD57" s="88">
        <f t="shared" si="18"/>
        <v>22143304.915315215</v>
      </c>
      <c r="AE57" s="89">
        <f t="shared" si="26"/>
        <v>792205340.706707</v>
      </c>
    </row>
    <row r="58" spans="1:31" ht="13.5" customHeight="1" x14ac:dyDescent="0.2">
      <c r="A58" s="90">
        <v>52</v>
      </c>
      <c r="B58" s="91">
        <v>0</v>
      </c>
      <c r="C58" s="92">
        <f>DADOS!$D$16</f>
        <v>50</v>
      </c>
      <c r="D58" s="92">
        <v>0</v>
      </c>
      <c r="E58" s="93">
        <f t="shared" si="15"/>
        <v>50</v>
      </c>
      <c r="F58" s="81">
        <f t="shared" ref="F58:H58" si="76">B58*$G$2</f>
        <v>0</v>
      </c>
      <c r="G58" s="81">
        <f t="shared" si="76"/>
        <v>30000000</v>
      </c>
      <c r="H58" s="81">
        <f t="shared" si="76"/>
        <v>0</v>
      </c>
      <c r="I58" s="81">
        <f t="shared" si="17"/>
        <v>30000000</v>
      </c>
      <c r="J58" s="94">
        <v>1</v>
      </c>
      <c r="K58" s="81">
        <f t="shared" si="20"/>
        <v>0</v>
      </c>
      <c r="L58" s="95">
        <v>1</v>
      </c>
      <c r="M58" s="81">
        <f t="shared" si="21"/>
        <v>0</v>
      </c>
      <c r="N58" s="95">
        <v>0.9</v>
      </c>
      <c r="O58" s="81">
        <f t="shared" si="22"/>
        <v>1395241.0617600011</v>
      </c>
      <c r="P58" s="89">
        <f t="shared" si="3"/>
        <v>1395241.0617600011</v>
      </c>
      <c r="Q58" s="96">
        <f t="shared" si="23"/>
        <v>1230000000</v>
      </c>
      <c r="R58" s="81">
        <f t="shared" si="24"/>
        <v>160878499.89119998</v>
      </c>
      <c r="S58" s="97">
        <f t="shared" si="6"/>
        <v>28604758.938239999</v>
      </c>
      <c r="T58" s="89">
        <f t="shared" si="25"/>
        <v>1069121500.1088003</v>
      </c>
      <c r="U58" s="47"/>
      <c r="V58" s="88">
        <f t="shared" si="8"/>
        <v>18726674.022424724</v>
      </c>
      <c r="W58" s="81">
        <f>P58*(1+ANÁLISES!$B$3)</f>
        <v>1722246.0714063372</v>
      </c>
      <c r="X58" s="89">
        <f t="shared" si="10"/>
        <v>17004427.951018386</v>
      </c>
      <c r="Z58" s="88">
        <f t="shared" si="11"/>
        <v>24726674.02242472</v>
      </c>
      <c r="AA58" s="81">
        <f t="shared" si="12"/>
        <v>1722246.0714063372</v>
      </c>
      <c r="AB58" s="89">
        <f t="shared" si="13"/>
        <v>23004427.951018382</v>
      </c>
      <c r="AD58" s="88">
        <f t="shared" si="18"/>
        <v>23004427.951018382</v>
      </c>
      <c r="AE58" s="89">
        <f t="shared" si="26"/>
        <v>815209768.65772533</v>
      </c>
    </row>
    <row r="59" spans="1:31" ht="13.5" customHeight="1" x14ac:dyDescent="0.2">
      <c r="A59" s="90">
        <v>53</v>
      </c>
      <c r="B59" s="91">
        <v>0</v>
      </c>
      <c r="C59" s="92">
        <f>DADOS!$D$16</f>
        <v>50</v>
      </c>
      <c r="D59" s="92">
        <v>0</v>
      </c>
      <c r="E59" s="93">
        <f t="shared" si="15"/>
        <v>50</v>
      </c>
      <c r="F59" s="81">
        <f t="shared" ref="F59:H59" si="77">B59*$G$2</f>
        <v>0</v>
      </c>
      <c r="G59" s="81">
        <f t="shared" si="77"/>
        <v>30000000</v>
      </c>
      <c r="H59" s="81">
        <f t="shared" si="77"/>
        <v>0</v>
      </c>
      <c r="I59" s="81">
        <f t="shared" si="17"/>
        <v>30000000</v>
      </c>
      <c r="J59" s="94">
        <v>1</v>
      </c>
      <c r="K59" s="81">
        <f t="shared" si="20"/>
        <v>0</v>
      </c>
      <c r="L59" s="95">
        <v>1</v>
      </c>
      <c r="M59" s="81">
        <f t="shared" si="21"/>
        <v>0</v>
      </c>
      <c r="N59" s="95">
        <v>0.92</v>
      </c>
      <c r="O59" s="81">
        <f t="shared" si="22"/>
        <v>1395241.0617600011</v>
      </c>
      <c r="P59" s="89">
        <f t="shared" si="3"/>
        <v>1395241.0617600011</v>
      </c>
      <c r="Q59" s="96">
        <f t="shared" si="23"/>
        <v>1260000000</v>
      </c>
      <c r="R59" s="81">
        <f t="shared" si="24"/>
        <v>162273740.95295998</v>
      </c>
      <c r="S59" s="97">
        <f t="shared" si="6"/>
        <v>28604758.938239999</v>
      </c>
      <c r="T59" s="89">
        <f t="shared" si="25"/>
        <v>1097726259.0470402</v>
      </c>
      <c r="U59" s="47"/>
      <c r="V59" s="88">
        <f t="shared" si="8"/>
        <v>18726674.022424724</v>
      </c>
      <c r="W59" s="81">
        <f>P59*(1+ANÁLISES!$B$3)</f>
        <v>1722246.0714063372</v>
      </c>
      <c r="X59" s="89">
        <f t="shared" si="10"/>
        <v>17004427.951018386</v>
      </c>
      <c r="Z59" s="88">
        <f t="shared" si="11"/>
        <v>24726674.02242472</v>
      </c>
      <c r="AA59" s="81">
        <f t="shared" si="12"/>
        <v>1722246.0714063372</v>
      </c>
      <c r="AB59" s="89">
        <f t="shared" si="13"/>
        <v>23004427.951018382</v>
      </c>
      <c r="AD59" s="88">
        <f t="shared" si="18"/>
        <v>23004427.951018382</v>
      </c>
      <c r="AE59" s="89">
        <f t="shared" si="26"/>
        <v>838214196.60874367</v>
      </c>
    </row>
    <row r="60" spans="1:31" ht="13.5" customHeight="1" x14ac:dyDescent="0.2">
      <c r="A60" s="90">
        <v>54</v>
      </c>
      <c r="B60" s="91">
        <v>0</v>
      </c>
      <c r="C60" s="92">
        <f>DADOS!$D$16</f>
        <v>50</v>
      </c>
      <c r="D60" s="92">
        <v>0</v>
      </c>
      <c r="E60" s="93">
        <f t="shared" si="15"/>
        <v>50</v>
      </c>
      <c r="F60" s="81">
        <f t="shared" ref="F60:H60" si="78">B60*$G$2</f>
        <v>0</v>
      </c>
      <c r="G60" s="81">
        <f t="shared" si="78"/>
        <v>30000000</v>
      </c>
      <c r="H60" s="81">
        <f t="shared" si="78"/>
        <v>0</v>
      </c>
      <c r="I60" s="81">
        <f t="shared" si="17"/>
        <v>30000000</v>
      </c>
      <c r="J60" s="94">
        <v>1</v>
      </c>
      <c r="K60" s="81">
        <f t="shared" si="20"/>
        <v>0</v>
      </c>
      <c r="L60" s="95">
        <v>1</v>
      </c>
      <c r="M60" s="81">
        <f t="shared" si="21"/>
        <v>0</v>
      </c>
      <c r="N60" s="95">
        <v>0.94</v>
      </c>
      <c r="O60" s="81">
        <f t="shared" si="22"/>
        <v>1395241.0617599934</v>
      </c>
      <c r="P60" s="89">
        <f t="shared" si="3"/>
        <v>1395241.0617599934</v>
      </c>
      <c r="Q60" s="96">
        <f t="shared" si="23"/>
        <v>1290000000</v>
      </c>
      <c r="R60" s="81">
        <f t="shared" si="24"/>
        <v>163668982.01471996</v>
      </c>
      <c r="S60" s="97">
        <f t="shared" si="6"/>
        <v>28604758.938240007</v>
      </c>
      <c r="T60" s="89">
        <f t="shared" si="25"/>
        <v>1126331017.9852803</v>
      </c>
      <c r="U60" s="47"/>
      <c r="V60" s="88">
        <f t="shared" si="8"/>
        <v>18726674.022424724</v>
      </c>
      <c r="W60" s="81">
        <f>P60*(1+ANÁLISES!$B$3)</f>
        <v>1722246.0714063279</v>
      </c>
      <c r="X60" s="89">
        <f t="shared" si="10"/>
        <v>17004427.951018397</v>
      </c>
      <c r="Z60" s="88">
        <f t="shared" si="11"/>
        <v>24726674.02242472</v>
      </c>
      <c r="AA60" s="81">
        <f t="shared" si="12"/>
        <v>1722246.0714063279</v>
      </c>
      <c r="AB60" s="89">
        <f t="shared" si="13"/>
        <v>23004427.951018393</v>
      </c>
      <c r="AD60" s="88">
        <f t="shared" si="18"/>
        <v>23004427.951018393</v>
      </c>
      <c r="AE60" s="89">
        <f t="shared" si="26"/>
        <v>861218624.559762</v>
      </c>
    </row>
    <row r="61" spans="1:31" ht="13.5" customHeight="1" x14ac:dyDescent="0.2">
      <c r="A61" s="90">
        <v>55</v>
      </c>
      <c r="B61" s="91">
        <v>0</v>
      </c>
      <c r="C61" s="92">
        <f>DADOS!$D$16</f>
        <v>50</v>
      </c>
      <c r="D61" s="92">
        <v>0</v>
      </c>
      <c r="E61" s="93">
        <f t="shared" si="15"/>
        <v>50</v>
      </c>
      <c r="F61" s="81">
        <f t="shared" ref="F61:H61" si="79">B61*$G$2</f>
        <v>0</v>
      </c>
      <c r="G61" s="81">
        <f t="shared" si="79"/>
        <v>30000000</v>
      </c>
      <c r="H61" s="81">
        <f t="shared" si="79"/>
        <v>0</v>
      </c>
      <c r="I61" s="81">
        <f t="shared" si="17"/>
        <v>30000000</v>
      </c>
      <c r="J61" s="94">
        <v>1</v>
      </c>
      <c r="K61" s="81">
        <f t="shared" si="20"/>
        <v>0</v>
      </c>
      <c r="L61" s="95">
        <v>1</v>
      </c>
      <c r="M61" s="81">
        <f t="shared" si="21"/>
        <v>0</v>
      </c>
      <c r="N61" s="95">
        <v>0.96</v>
      </c>
      <c r="O61" s="81">
        <f t="shared" si="22"/>
        <v>1395241.0617600011</v>
      </c>
      <c r="P61" s="89">
        <f t="shared" si="3"/>
        <v>1395241.0617600011</v>
      </c>
      <c r="Q61" s="96">
        <f t="shared" si="23"/>
        <v>1320000000</v>
      </c>
      <c r="R61" s="81">
        <f t="shared" si="24"/>
        <v>165064223.07647997</v>
      </c>
      <c r="S61" s="97">
        <f t="shared" si="6"/>
        <v>28604758.938239999</v>
      </c>
      <c r="T61" s="89">
        <f t="shared" si="25"/>
        <v>1154935776.9235203</v>
      </c>
      <c r="U61" s="47"/>
      <c r="V61" s="88">
        <f t="shared" si="8"/>
        <v>18726674.022424724</v>
      </c>
      <c r="W61" s="81">
        <f>P61*(1+ANÁLISES!$B$3)</f>
        <v>1722246.0714063372</v>
      </c>
      <c r="X61" s="89">
        <f t="shared" si="10"/>
        <v>17004427.951018386</v>
      </c>
      <c r="Z61" s="88">
        <f t="shared" si="11"/>
        <v>24726674.02242472</v>
      </c>
      <c r="AA61" s="81">
        <f t="shared" si="12"/>
        <v>1722246.0714063372</v>
      </c>
      <c r="AB61" s="89">
        <f t="shared" si="13"/>
        <v>23004427.951018382</v>
      </c>
      <c r="AD61" s="88">
        <f t="shared" si="18"/>
        <v>23004427.951018382</v>
      </c>
      <c r="AE61" s="89">
        <f t="shared" si="26"/>
        <v>884223052.51078033</v>
      </c>
    </row>
    <row r="62" spans="1:31" ht="13.5" customHeight="1" x14ac:dyDescent="0.2">
      <c r="A62" s="90">
        <v>56</v>
      </c>
      <c r="B62" s="91">
        <v>0</v>
      </c>
      <c r="C62" s="92">
        <f>DADOS!$D$16</f>
        <v>50</v>
      </c>
      <c r="D62" s="92">
        <v>0</v>
      </c>
      <c r="E62" s="93">
        <f t="shared" si="15"/>
        <v>50</v>
      </c>
      <c r="F62" s="81">
        <f t="shared" ref="F62:H62" si="80">B62*$G$2</f>
        <v>0</v>
      </c>
      <c r="G62" s="81">
        <f t="shared" si="80"/>
        <v>30000000</v>
      </c>
      <c r="H62" s="81">
        <f t="shared" si="80"/>
        <v>0</v>
      </c>
      <c r="I62" s="81">
        <f t="shared" si="17"/>
        <v>30000000</v>
      </c>
      <c r="J62" s="94">
        <v>1</v>
      </c>
      <c r="K62" s="81">
        <f t="shared" si="20"/>
        <v>0</v>
      </c>
      <c r="L62" s="95">
        <v>1</v>
      </c>
      <c r="M62" s="81">
        <f t="shared" si="21"/>
        <v>0</v>
      </c>
      <c r="N62" s="95">
        <v>0.98</v>
      </c>
      <c r="O62" s="81">
        <f t="shared" si="22"/>
        <v>1395241.0617600011</v>
      </c>
      <c r="P62" s="89">
        <f t="shared" si="3"/>
        <v>1395241.0617600011</v>
      </c>
      <c r="Q62" s="96">
        <f t="shared" si="23"/>
        <v>1350000000</v>
      </c>
      <c r="R62" s="81">
        <f t="shared" si="24"/>
        <v>166459464.13823998</v>
      </c>
      <c r="S62" s="97">
        <f t="shared" si="6"/>
        <v>28604758.938239999</v>
      </c>
      <c r="T62" s="89">
        <f t="shared" si="25"/>
        <v>1183540535.8617604</v>
      </c>
      <c r="U62" s="47"/>
      <c r="V62" s="88">
        <f t="shared" si="8"/>
        <v>18726674.022424724</v>
      </c>
      <c r="W62" s="81">
        <f>P62*(1+ANÁLISES!$B$3)</f>
        <v>1722246.0714063372</v>
      </c>
      <c r="X62" s="89">
        <f t="shared" si="10"/>
        <v>17004427.951018386</v>
      </c>
      <c r="Z62" s="88">
        <f t="shared" si="11"/>
        <v>24726674.02242472</v>
      </c>
      <c r="AA62" s="81">
        <f t="shared" si="12"/>
        <v>1722246.0714063372</v>
      </c>
      <c r="AB62" s="89">
        <f t="shared" si="13"/>
        <v>23004427.951018382</v>
      </c>
      <c r="AD62" s="88">
        <f t="shared" si="18"/>
        <v>23004427.951018382</v>
      </c>
      <c r="AE62" s="89">
        <f t="shared" si="26"/>
        <v>907227480.46179867</v>
      </c>
    </row>
    <row r="63" spans="1:31" ht="13.5" customHeight="1" x14ac:dyDescent="0.2">
      <c r="A63" s="90">
        <v>57</v>
      </c>
      <c r="B63" s="91">
        <v>0</v>
      </c>
      <c r="C63" s="92">
        <f>DADOS!$D$16</f>
        <v>50</v>
      </c>
      <c r="D63" s="92">
        <v>0</v>
      </c>
      <c r="E63" s="93">
        <f t="shared" si="15"/>
        <v>50</v>
      </c>
      <c r="F63" s="81">
        <f t="shared" ref="F63:H63" si="81">B63*$G$2</f>
        <v>0</v>
      </c>
      <c r="G63" s="81">
        <f t="shared" si="81"/>
        <v>30000000</v>
      </c>
      <c r="H63" s="81">
        <f t="shared" si="81"/>
        <v>0</v>
      </c>
      <c r="I63" s="81">
        <f t="shared" si="17"/>
        <v>30000000</v>
      </c>
      <c r="J63" s="94">
        <v>1</v>
      </c>
      <c r="K63" s="81">
        <f t="shared" si="20"/>
        <v>0</v>
      </c>
      <c r="L63" s="95">
        <v>1</v>
      </c>
      <c r="M63" s="81">
        <f t="shared" si="21"/>
        <v>0</v>
      </c>
      <c r="N63" s="95">
        <v>0.99</v>
      </c>
      <c r="O63" s="81">
        <f t="shared" si="22"/>
        <v>697620.53088000056</v>
      </c>
      <c r="P63" s="89">
        <f t="shared" si="3"/>
        <v>697620.53088000056</v>
      </c>
      <c r="Q63" s="96">
        <f t="shared" si="23"/>
        <v>1380000000</v>
      </c>
      <c r="R63" s="81">
        <f t="shared" si="24"/>
        <v>167157084.66911998</v>
      </c>
      <c r="S63" s="97">
        <f t="shared" si="6"/>
        <v>29302379.46912</v>
      </c>
      <c r="T63" s="89">
        <f t="shared" si="25"/>
        <v>1212842915.3308804</v>
      </c>
      <c r="U63" s="47"/>
      <c r="V63" s="88">
        <f t="shared" si="8"/>
        <v>18726674.022424724</v>
      </c>
      <c r="W63" s="81">
        <f>P63*(1+ANÁLISES!$B$3)</f>
        <v>861123.0357031686</v>
      </c>
      <c r="X63" s="89">
        <f t="shared" si="10"/>
        <v>17865550.986721557</v>
      </c>
      <c r="Z63" s="88">
        <f t="shared" si="11"/>
        <v>24726674.02242472</v>
      </c>
      <c r="AA63" s="81">
        <f t="shared" si="12"/>
        <v>861123.0357031686</v>
      </c>
      <c r="AB63" s="89">
        <f t="shared" si="13"/>
        <v>23865550.986721553</v>
      </c>
      <c r="AD63" s="88">
        <f t="shared" si="18"/>
        <v>23865550.986721553</v>
      </c>
      <c r="AE63" s="89">
        <f t="shared" si="26"/>
        <v>931093031.44852018</v>
      </c>
    </row>
    <row r="64" spans="1:31" ht="13.5" customHeight="1" x14ac:dyDescent="0.2">
      <c r="A64" s="90">
        <v>58</v>
      </c>
      <c r="B64" s="91">
        <v>0</v>
      </c>
      <c r="C64" s="92">
        <f>DADOS!$D$16</f>
        <v>50</v>
      </c>
      <c r="D64" s="92">
        <v>0</v>
      </c>
      <c r="E64" s="93">
        <f t="shared" si="15"/>
        <v>50</v>
      </c>
      <c r="F64" s="81">
        <f t="shared" ref="F64:H64" si="82">B64*$G$2</f>
        <v>0</v>
      </c>
      <c r="G64" s="81">
        <f t="shared" si="82"/>
        <v>30000000</v>
      </c>
      <c r="H64" s="81">
        <f t="shared" si="82"/>
        <v>0</v>
      </c>
      <c r="I64" s="81">
        <f t="shared" si="17"/>
        <v>30000000</v>
      </c>
      <c r="J64" s="94">
        <v>1</v>
      </c>
      <c r="K64" s="81">
        <f t="shared" si="20"/>
        <v>0</v>
      </c>
      <c r="L64" s="95">
        <v>1</v>
      </c>
      <c r="M64" s="81">
        <f t="shared" si="21"/>
        <v>0</v>
      </c>
      <c r="N64" s="95">
        <v>1</v>
      </c>
      <c r="O64" s="81">
        <f t="shared" si="22"/>
        <v>697620.53088000056</v>
      </c>
      <c r="P64" s="89">
        <f t="shared" si="3"/>
        <v>697620.53088000056</v>
      </c>
      <c r="Q64" s="96">
        <f t="shared" si="23"/>
        <v>1410000000</v>
      </c>
      <c r="R64" s="81">
        <f t="shared" si="24"/>
        <v>167854705.19999999</v>
      </c>
      <c r="S64" s="97">
        <f t="shared" si="6"/>
        <v>29302379.46912</v>
      </c>
      <c r="T64" s="89">
        <f t="shared" si="25"/>
        <v>1242145294.8000004</v>
      </c>
      <c r="U64" s="47"/>
      <c r="V64" s="88">
        <f t="shared" si="8"/>
        <v>18726674.022424724</v>
      </c>
      <c r="W64" s="81">
        <f>P64*(1+ANÁLISES!$B$3)</f>
        <v>861123.0357031686</v>
      </c>
      <c r="X64" s="89">
        <f t="shared" si="10"/>
        <v>17865550.986721557</v>
      </c>
      <c r="Z64" s="88">
        <f t="shared" si="11"/>
        <v>24726674.02242472</v>
      </c>
      <c r="AA64" s="81">
        <f t="shared" si="12"/>
        <v>861123.0357031686</v>
      </c>
      <c r="AB64" s="89">
        <f t="shared" si="13"/>
        <v>23865550.986721553</v>
      </c>
      <c r="AD64" s="88">
        <f t="shared" si="18"/>
        <v>23865550.986721553</v>
      </c>
      <c r="AE64" s="89">
        <f t="shared" si="26"/>
        <v>954958582.4352417</v>
      </c>
    </row>
    <row r="65" spans="1:31" ht="13.5" customHeight="1" x14ac:dyDescent="0.2">
      <c r="A65" s="90">
        <v>59</v>
      </c>
      <c r="B65" s="91">
        <v>0</v>
      </c>
      <c r="C65" s="92">
        <v>46</v>
      </c>
      <c r="D65" s="92">
        <v>4</v>
      </c>
      <c r="E65" s="93">
        <f t="shared" si="15"/>
        <v>50</v>
      </c>
      <c r="F65" s="81">
        <f t="shared" ref="F65:H65" si="83">B65*$G$2</f>
        <v>0</v>
      </c>
      <c r="G65" s="81">
        <f t="shared" si="83"/>
        <v>27600000</v>
      </c>
      <c r="H65" s="81">
        <f t="shared" si="83"/>
        <v>2400000</v>
      </c>
      <c r="I65" s="81">
        <f t="shared" si="17"/>
        <v>30000000</v>
      </c>
      <c r="J65" s="94">
        <v>1</v>
      </c>
      <c r="K65" s="81">
        <f t="shared" si="20"/>
        <v>0</v>
      </c>
      <c r="L65" s="95">
        <v>1</v>
      </c>
      <c r="M65" s="81">
        <f t="shared" si="21"/>
        <v>0</v>
      </c>
      <c r="N65" s="95">
        <v>1</v>
      </c>
      <c r="O65" s="81">
        <f t="shared" si="22"/>
        <v>0</v>
      </c>
      <c r="P65" s="89">
        <f t="shared" si="3"/>
        <v>0</v>
      </c>
      <c r="Q65" s="96">
        <f t="shared" si="23"/>
        <v>1440000000</v>
      </c>
      <c r="R65" s="81">
        <f t="shared" si="24"/>
        <v>167854705.19999999</v>
      </c>
      <c r="S65" s="97">
        <f t="shared" si="6"/>
        <v>30000000</v>
      </c>
      <c r="T65" s="89">
        <f t="shared" si="25"/>
        <v>1272145294.8000004</v>
      </c>
      <c r="U65" s="47"/>
      <c r="V65" s="88">
        <f t="shared" si="8"/>
        <v>18726674.022424724</v>
      </c>
      <c r="W65" s="81">
        <f>P65*(1+ANÁLISES!$B$3)</f>
        <v>0</v>
      </c>
      <c r="X65" s="89">
        <f t="shared" si="10"/>
        <v>18726674.022424724</v>
      </c>
      <c r="Z65" s="88">
        <f t="shared" si="11"/>
        <v>24726674.02242472</v>
      </c>
      <c r="AA65" s="81">
        <f t="shared" si="12"/>
        <v>0</v>
      </c>
      <c r="AB65" s="89">
        <f t="shared" si="13"/>
        <v>24726674.02242472</v>
      </c>
      <c r="AD65" s="88">
        <f t="shared" si="18"/>
        <v>24726674.02242472</v>
      </c>
      <c r="AE65" s="89">
        <f t="shared" si="26"/>
        <v>979685256.4576664</v>
      </c>
    </row>
    <row r="66" spans="1:31" ht="13.5" customHeight="1" x14ac:dyDescent="0.2">
      <c r="A66" s="90">
        <v>60</v>
      </c>
      <c r="B66" s="91">
        <v>0</v>
      </c>
      <c r="C66" s="92">
        <v>0</v>
      </c>
      <c r="D66" s="92">
        <f>DADOS!$D$17</f>
        <v>50</v>
      </c>
      <c r="E66" s="93">
        <f t="shared" si="15"/>
        <v>50</v>
      </c>
      <c r="F66" s="81">
        <f t="shared" ref="F66:H66" si="84">B66*$G$2</f>
        <v>0</v>
      </c>
      <c r="G66" s="81">
        <f t="shared" si="84"/>
        <v>0</v>
      </c>
      <c r="H66" s="81">
        <f t="shared" si="84"/>
        <v>30000000</v>
      </c>
      <c r="I66" s="81">
        <f t="shared" si="17"/>
        <v>30000000</v>
      </c>
      <c r="J66" s="94">
        <v>1</v>
      </c>
      <c r="K66" s="81">
        <f t="shared" si="20"/>
        <v>0</v>
      </c>
      <c r="L66" s="95">
        <v>1</v>
      </c>
      <c r="M66" s="81">
        <f t="shared" si="21"/>
        <v>0</v>
      </c>
      <c r="N66" s="95">
        <v>1</v>
      </c>
      <c r="O66" s="81">
        <f t="shared" si="22"/>
        <v>0</v>
      </c>
      <c r="P66" s="89">
        <f t="shared" si="3"/>
        <v>0</v>
      </c>
      <c r="Q66" s="96">
        <f t="shared" si="23"/>
        <v>1470000000</v>
      </c>
      <c r="R66" s="81">
        <f t="shared" si="24"/>
        <v>167854705.19999999</v>
      </c>
      <c r="S66" s="97">
        <f t="shared" si="6"/>
        <v>30000000</v>
      </c>
      <c r="T66" s="89">
        <f t="shared" si="25"/>
        <v>1302145294.8000004</v>
      </c>
      <c r="U66" s="47"/>
      <c r="V66" s="88">
        <f t="shared" si="8"/>
        <v>18726674.022424724</v>
      </c>
      <c r="W66" s="81">
        <f>P66*(1+ANÁLISES!$B$3)</f>
        <v>0</v>
      </c>
      <c r="X66" s="89">
        <f t="shared" si="10"/>
        <v>18726674.022424724</v>
      </c>
      <c r="Z66" s="88">
        <f t="shared" si="11"/>
        <v>24726674.02242472</v>
      </c>
      <c r="AA66" s="81">
        <f t="shared" si="12"/>
        <v>0</v>
      </c>
      <c r="AB66" s="89">
        <f t="shared" si="13"/>
        <v>24726674.02242472</v>
      </c>
      <c r="AD66" s="88">
        <f t="shared" si="18"/>
        <v>24726674.02242472</v>
      </c>
      <c r="AE66" s="89">
        <f t="shared" si="26"/>
        <v>1004411930.4800911</v>
      </c>
    </row>
    <row r="67" spans="1:31" ht="13.5" customHeight="1" x14ac:dyDescent="0.2">
      <c r="A67" s="90">
        <v>61</v>
      </c>
      <c r="B67" s="91">
        <v>0</v>
      </c>
      <c r="C67" s="92">
        <v>0</v>
      </c>
      <c r="D67" s="92">
        <f>DADOS!$D$17</f>
        <v>50</v>
      </c>
      <c r="E67" s="93">
        <f t="shared" si="15"/>
        <v>50</v>
      </c>
      <c r="F67" s="81">
        <f t="shared" ref="F67:H67" si="85">B67*$G$2</f>
        <v>0</v>
      </c>
      <c r="G67" s="81">
        <f t="shared" si="85"/>
        <v>0</v>
      </c>
      <c r="H67" s="81">
        <f t="shared" si="85"/>
        <v>30000000</v>
      </c>
      <c r="I67" s="81">
        <f t="shared" si="17"/>
        <v>30000000</v>
      </c>
      <c r="J67" s="94">
        <v>1</v>
      </c>
      <c r="K67" s="81">
        <f t="shared" si="20"/>
        <v>0</v>
      </c>
      <c r="L67" s="95">
        <v>1</v>
      </c>
      <c r="M67" s="81">
        <f t="shared" si="21"/>
        <v>0</v>
      </c>
      <c r="N67" s="95">
        <v>1</v>
      </c>
      <c r="O67" s="81">
        <f t="shared" si="22"/>
        <v>0</v>
      </c>
      <c r="P67" s="89">
        <f t="shared" si="3"/>
        <v>0</v>
      </c>
      <c r="Q67" s="96">
        <f t="shared" si="23"/>
        <v>1500000000</v>
      </c>
      <c r="R67" s="81">
        <f t="shared" si="24"/>
        <v>167854705.19999999</v>
      </c>
      <c r="S67" s="97">
        <f t="shared" si="6"/>
        <v>30000000</v>
      </c>
      <c r="T67" s="89">
        <f t="shared" si="25"/>
        <v>1332145294.8000004</v>
      </c>
      <c r="U67" s="47"/>
      <c r="V67" s="88">
        <f t="shared" si="8"/>
        <v>18726674.022424724</v>
      </c>
      <c r="W67" s="81">
        <f>P67*(1+ANÁLISES!$B$3)</f>
        <v>0</v>
      </c>
      <c r="X67" s="89">
        <f t="shared" si="10"/>
        <v>18726674.022424724</v>
      </c>
      <c r="Z67" s="88">
        <f t="shared" si="11"/>
        <v>24726674.02242472</v>
      </c>
      <c r="AA67" s="81">
        <f t="shared" si="12"/>
        <v>0</v>
      </c>
      <c r="AB67" s="89">
        <f t="shared" si="13"/>
        <v>24726674.02242472</v>
      </c>
      <c r="AD67" s="88">
        <f t="shared" si="18"/>
        <v>24726674.02242472</v>
      </c>
      <c r="AE67" s="89">
        <f t="shared" si="26"/>
        <v>1029138604.5025158</v>
      </c>
    </row>
    <row r="68" spans="1:31" ht="13.5" customHeight="1" x14ac:dyDescent="0.2">
      <c r="A68" s="90">
        <v>62</v>
      </c>
      <c r="B68" s="91">
        <v>0</v>
      </c>
      <c r="C68" s="92">
        <v>0</v>
      </c>
      <c r="D68" s="92">
        <f>DADOS!$D$17</f>
        <v>50</v>
      </c>
      <c r="E68" s="93">
        <f t="shared" si="15"/>
        <v>50</v>
      </c>
      <c r="F68" s="81">
        <f t="shared" ref="F68:H68" si="86">B68*$G$2</f>
        <v>0</v>
      </c>
      <c r="G68" s="81">
        <f t="shared" si="86"/>
        <v>0</v>
      </c>
      <c r="H68" s="81">
        <f t="shared" si="86"/>
        <v>30000000</v>
      </c>
      <c r="I68" s="81">
        <f t="shared" si="17"/>
        <v>30000000</v>
      </c>
      <c r="J68" s="94">
        <v>1</v>
      </c>
      <c r="K68" s="81">
        <f t="shared" si="20"/>
        <v>0</v>
      </c>
      <c r="L68" s="95">
        <v>1</v>
      </c>
      <c r="M68" s="81">
        <f t="shared" si="21"/>
        <v>0</v>
      </c>
      <c r="N68" s="95">
        <v>1</v>
      </c>
      <c r="O68" s="81">
        <f t="shared" si="22"/>
        <v>0</v>
      </c>
      <c r="P68" s="89">
        <f t="shared" si="3"/>
        <v>0</v>
      </c>
      <c r="Q68" s="96">
        <f t="shared" si="23"/>
        <v>1530000000</v>
      </c>
      <c r="R68" s="81">
        <f t="shared" si="24"/>
        <v>167854705.19999999</v>
      </c>
      <c r="S68" s="97">
        <f t="shared" si="6"/>
        <v>30000000</v>
      </c>
      <c r="T68" s="89">
        <f t="shared" si="25"/>
        <v>1362145294.8000004</v>
      </c>
      <c r="U68" s="47"/>
      <c r="V68" s="88">
        <f t="shared" si="8"/>
        <v>18726674.022424724</v>
      </c>
      <c r="W68" s="81">
        <f>P68*(1+ANÁLISES!$B$3)</f>
        <v>0</v>
      </c>
      <c r="X68" s="89">
        <f t="shared" si="10"/>
        <v>18726674.022424724</v>
      </c>
      <c r="Z68" s="88">
        <f t="shared" si="11"/>
        <v>24726674.02242472</v>
      </c>
      <c r="AA68" s="81">
        <f t="shared" si="12"/>
        <v>0</v>
      </c>
      <c r="AB68" s="89">
        <f t="shared" si="13"/>
        <v>24726674.02242472</v>
      </c>
      <c r="AD68" s="88">
        <f t="shared" si="18"/>
        <v>24726674.02242472</v>
      </c>
      <c r="AE68" s="89">
        <f t="shared" si="26"/>
        <v>1053865278.5249405</v>
      </c>
    </row>
    <row r="69" spans="1:31" ht="13.5" customHeight="1" x14ac:dyDescent="0.2">
      <c r="A69" s="90">
        <v>63</v>
      </c>
      <c r="B69" s="91">
        <v>0</v>
      </c>
      <c r="C69" s="92">
        <v>0</v>
      </c>
      <c r="D69" s="92">
        <f>DADOS!$D$17</f>
        <v>50</v>
      </c>
      <c r="E69" s="93">
        <f t="shared" si="15"/>
        <v>50</v>
      </c>
      <c r="F69" s="81">
        <f t="shared" ref="F69:H69" si="87">B69*$G$2</f>
        <v>0</v>
      </c>
      <c r="G69" s="81">
        <f t="shared" si="87"/>
        <v>0</v>
      </c>
      <c r="H69" s="81">
        <f t="shared" si="87"/>
        <v>30000000</v>
      </c>
      <c r="I69" s="81">
        <f t="shared" si="17"/>
        <v>30000000</v>
      </c>
      <c r="J69" s="94">
        <v>1</v>
      </c>
      <c r="K69" s="81">
        <f t="shared" si="20"/>
        <v>0</v>
      </c>
      <c r="L69" s="95">
        <v>1</v>
      </c>
      <c r="M69" s="81">
        <f t="shared" si="21"/>
        <v>0</v>
      </c>
      <c r="N69" s="95">
        <v>1</v>
      </c>
      <c r="O69" s="81">
        <f t="shared" si="22"/>
        <v>0</v>
      </c>
      <c r="P69" s="89">
        <f t="shared" si="3"/>
        <v>0</v>
      </c>
      <c r="Q69" s="96">
        <f t="shared" si="23"/>
        <v>1560000000</v>
      </c>
      <c r="R69" s="81">
        <f t="shared" si="24"/>
        <v>167854705.19999999</v>
      </c>
      <c r="S69" s="97">
        <f t="shared" si="6"/>
        <v>30000000</v>
      </c>
      <c r="T69" s="89">
        <f t="shared" si="25"/>
        <v>1392145294.8000004</v>
      </c>
      <c r="U69" s="47"/>
      <c r="V69" s="88">
        <f t="shared" si="8"/>
        <v>18726674.022424724</v>
      </c>
      <c r="W69" s="81">
        <f>P69*(1+ANÁLISES!$B$3)</f>
        <v>0</v>
      </c>
      <c r="X69" s="89">
        <f t="shared" si="10"/>
        <v>18726674.022424724</v>
      </c>
      <c r="Z69" s="88">
        <f t="shared" si="11"/>
        <v>24726674.02242472</v>
      </c>
      <c r="AA69" s="81">
        <f t="shared" si="12"/>
        <v>0</v>
      </c>
      <c r="AB69" s="89">
        <f t="shared" si="13"/>
        <v>24726674.02242472</v>
      </c>
      <c r="AD69" s="88">
        <f t="shared" si="18"/>
        <v>24726674.02242472</v>
      </c>
      <c r="AE69" s="89">
        <f t="shared" si="26"/>
        <v>1078591952.5473652</v>
      </c>
    </row>
    <row r="70" spans="1:31" ht="13.5" customHeight="1" x14ac:dyDescent="0.2">
      <c r="A70" s="90">
        <v>64</v>
      </c>
      <c r="B70" s="91">
        <v>0</v>
      </c>
      <c r="C70" s="92">
        <v>0</v>
      </c>
      <c r="D70" s="92">
        <f>DADOS!$D$17</f>
        <v>50</v>
      </c>
      <c r="E70" s="93">
        <f t="shared" si="15"/>
        <v>50</v>
      </c>
      <c r="F70" s="81">
        <f t="shared" ref="F70:H70" si="88">B70*$G$2</f>
        <v>0</v>
      </c>
      <c r="G70" s="81">
        <f t="shared" si="88"/>
        <v>0</v>
      </c>
      <c r="H70" s="81">
        <f t="shared" si="88"/>
        <v>30000000</v>
      </c>
      <c r="I70" s="81">
        <f t="shared" si="17"/>
        <v>30000000</v>
      </c>
      <c r="J70" s="94">
        <v>1</v>
      </c>
      <c r="K70" s="81">
        <f t="shared" si="20"/>
        <v>0</v>
      </c>
      <c r="L70" s="95">
        <v>1</v>
      </c>
      <c r="M70" s="81">
        <f t="shared" si="21"/>
        <v>0</v>
      </c>
      <c r="N70" s="95">
        <v>1</v>
      </c>
      <c r="O70" s="81">
        <f t="shared" si="22"/>
        <v>0</v>
      </c>
      <c r="P70" s="89">
        <f t="shared" si="3"/>
        <v>0</v>
      </c>
      <c r="Q70" s="96">
        <f t="shared" si="23"/>
        <v>1590000000</v>
      </c>
      <c r="R70" s="81">
        <f t="shared" si="24"/>
        <v>167854705.19999999</v>
      </c>
      <c r="S70" s="97">
        <f t="shared" si="6"/>
        <v>30000000</v>
      </c>
      <c r="T70" s="89">
        <f t="shared" si="25"/>
        <v>1422145294.8000004</v>
      </c>
      <c r="U70" s="47"/>
      <c r="V70" s="88">
        <f t="shared" si="8"/>
        <v>18726674.022424724</v>
      </c>
      <c r="W70" s="81">
        <f>P70*(1+ANÁLISES!$B$3)</f>
        <v>0</v>
      </c>
      <c r="X70" s="89">
        <f t="shared" si="10"/>
        <v>18726674.022424724</v>
      </c>
      <c r="Z70" s="88">
        <f t="shared" si="11"/>
        <v>24726674.02242472</v>
      </c>
      <c r="AA70" s="81">
        <f t="shared" si="12"/>
        <v>0</v>
      </c>
      <c r="AB70" s="89">
        <f t="shared" si="13"/>
        <v>24726674.02242472</v>
      </c>
      <c r="AD70" s="88">
        <f t="shared" si="18"/>
        <v>24726674.02242472</v>
      </c>
      <c r="AE70" s="89">
        <f t="shared" si="26"/>
        <v>1103318626.5697899</v>
      </c>
    </row>
    <row r="71" spans="1:31" ht="13.5" customHeight="1" x14ac:dyDescent="0.2">
      <c r="A71" s="90">
        <v>65</v>
      </c>
      <c r="B71" s="91">
        <v>0</v>
      </c>
      <c r="C71" s="92">
        <v>0</v>
      </c>
      <c r="D71" s="92">
        <f>DADOS!$D$17</f>
        <v>50</v>
      </c>
      <c r="E71" s="93">
        <f t="shared" si="15"/>
        <v>50</v>
      </c>
      <c r="F71" s="81">
        <f t="shared" ref="F71:H71" si="89">B71*$G$2</f>
        <v>0</v>
      </c>
      <c r="G71" s="81">
        <f t="shared" si="89"/>
        <v>0</v>
      </c>
      <c r="H71" s="81">
        <f t="shared" si="89"/>
        <v>30000000</v>
      </c>
      <c r="I71" s="81">
        <f t="shared" si="17"/>
        <v>30000000</v>
      </c>
      <c r="J71" s="94">
        <v>1</v>
      </c>
      <c r="K71" s="81">
        <f t="shared" si="20"/>
        <v>0</v>
      </c>
      <c r="L71" s="95">
        <v>1</v>
      </c>
      <c r="M71" s="81">
        <f t="shared" si="21"/>
        <v>0</v>
      </c>
      <c r="N71" s="95">
        <v>1</v>
      </c>
      <c r="O71" s="81">
        <f t="shared" si="22"/>
        <v>0</v>
      </c>
      <c r="P71" s="89">
        <f t="shared" si="3"/>
        <v>0</v>
      </c>
      <c r="Q71" s="96">
        <f t="shared" si="23"/>
        <v>1620000000</v>
      </c>
      <c r="R71" s="81">
        <f t="shared" si="24"/>
        <v>167854705.19999999</v>
      </c>
      <c r="S71" s="97">
        <f t="shared" si="6"/>
        <v>30000000</v>
      </c>
      <c r="T71" s="89">
        <f t="shared" si="25"/>
        <v>1452145294.8000004</v>
      </c>
      <c r="U71" s="47"/>
      <c r="V71" s="88">
        <f t="shared" si="8"/>
        <v>18726674.022424724</v>
      </c>
      <c r="W71" s="81">
        <f>P71*(1+ANÁLISES!$B$3)</f>
        <v>0</v>
      </c>
      <c r="X71" s="89">
        <f t="shared" si="10"/>
        <v>18726674.022424724</v>
      </c>
      <c r="Z71" s="88">
        <f t="shared" si="11"/>
        <v>24726674.02242472</v>
      </c>
      <c r="AA71" s="81">
        <f t="shared" si="12"/>
        <v>0</v>
      </c>
      <c r="AB71" s="89">
        <f t="shared" si="13"/>
        <v>24726674.02242472</v>
      </c>
      <c r="AD71" s="88">
        <f t="shared" si="18"/>
        <v>24726674.02242472</v>
      </c>
      <c r="AE71" s="89">
        <f t="shared" si="26"/>
        <v>1128045300.5922146</v>
      </c>
    </row>
    <row r="72" spans="1:31" ht="13.5" customHeight="1" x14ac:dyDescent="0.2">
      <c r="A72" s="90">
        <v>66</v>
      </c>
      <c r="B72" s="91">
        <v>0</v>
      </c>
      <c r="C72" s="92">
        <v>0</v>
      </c>
      <c r="D72" s="92">
        <f>DADOS!$D$17</f>
        <v>50</v>
      </c>
      <c r="E72" s="93">
        <f t="shared" si="15"/>
        <v>50</v>
      </c>
      <c r="F72" s="81">
        <f t="shared" ref="F72:H72" si="90">B72*$G$2</f>
        <v>0</v>
      </c>
      <c r="G72" s="81">
        <f t="shared" si="90"/>
        <v>0</v>
      </c>
      <c r="H72" s="81">
        <f t="shared" si="90"/>
        <v>30000000</v>
      </c>
      <c r="I72" s="81">
        <f t="shared" si="17"/>
        <v>30000000</v>
      </c>
      <c r="J72" s="94">
        <v>1</v>
      </c>
      <c r="K72" s="81">
        <f t="shared" si="20"/>
        <v>0</v>
      </c>
      <c r="L72" s="95">
        <v>1</v>
      </c>
      <c r="M72" s="81">
        <f t="shared" si="21"/>
        <v>0</v>
      </c>
      <c r="N72" s="95">
        <v>1</v>
      </c>
      <c r="O72" s="81">
        <f t="shared" si="22"/>
        <v>0</v>
      </c>
      <c r="P72" s="89">
        <f t="shared" si="3"/>
        <v>0</v>
      </c>
      <c r="Q72" s="96">
        <f t="shared" si="23"/>
        <v>1650000000</v>
      </c>
      <c r="R72" s="81">
        <f t="shared" si="24"/>
        <v>167854705.19999999</v>
      </c>
      <c r="S72" s="97">
        <f t="shared" si="6"/>
        <v>30000000</v>
      </c>
      <c r="T72" s="89">
        <f t="shared" si="25"/>
        <v>1482145294.8000004</v>
      </c>
      <c r="U72" s="47"/>
      <c r="V72" s="88">
        <f t="shared" si="8"/>
        <v>18726674.022424724</v>
      </c>
      <c r="W72" s="81">
        <f>P72*(1+ANÁLISES!$B$3)</f>
        <v>0</v>
      </c>
      <c r="X72" s="89">
        <f t="shared" si="10"/>
        <v>18726674.022424724</v>
      </c>
      <c r="Z72" s="88">
        <f t="shared" si="11"/>
        <v>24726674.02242472</v>
      </c>
      <c r="AA72" s="81">
        <f t="shared" si="12"/>
        <v>0</v>
      </c>
      <c r="AB72" s="89">
        <f t="shared" si="13"/>
        <v>24726674.02242472</v>
      </c>
      <c r="AD72" s="88">
        <f t="shared" si="18"/>
        <v>24726674.02242472</v>
      </c>
      <c r="AE72" s="89">
        <f t="shared" si="26"/>
        <v>1152771974.6146393</v>
      </c>
    </row>
    <row r="73" spans="1:31" ht="13.5" customHeight="1" x14ac:dyDescent="0.2">
      <c r="A73" s="90">
        <v>67</v>
      </c>
      <c r="B73" s="91">
        <v>0</v>
      </c>
      <c r="C73" s="92">
        <v>0</v>
      </c>
      <c r="D73" s="92">
        <f>DADOS!$D$17</f>
        <v>50</v>
      </c>
      <c r="E73" s="93">
        <f t="shared" si="15"/>
        <v>50</v>
      </c>
      <c r="F73" s="81">
        <f t="shared" ref="F73:H73" si="91">B73*$G$2</f>
        <v>0</v>
      </c>
      <c r="G73" s="81">
        <f t="shared" si="91"/>
        <v>0</v>
      </c>
      <c r="H73" s="81">
        <f t="shared" si="91"/>
        <v>30000000</v>
      </c>
      <c r="I73" s="81">
        <f t="shared" si="17"/>
        <v>30000000</v>
      </c>
      <c r="J73" s="94">
        <v>1</v>
      </c>
      <c r="K73" s="81">
        <f t="shared" si="20"/>
        <v>0</v>
      </c>
      <c r="L73" s="95">
        <v>1</v>
      </c>
      <c r="M73" s="81">
        <f t="shared" si="21"/>
        <v>0</v>
      </c>
      <c r="N73" s="95">
        <v>1</v>
      </c>
      <c r="O73" s="81">
        <f t="shared" si="22"/>
        <v>0</v>
      </c>
      <c r="P73" s="89">
        <f t="shared" si="3"/>
        <v>0</v>
      </c>
      <c r="Q73" s="96">
        <f t="shared" si="23"/>
        <v>1680000000</v>
      </c>
      <c r="R73" s="81">
        <f t="shared" si="24"/>
        <v>167854705.19999999</v>
      </c>
      <c r="S73" s="97">
        <f t="shared" si="6"/>
        <v>30000000</v>
      </c>
      <c r="T73" s="89">
        <f t="shared" si="25"/>
        <v>1512145294.8000004</v>
      </c>
      <c r="U73" s="47"/>
      <c r="V73" s="88">
        <f t="shared" si="8"/>
        <v>18726674.022424724</v>
      </c>
      <c r="W73" s="81">
        <f>P73*(1+ANÁLISES!$B$3)</f>
        <v>0</v>
      </c>
      <c r="X73" s="89">
        <f t="shared" si="10"/>
        <v>18726674.022424724</v>
      </c>
      <c r="Z73" s="88">
        <f t="shared" si="11"/>
        <v>24726674.02242472</v>
      </c>
      <c r="AA73" s="81">
        <f t="shared" si="12"/>
        <v>0</v>
      </c>
      <c r="AB73" s="89">
        <f t="shared" si="13"/>
        <v>24726674.02242472</v>
      </c>
      <c r="AD73" s="88">
        <f t="shared" si="18"/>
        <v>24726674.02242472</v>
      </c>
      <c r="AE73" s="89">
        <f t="shared" si="26"/>
        <v>1177498648.637064</v>
      </c>
    </row>
    <row r="74" spans="1:31" ht="13.5" customHeight="1" x14ac:dyDescent="0.2">
      <c r="A74" s="90">
        <v>68</v>
      </c>
      <c r="B74" s="91">
        <v>0</v>
      </c>
      <c r="C74" s="92">
        <v>0</v>
      </c>
      <c r="D74" s="92">
        <f>DADOS!$D$17</f>
        <v>50</v>
      </c>
      <c r="E74" s="93">
        <f t="shared" si="15"/>
        <v>50</v>
      </c>
      <c r="F74" s="81">
        <f t="shared" ref="F74:H74" si="92">B74*$G$2</f>
        <v>0</v>
      </c>
      <c r="G74" s="81">
        <f t="shared" si="92"/>
        <v>0</v>
      </c>
      <c r="H74" s="81">
        <f t="shared" si="92"/>
        <v>30000000</v>
      </c>
      <c r="I74" s="81">
        <f t="shared" si="17"/>
        <v>30000000</v>
      </c>
      <c r="J74" s="94">
        <v>1</v>
      </c>
      <c r="K74" s="81">
        <f t="shared" si="20"/>
        <v>0</v>
      </c>
      <c r="L74" s="95">
        <v>1</v>
      </c>
      <c r="M74" s="81">
        <f t="shared" si="21"/>
        <v>0</v>
      </c>
      <c r="N74" s="95">
        <v>1</v>
      </c>
      <c r="O74" s="81">
        <f t="shared" si="22"/>
        <v>0</v>
      </c>
      <c r="P74" s="89">
        <f t="shared" si="3"/>
        <v>0</v>
      </c>
      <c r="Q74" s="96">
        <f t="shared" si="23"/>
        <v>1710000000</v>
      </c>
      <c r="R74" s="81">
        <f t="shared" si="24"/>
        <v>167854705.19999999</v>
      </c>
      <c r="S74" s="97">
        <f t="shared" si="6"/>
        <v>30000000</v>
      </c>
      <c r="T74" s="89">
        <f t="shared" si="25"/>
        <v>1542145294.8000004</v>
      </c>
      <c r="U74" s="47"/>
      <c r="V74" s="88">
        <f t="shared" si="8"/>
        <v>18726674.022424724</v>
      </c>
      <c r="W74" s="81">
        <f>P74*(1+ANÁLISES!$B$3)</f>
        <v>0</v>
      </c>
      <c r="X74" s="89">
        <f t="shared" si="10"/>
        <v>18726674.022424724</v>
      </c>
      <c r="Z74" s="88">
        <f t="shared" si="11"/>
        <v>24726674.02242472</v>
      </c>
      <c r="AA74" s="81">
        <f t="shared" si="12"/>
        <v>0</v>
      </c>
      <c r="AB74" s="89">
        <f t="shared" si="13"/>
        <v>24726674.02242472</v>
      </c>
      <c r="AD74" s="88">
        <f t="shared" si="18"/>
        <v>24726674.02242472</v>
      </c>
      <c r="AE74" s="89">
        <f t="shared" si="26"/>
        <v>1202225322.6594887</v>
      </c>
    </row>
    <row r="75" spans="1:31" ht="13.5" customHeight="1" x14ac:dyDescent="0.2">
      <c r="A75" s="90">
        <v>69</v>
      </c>
      <c r="B75" s="91">
        <v>0</v>
      </c>
      <c r="C75" s="92">
        <v>0</v>
      </c>
      <c r="D75" s="92">
        <f>DADOS!$D$17</f>
        <v>50</v>
      </c>
      <c r="E75" s="93">
        <f t="shared" si="15"/>
        <v>50</v>
      </c>
      <c r="F75" s="81">
        <f t="shared" ref="F75:H75" si="93">B75*$G$2</f>
        <v>0</v>
      </c>
      <c r="G75" s="81">
        <f t="shared" si="93"/>
        <v>0</v>
      </c>
      <c r="H75" s="81">
        <f t="shared" si="93"/>
        <v>30000000</v>
      </c>
      <c r="I75" s="81">
        <f t="shared" si="17"/>
        <v>30000000</v>
      </c>
      <c r="J75" s="94">
        <v>1</v>
      </c>
      <c r="K75" s="81">
        <f t="shared" si="20"/>
        <v>0</v>
      </c>
      <c r="L75" s="95">
        <v>1</v>
      </c>
      <c r="M75" s="81">
        <f t="shared" si="21"/>
        <v>0</v>
      </c>
      <c r="N75" s="95">
        <v>1</v>
      </c>
      <c r="O75" s="81">
        <f t="shared" si="22"/>
        <v>0</v>
      </c>
      <c r="P75" s="89">
        <f t="shared" si="3"/>
        <v>0</v>
      </c>
      <c r="Q75" s="96">
        <f t="shared" si="23"/>
        <v>1740000000</v>
      </c>
      <c r="R75" s="81">
        <f t="shared" si="24"/>
        <v>167854705.19999999</v>
      </c>
      <c r="S75" s="97">
        <f t="shared" si="6"/>
        <v>30000000</v>
      </c>
      <c r="T75" s="89">
        <f t="shared" si="25"/>
        <v>1572145294.8000004</v>
      </c>
      <c r="U75" s="47"/>
      <c r="V75" s="88">
        <f t="shared" si="8"/>
        <v>18726674.022424724</v>
      </c>
      <c r="W75" s="81">
        <f>P75*(1+ANÁLISES!$B$3)</f>
        <v>0</v>
      </c>
      <c r="X75" s="89">
        <f t="shared" si="10"/>
        <v>18726674.022424724</v>
      </c>
      <c r="Z75" s="88">
        <f t="shared" si="11"/>
        <v>24726674.02242472</v>
      </c>
      <c r="AA75" s="81">
        <f t="shared" si="12"/>
        <v>0</v>
      </c>
      <c r="AB75" s="89">
        <f t="shared" si="13"/>
        <v>24726674.02242472</v>
      </c>
      <c r="AD75" s="88">
        <f t="shared" si="18"/>
        <v>24726674.02242472</v>
      </c>
      <c r="AE75" s="89">
        <f t="shared" si="26"/>
        <v>1226951996.6819134</v>
      </c>
    </row>
    <row r="76" spans="1:31" ht="13.5" customHeight="1" x14ac:dyDescent="0.2">
      <c r="A76" s="90">
        <v>70</v>
      </c>
      <c r="B76" s="91">
        <v>0</v>
      </c>
      <c r="C76" s="92">
        <v>0</v>
      </c>
      <c r="D76" s="92">
        <f>DADOS!$D$17</f>
        <v>50</v>
      </c>
      <c r="E76" s="93">
        <f t="shared" si="15"/>
        <v>50</v>
      </c>
      <c r="F76" s="81">
        <f t="shared" ref="F76:H76" si="94">B76*$G$2</f>
        <v>0</v>
      </c>
      <c r="G76" s="81">
        <f t="shared" si="94"/>
        <v>0</v>
      </c>
      <c r="H76" s="81">
        <f t="shared" si="94"/>
        <v>30000000</v>
      </c>
      <c r="I76" s="81">
        <f t="shared" si="17"/>
        <v>30000000</v>
      </c>
      <c r="J76" s="94">
        <v>1</v>
      </c>
      <c r="K76" s="81">
        <f t="shared" si="20"/>
        <v>0</v>
      </c>
      <c r="L76" s="95">
        <v>1</v>
      </c>
      <c r="M76" s="81">
        <f t="shared" si="21"/>
        <v>0</v>
      </c>
      <c r="N76" s="95">
        <v>1</v>
      </c>
      <c r="O76" s="81">
        <f t="shared" si="22"/>
        <v>0</v>
      </c>
      <c r="P76" s="89">
        <f t="shared" si="3"/>
        <v>0</v>
      </c>
      <c r="Q76" s="96">
        <f t="shared" si="23"/>
        <v>1770000000</v>
      </c>
      <c r="R76" s="81">
        <f t="shared" si="24"/>
        <v>167854705.19999999</v>
      </c>
      <c r="S76" s="97">
        <f t="shared" si="6"/>
        <v>30000000</v>
      </c>
      <c r="T76" s="89">
        <f t="shared" si="25"/>
        <v>1602145294.8000004</v>
      </c>
      <c r="U76" s="47"/>
      <c r="V76" s="88">
        <f t="shared" si="8"/>
        <v>18726674.022424724</v>
      </c>
      <c r="W76" s="81">
        <f>P76*(1+ANÁLISES!$B$3)</f>
        <v>0</v>
      </c>
      <c r="X76" s="89">
        <f t="shared" si="10"/>
        <v>18726674.022424724</v>
      </c>
      <c r="Z76" s="88">
        <f t="shared" si="11"/>
        <v>24726674.02242472</v>
      </c>
      <c r="AA76" s="81">
        <f t="shared" si="12"/>
        <v>0</v>
      </c>
      <c r="AB76" s="89">
        <f t="shared" si="13"/>
        <v>24726674.02242472</v>
      </c>
      <c r="AD76" s="88">
        <f t="shared" si="18"/>
        <v>24726674.02242472</v>
      </c>
      <c r="AE76" s="89">
        <f t="shared" si="26"/>
        <v>1251678670.7043381</v>
      </c>
    </row>
    <row r="77" spans="1:31" ht="13.5" customHeight="1" x14ac:dyDescent="0.2">
      <c r="A77" s="90">
        <v>71</v>
      </c>
      <c r="B77" s="91">
        <v>0</v>
      </c>
      <c r="C77" s="92">
        <v>0</v>
      </c>
      <c r="D77" s="92">
        <f>DADOS!$D$17</f>
        <v>50</v>
      </c>
      <c r="E77" s="93">
        <f t="shared" si="15"/>
        <v>50</v>
      </c>
      <c r="F77" s="81">
        <f t="shared" ref="F77:H77" si="95">B77*$G$2</f>
        <v>0</v>
      </c>
      <c r="G77" s="81">
        <f t="shared" si="95"/>
        <v>0</v>
      </c>
      <c r="H77" s="81">
        <f t="shared" si="95"/>
        <v>30000000</v>
      </c>
      <c r="I77" s="81">
        <f t="shared" si="17"/>
        <v>30000000</v>
      </c>
      <c r="J77" s="94">
        <v>1</v>
      </c>
      <c r="K77" s="81">
        <f t="shared" si="20"/>
        <v>0</v>
      </c>
      <c r="L77" s="95">
        <v>1</v>
      </c>
      <c r="M77" s="81">
        <f t="shared" si="21"/>
        <v>0</v>
      </c>
      <c r="N77" s="95">
        <v>1</v>
      </c>
      <c r="O77" s="81">
        <f t="shared" si="22"/>
        <v>0</v>
      </c>
      <c r="P77" s="89">
        <f t="shared" si="3"/>
        <v>0</v>
      </c>
      <c r="Q77" s="96">
        <f t="shared" si="23"/>
        <v>1800000000</v>
      </c>
      <c r="R77" s="81">
        <f t="shared" si="24"/>
        <v>167854705.19999999</v>
      </c>
      <c r="S77" s="97">
        <f t="shared" si="6"/>
        <v>30000000</v>
      </c>
      <c r="T77" s="89">
        <f t="shared" si="25"/>
        <v>1632145294.8000004</v>
      </c>
      <c r="U77" s="47"/>
      <c r="V77" s="88">
        <f t="shared" si="8"/>
        <v>18726674.022424724</v>
      </c>
      <c r="W77" s="81">
        <f>P77*(1+ANÁLISES!$B$3)</f>
        <v>0</v>
      </c>
      <c r="X77" s="89">
        <f t="shared" si="10"/>
        <v>18726674.022424724</v>
      </c>
      <c r="Z77" s="88">
        <f t="shared" si="11"/>
        <v>24726674.02242472</v>
      </c>
      <c r="AA77" s="81">
        <f t="shared" si="12"/>
        <v>0</v>
      </c>
      <c r="AB77" s="89">
        <f t="shared" si="13"/>
        <v>24726674.02242472</v>
      </c>
      <c r="AD77" s="88">
        <f t="shared" si="18"/>
        <v>24726674.02242472</v>
      </c>
      <c r="AE77" s="89">
        <f t="shared" si="26"/>
        <v>1276405344.7267628</v>
      </c>
    </row>
    <row r="78" spans="1:31" ht="13.5" customHeight="1" x14ac:dyDescent="0.2">
      <c r="A78" s="90">
        <v>72</v>
      </c>
      <c r="B78" s="91">
        <v>0</v>
      </c>
      <c r="C78" s="92">
        <v>0</v>
      </c>
      <c r="D78" s="92">
        <f>DADOS!$D$17</f>
        <v>50</v>
      </c>
      <c r="E78" s="93">
        <f t="shared" si="15"/>
        <v>50</v>
      </c>
      <c r="F78" s="81">
        <f t="shared" ref="F78:H78" si="96">B78*$G$2</f>
        <v>0</v>
      </c>
      <c r="G78" s="81">
        <f t="shared" si="96"/>
        <v>0</v>
      </c>
      <c r="H78" s="81">
        <f t="shared" si="96"/>
        <v>30000000</v>
      </c>
      <c r="I78" s="81">
        <f t="shared" si="17"/>
        <v>30000000</v>
      </c>
      <c r="J78" s="94">
        <v>1</v>
      </c>
      <c r="K78" s="81">
        <f t="shared" si="20"/>
        <v>0</v>
      </c>
      <c r="L78" s="95">
        <v>1</v>
      </c>
      <c r="M78" s="81">
        <f t="shared" si="21"/>
        <v>0</v>
      </c>
      <c r="N78" s="95">
        <v>1</v>
      </c>
      <c r="O78" s="81">
        <f t="shared" si="22"/>
        <v>0</v>
      </c>
      <c r="P78" s="89">
        <f t="shared" si="3"/>
        <v>0</v>
      </c>
      <c r="Q78" s="96">
        <f t="shared" si="23"/>
        <v>1830000000</v>
      </c>
      <c r="R78" s="81">
        <f t="shared" si="24"/>
        <v>167854705.19999999</v>
      </c>
      <c r="S78" s="97">
        <f t="shared" si="6"/>
        <v>30000000</v>
      </c>
      <c r="T78" s="89">
        <f t="shared" si="25"/>
        <v>1662145294.8000004</v>
      </c>
      <c r="U78" s="47"/>
      <c r="V78" s="88">
        <f t="shared" si="8"/>
        <v>18726674.022424724</v>
      </c>
      <c r="W78" s="81">
        <f>P78*(1+ANÁLISES!$B$3)</f>
        <v>0</v>
      </c>
      <c r="X78" s="89">
        <f t="shared" si="10"/>
        <v>18726674.022424724</v>
      </c>
      <c r="Z78" s="88">
        <f t="shared" si="11"/>
        <v>24726674.02242472</v>
      </c>
      <c r="AA78" s="81">
        <f t="shared" si="12"/>
        <v>0</v>
      </c>
      <c r="AB78" s="89">
        <f t="shared" si="13"/>
        <v>24726674.02242472</v>
      </c>
      <c r="AD78" s="88">
        <f t="shared" si="18"/>
        <v>24726674.02242472</v>
      </c>
      <c r="AE78" s="89">
        <f t="shared" si="26"/>
        <v>1301132018.7491875</v>
      </c>
    </row>
    <row r="79" spans="1:31" ht="13.5" customHeight="1" x14ac:dyDescent="0.2">
      <c r="A79" s="90">
        <v>73</v>
      </c>
      <c r="B79" s="91">
        <v>0</v>
      </c>
      <c r="C79" s="92">
        <v>0</v>
      </c>
      <c r="D79" s="92">
        <f>DADOS!$D$17</f>
        <v>50</v>
      </c>
      <c r="E79" s="93">
        <f t="shared" si="15"/>
        <v>50</v>
      </c>
      <c r="F79" s="81">
        <f t="shared" ref="F79:H79" si="97">B79*$G$2</f>
        <v>0</v>
      </c>
      <c r="G79" s="81">
        <f t="shared" si="97"/>
        <v>0</v>
      </c>
      <c r="H79" s="81">
        <f t="shared" si="97"/>
        <v>30000000</v>
      </c>
      <c r="I79" s="81">
        <f t="shared" si="17"/>
        <v>30000000</v>
      </c>
      <c r="J79" s="94">
        <v>1</v>
      </c>
      <c r="K79" s="81">
        <f t="shared" si="20"/>
        <v>0</v>
      </c>
      <c r="L79" s="95">
        <v>1</v>
      </c>
      <c r="M79" s="81">
        <f t="shared" si="21"/>
        <v>0</v>
      </c>
      <c r="N79" s="95">
        <v>1</v>
      </c>
      <c r="O79" s="81">
        <f t="shared" si="22"/>
        <v>0</v>
      </c>
      <c r="P79" s="89">
        <f t="shared" si="3"/>
        <v>0</v>
      </c>
      <c r="Q79" s="96">
        <f t="shared" si="23"/>
        <v>1860000000</v>
      </c>
      <c r="R79" s="81">
        <f t="shared" si="24"/>
        <v>167854705.19999999</v>
      </c>
      <c r="S79" s="97">
        <f t="shared" si="6"/>
        <v>30000000</v>
      </c>
      <c r="T79" s="89">
        <f t="shared" si="25"/>
        <v>1692145294.8000004</v>
      </c>
      <c r="U79" s="47"/>
      <c r="V79" s="88">
        <f t="shared" si="8"/>
        <v>18726674.022424724</v>
      </c>
      <c r="W79" s="81">
        <f>P79*(1+ANÁLISES!$B$3)</f>
        <v>0</v>
      </c>
      <c r="X79" s="89">
        <f t="shared" si="10"/>
        <v>18726674.022424724</v>
      </c>
      <c r="Z79" s="88">
        <f t="shared" si="11"/>
        <v>24726674.02242472</v>
      </c>
      <c r="AA79" s="81">
        <f t="shared" si="12"/>
        <v>0</v>
      </c>
      <c r="AB79" s="89">
        <f t="shared" si="13"/>
        <v>24726674.02242472</v>
      </c>
      <c r="AD79" s="88">
        <f t="shared" si="18"/>
        <v>24726674.02242472</v>
      </c>
      <c r="AE79" s="89">
        <f t="shared" si="26"/>
        <v>1325858692.7716122</v>
      </c>
    </row>
    <row r="80" spans="1:31" ht="13.5" customHeight="1" x14ac:dyDescent="0.2">
      <c r="A80" s="90">
        <v>74</v>
      </c>
      <c r="B80" s="91">
        <v>0</v>
      </c>
      <c r="C80" s="92">
        <v>0</v>
      </c>
      <c r="D80" s="92">
        <f>DADOS!$D$17</f>
        <v>50</v>
      </c>
      <c r="E80" s="93">
        <f t="shared" si="15"/>
        <v>50</v>
      </c>
      <c r="F80" s="81">
        <f t="shared" ref="F80:H80" si="98">B80*$G$2</f>
        <v>0</v>
      </c>
      <c r="G80" s="81">
        <f t="shared" si="98"/>
        <v>0</v>
      </c>
      <c r="H80" s="81">
        <f t="shared" si="98"/>
        <v>30000000</v>
      </c>
      <c r="I80" s="81">
        <f t="shared" si="17"/>
        <v>30000000</v>
      </c>
      <c r="J80" s="94">
        <v>1</v>
      </c>
      <c r="K80" s="81">
        <f t="shared" si="20"/>
        <v>0</v>
      </c>
      <c r="L80" s="95">
        <v>1</v>
      </c>
      <c r="M80" s="81">
        <f t="shared" si="21"/>
        <v>0</v>
      </c>
      <c r="N80" s="95">
        <v>1</v>
      </c>
      <c r="O80" s="81">
        <f t="shared" si="22"/>
        <v>0</v>
      </c>
      <c r="P80" s="89">
        <f t="shared" si="3"/>
        <v>0</v>
      </c>
      <c r="Q80" s="96">
        <f t="shared" si="23"/>
        <v>1890000000</v>
      </c>
      <c r="R80" s="81">
        <f t="shared" si="24"/>
        <v>167854705.19999999</v>
      </c>
      <c r="S80" s="97">
        <f t="shared" si="6"/>
        <v>30000000</v>
      </c>
      <c r="T80" s="89">
        <f t="shared" si="25"/>
        <v>1722145294.8000004</v>
      </c>
      <c r="U80" s="47"/>
      <c r="V80" s="88">
        <f t="shared" si="8"/>
        <v>18726674.022424724</v>
      </c>
      <c r="W80" s="81">
        <f>P80*(1+ANÁLISES!$B$3)</f>
        <v>0</v>
      </c>
      <c r="X80" s="89">
        <f t="shared" si="10"/>
        <v>18726674.022424724</v>
      </c>
      <c r="Z80" s="88">
        <f t="shared" si="11"/>
        <v>24726674.02242472</v>
      </c>
      <c r="AA80" s="81">
        <f t="shared" si="12"/>
        <v>0</v>
      </c>
      <c r="AB80" s="89">
        <f t="shared" si="13"/>
        <v>24726674.02242472</v>
      </c>
      <c r="AD80" s="88">
        <f t="shared" si="18"/>
        <v>24726674.02242472</v>
      </c>
      <c r="AE80" s="89">
        <f t="shared" si="26"/>
        <v>1350585366.7940369</v>
      </c>
    </row>
    <row r="81" spans="1:31" ht="13.5" customHeight="1" x14ac:dyDescent="0.2">
      <c r="A81" s="90">
        <v>75</v>
      </c>
      <c r="B81" s="91">
        <v>0</v>
      </c>
      <c r="C81" s="92">
        <v>0</v>
      </c>
      <c r="D81" s="92">
        <f>DADOS!$D$17</f>
        <v>50</v>
      </c>
      <c r="E81" s="93">
        <f t="shared" si="15"/>
        <v>50</v>
      </c>
      <c r="F81" s="81">
        <f t="shared" ref="F81:H81" si="99">B81*$G$2</f>
        <v>0</v>
      </c>
      <c r="G81" s="81">
        <f t="shared" si="99"/>
        <v>0</v>
      </c>
      <c r="H81" s="81">
        <f t="shared" si="99"/>
        <v>30000000</v>
      </c>
      <c r="I81" s="81">
        <f t="shared" si="17"/>
        <v>30000000</v>
      </c>
      <c r="J81" s="94">
        <v>1</v>
      </c>
      <c r="K81" s="81">
        <f t="shared" si="20"/>
        <v>0</v>
      </c>
      <c r="L81" s="95">
        <v>1</v>
      </c>
      <c r="M81" s="81">
        <f t="shared" si="21"/>
        <v>0</v>
      </c>
      <c r="N81" s="95">
        <v>1</v>
      </c>
      <c r="O81" s="81">
        <f t="shared" si="22"/>
        <v>0</v>
      </c>
      <c r="P81" s="89">
        <f t="shared" si="3"/>
        <v>0</v>
      </c>
      <c r="Q81" s="96">
        <f t="shared" si="23"/>
        <v>1920000000</v>
      </c>
      <c r="R81" s="81">
        <f t="shared" si="24"/>
        <v>167854705.19999999</v>
      </c>
      <c r="S81" s="97">
        <f t="shared" si="6"/>
        <v>30000000</v>
      </c>
      <c r="T81" s="89">
        <f t="shared" si="25"/>
        <v>1752145294.8000004</v>
      </c>
      <c r="U81" s="47"/>
      <c r="V81" s="88">
        <f t="shared" si="8"/>
        <v>18726674.022424724</v>
      </c>
      <c r="W81" s="81">
        <f>P81*(1+ANÁLISES!$B$3)</f>
        <v>0</v>
      </c>
      <c r="X81" s="89">
        <f t="shared" si="10"/>
        <v>18726674.022424724</v>
      </c>
      <c r="Z81" s="88">
        <f t="shared" si="11"/>
        <v>24726674.02242472</v>
      </c>
      <c r="AA81" s="81">
        <f t="shared" si="12"/>
        <v>0</v>
      </c>
      <c r="AB81" s="89">
        <f t="shared" si="13"/>
        <v>24726674.02242472</v>
      </c>
      <c r="AD81" s="88">
        <f t="shared" si="18"/>
        <v>24726674.02242472</v>
      </c>
      <c r="AE81" s="89">
        <f t="shared" si="26"/>
        <v>1375312040.8164616</v>
      </c>
    </row>
    <row r="82" spans="1:31" ht="13.5" customHeight="1" x14ac:dyDescent="0.2">
      <c r="A82" s="90">
        <v>76</v>
      </c>
      <c r="B82" s="91">
        <v>0</v>
      </c>
      <c r="C82" s="92">
        <v>0</v>
      </c>
      <c r="D82" s="92">
        <f>DADOS!$D$17</f>
        <v>50</v>
      </c>
      <c r="E82" s="93">
        <f t="shared" si="15"/>
        <v>50</v>
      </c>
      <c r="F82" s="81">
        <f t="shared" ref="F82:H82" si="100">B82*$G$2</f>
        <v>0</v>
      </c>
      <c r="G82" s="81">
        <f t="shared" si="100"/>
        <v>0</v>
      </c>
      <c r="H82" s="81">
        <f t="shared" si="100"/>
        <v>30000000</v>
      </c>
      <c r="I82" s="81">
        <f t="shared" si="17"/>
        <v>30000000</v>
      </c>
      <c r="J82" s="94">
        <v>1</v>
      </c>
      <c r="K82" s="81">
        <f t="shared" si="20"/>
        <v>0</v>
      </c>
      <c r="L82" s="95">
        <v>1</v>
      </c>
      <c r="M82" s="81">
        <f t="shared" si="21"/>
        <v>0</v>
      </c>
      <c r="N82" s="95">
        <v>1</v>
      </c>
      <c r="O82" s="81">
        <f t="shared" si="22"/>
        <v>0</v>
      </c>
      <c r="P82" s="89">
        <f t="shared" si="3"/>
        <v>0</v>
      </c>
      <c r="Q82" s="96">
        <f t="shared" si="23"/>
        <v>1950000000</v>
      </c>
      <c r="R82" s="81">
        <f t="shared" si="24"/>
        <v>167854705.19999999</v>
      </c>
      <c r="S82" s="97">
        <f t="shared" si="6"/>
        <v>30000000</v>
      </c>
      <c r="T82" s="89">
        <f t="shared" si="25"/>
        <v>1782145294.8000004</v>
      </c>
      <c r="U82" s="47"/>
      <c r="V82" s="88">
        <f t="shared" si="8"/>
        <v>18726674.022424724</v>
      </c>
      <c r="W82" s="81">
        <f>P82*(1+ANÁLISES!$B$3)</f>
        <v>0</v>
      </c>
      <c r="X82" s="89">
        <f t="shared" si="10"/>
        <v>18726674.022424724</v>
      </c>
      <c r="Z82" s="88">
        <f t="shared" si="11"/>
        <v>24726674.02242472</v>
      </c>
      <c r="AA82" s="81">
        <f t="shared" si="12"/>
        <v>0</v>
      </c>
      <c r="AB82" s="89">
        <f t="shared" si="13"/>
        <v>24726674.02242472</v>
      </c>
      <c r="AD82" s="88">
        <f t="shared" si="18"/>
        <v>24726674.02242472</v>
      </c>
      <c r="AE82" s="89">
        <f t="shared" si="26"/>
        <v>1400038714.8388863</v>
      </c>
    </row>
    <row r="83" spans="1:31" ht="13.5" customHeight="1" x14ac:dyDescent="0.2">
      <c r="A83" s="90">
        <v>77</v>
      </c>
      <c r="B83" s="91">
        <v>0</v>
      </c>
      <c r="C83" s="92">
        <v>0</v>
      </c>
      <c r="D83" s="92">
        <f>DADOS!$D$17</f>
        <v>50</v>
      </c>
      <c r="E83" s="93">
        <f t="shared" si="15"/>
        <v>50</v>
      </c>
      <c r="F83" s="81">
        <f t="shared" ref="F83:H83" si="101">B83*$G$2</f>
        <v>0</v>
      </c>
      <c r="G83" s="81">
        <f t="shared" si="101"/>
        <v>0</v>
      </c>
      <c r="H83" s="81">
        <f t="shared" si="101"/>
        <v>30000000</v>
      </c>
      <c r="I83" s="81">
        <f t="shared" si="17"/>
        <v>30000000</v>
      </c>
      <c r="J83" s="94">
        <v>1</v>
      </c>
      <c r="K83" s="81">
        <f t="shared" si="20"/>
        <v>0</v>
      </c>
      <c r="L83" s="95">
        <v>1</v>
      </c>
      <c r="M83" s="81">
        <f t="shared" si="21"/>
        <v>0</v>
      </c>
      <c r="N83" s="95">
        <v>1</v>
      </c>
      <c r="O83" s="81">
        <f t="shared" si="22"/>
        <v>0</v>
      </c>
      <c r="P83" s="89">
        <f t="shared" si="3"/>
        <v>0</v>
      </c>
      <c r="Q83" s="96">
        <f t="shared" si="23"/>
        <v>1980000000</v>
      </c>
      <c r="R83" s="81">
        <f t="shared" si="24"/>
        <v>167854705.19999999</v>
      </c>
      <c r="S83" s="97">
        <f t="shared" si="6"/>
        <v>30000000</v>
      </c>
      <c r="T83" s="89">
        <f t="shared" si="25"/>
        <v>1812145294.8000004</v>
      </c>
      <c r="U83" s="47"/>
      <c r="V83" s="88">
        <f t="shared" si="8"/>
        <v>18726674.022424724</v>
      </c>
      <c r="W83" s="81">
        <f>P83*(1+ANÁLISES!$B$3)</f>
        <v>0</v>
      </c>
      <c r="X83" s="89">
        <f t="shared" si="10"/>
        <v>18726674.022424724</v>
      </c>
      <c r="Z83" s="88">
        <f t="shared" si="11"/>
        <v>24726674.02242472</v>
      </c>
      <c r="AA83" s="81">
        <f t="shared" si="12"/>
        <v>0</v>
      </c>
      <c r="AB83" s="89">
        <f t="shared" si="13"/>
        <v>24726674.02242472</v>
      </c>
      <c r="AD83" s="88">
        <f t="shared" si="18"/>
        <v>24726674.02242472</v>
      </c>
      <c r="AE83" s="89">
        <f t="shared" si="26"/>
        <v>1424765388.861311</v>
      </c>
    </row>
    <row r="84" spans="1:31" ht="13.5" customHeight="1" x14ac:dyDescent="0.2">
      <c r="A84" s="90">
        <v>78</v>
      </c>
      <c r="B84" s="91">
        <v>0</v>
      </c>
      <c r="C84" s="92">
        <v>0</v>
      </c>
      <c r="D84" s="92">
        <f>DADOS!$D$17</f>
        <v>50</v>
      </c>
      <c r="E84" s="93">
        <f t="shared" si="15"/>
        <v>50</v>
      </c>
      <c r="F84" s="81">
        <f t="shared" ref="F84:H84" si="102">B84*$G$2</f>
        <v>0</v>
      </c>
      <c r="G84" s="81">
        <f t="shared" si="102"/>
        <v>0</v>
      </c>
      <c r="H84" s="81">
        <f t="shared" si="102"/>
        <v>30000000</v>
      </c>
      <c r="I84" s="81">
        <f t="shared" si="17"/>
        <v>30000000</v>
      </c>
      <c r="J84" s="94">
        <v>1</v>
      </c>
      <c r="K84" s="81">
        <f t="shared" si="20"/>
        <v>0</v>
      </c>
      <c r="L84" s="95">
        <v>1</v>
      </c>
      <c r="M84" s="81">
        <f t="shared" si="21"/>
        <v>0</v>
      </c>
      <c r="N84" s="95">
        <v>1</v>
      </c>
      <c r="O84" s="81">
        <f t="shared" si="22"/>
        <v>0</v>
      </c>
      <c r="P84" s="89">
        <f t="shared" si="3"/>
        <v>0</v>
      </c>
      <c r="Q84" s="96">
        <f t="shared" si="23"/>
        <v>2010000000</v>
      </c>
      <c r="R84" s="81">
        <f t="shared" si="24"/>
        <v>167854705.19999999</v>
      </c>
      <c r="S84" s="97">
        <f t="shared" si="6"/>
        <v>30000000</v>
      </c>
      <c r="T84" s="89">
        <f t="shared" si="25"/>
        <v>1842145294.8000004</v>
      </c>
      <c r="U84" s="47"/>
      <c r="V84" s="88">
        <f t="shared" si="8"/>
        <v>18726674.022424724</v>
      </c>
      <c r="W84" s="81">
        <f>P84*(1+ANÁLISES!$B$3)</f>
        <v>0</v>
      </c>
      <c r="X84" s="89">
        <f t="shared" si="10"/>
        <v>18726674.022424724</v>
      </c>
      <c r="Z84" s="88">
        <f t="shared" si="11"/>
        <v>24726674.02242472</v>
      </c>
      <c r="AA84" s="81">
        <f t="shared" si="12"/>
        <v>0</v>
      </c>
      <c r="AB84" s="89">
        <f t="shared" si="13"/>
        <v>24726674.02242472</v>
      </c>
      <c r="AD84" s="88">
        <f t="shared" si="18"/>
        <v>24726674.02242472</v>
      </c>
      <c r="AE84" s="89">
        <f t="shared" si="26"/>
        <v>1449492062.8837357</v>
      </c>
    </row>
    <row r="85" spans="1:31" ht="13.5" customHeight="1" x14ac:dyDescent="0.2">
      <c r="A85" s="90">
        <v>79</v>
      </c>
      <c r="B85" s="91">
        <v>0</v>
      </c>
      <c r="C85" s="92">
        <v>0</v>
      </c>
      <c r="D85" s="92">
        <f>DADOS!$D$17</f>
        <v>50</v>
      </c>
      <c r="E85" s="93">
        <f t="shared" si="15"/>
        <v>50</v>
      </c>
      <c r="F85" s="81">
        <f t="shared" ref="F85:H85" si="103">B85*$G$2</f>
        <v>0</v>
      </c>
      <c r="G85" s="81">
        <f t="shared" si="103"/>
        <v>0</v>
      </c>
      <c r="H85" s="81">
        <f t="shared" si="103"/>
        <v>30000000</v>
      </c>
      <c r="I85" s="81">
        <f t="shared" si="17"/>
        <v>30000000</v>
      </c>
      <c r="J85" s="94">
        <v>1</v>
      </c>
      <c r="K85" s="81">
        <f t="shared" si="20"/>
        <v>0</v>
      </c>
      <c r="L85" s="95">
        <v>1</v>
      </c>
      <c r="M85" s="81">
        <f t="shared" si="21"/>
        <v>0</v>
      </c>
      <c r="N85" s="95">
        <v>1</v>
      </c>
      <c r="O85" s="81">
        <f t="shared" si="22"/>
        <v>0</v>
      </c>
      <c r="P85" s="89">
        <f t="shared" si="3"/>
        <v>0</v>
      </c>
      <c r="Q85" s="96">
        <f t="shared" si="23"/>
        <v>2040000000</v>
      </c>
      <c r="R85" s="81">
        <f t="shared" si="24"/>
        <v>167854705.19999999</v>
      </c>
      <c r="S85" s="97">
        <f t="shared" si="6"/>
        <v>30000000</v>
      </c>
      <c r="T85" s="89">
        <f t="shared" si="25"/>
        <v>1872145294.8000004</v>
      </c>
      <c r="U85" s="47"/>
      <c r="V85" s="88">
        <f t="shared" si="8"/>
        <v>18726674.022424724</v>
      </c>
      <c r="W85" s="81">
        <f>P85*(1+ANÁLISES!$B$3)</f>
        <v>0</v>
      </c>
      <c r="X85" s="89">
        <f t="shared" si="10"/>
        <v>18726674.022424724</v>
      </c>
      <c r="Z85" s="88">
        <f t="shared" si="11"/>
        <v>24726674.02242472</v>
      </c>
      <c r="AA85" s="81">
        <f t="shared" si="12"/>
        <v>0</v>
      </c>
      <c r="AB85" s="89">
        <f t="shared" si="13"/>
        <v>24726674.02242472</v>
      </c>
      <c r="AD85" s="88">
        <f t="shared" si="18"/>
        <v>24726674.02242472</v>
      </c>
      <c r="AE85" s="89">
        <f t="shared" si="26"/>
        <v>1474218736.9061604</v>
      </c>
    </row>
    <row r="86" spans="1:31" ht="13.5" customHeight="1" x14ac:dyDescent="0.2">
      <c r="A86" s="90">
        <v>80</v>
      </c>
      <c r="B86" s="91">
        <v>0</v>
      </c>
      <c r="C86" s="92">
        <v>0</v>
      </c>
      <c r="D86" s="92">
        <f>DADOS!$D$17</f>
        <v>50</v>
      </c>
      <c r="E86" s="93">
        <f t="shared" si="15"/>
        <v>50</v>
      </c>
      <c r="F86" s="81">
        <f t="shared" ref="F86:H86" si="104">B86*$G$2</f>
        <v>0</v>
      </c>
      <c r="G86" s="81">
        <f t="shared" si="104"/>
        <v>0</v>
      </c>
      <c r="H86" s="81">
        <f t="shared" si="104"/>
        <v>30000000</v>
      </c>
      <c r="I86" s="81">
        <f t="shared" si="17"/>
        <v>30000000</v>
      </c>
      <c r="J86" s="94">
        <v>1</v>
      </c>
      <c r="K86" s="81">
        <f t="shared" si="20"/>
        <v>0</v>
      </c>
      <c r="L86" s="95">
        <v>1</v>
      </c>
      <c r="M86" s="81">
        <f t="shared" si="21"/>
        <v>0</v>
      </c>
      <c r="N86" s="95">
        <v>1</v>
      </c>
      <c r="O86" s="81">
        <f t="shared" si="22"/>
        <v>0</v>
      </c>
      <c r="P86" s="89">
        <f t="shared" si="3"/>
        <v>0</v>
      </c>
      <c r="Q86" s="96">
        <f t="shared" si="23"/>
        <v>2070000000</v>
      </c>
      <c r="R86" s="81">
        <f t="shared" si="24"/>
        <v>167854705.19999999</v>
      </c>
      <c r="S86" s="97">
        <f t="shared" si="6"/>
        <v>30000000</v>
      </c>
      <c r="T86" s="89">
        <f t="shared" si="25"/>
        <v>1902145294.8000004</v>
      </c>
      <c r="U86" s="47"/>
      <c r="V86" s="88">
        <f t="shared" si="8"/>
        <v>18726674.022424724</v>
      </c>
      <c r="W86" s="81">
        <f>P86*(1+ANÁLISES!$B$3)</f>
        <v>0</v>
      </c>
      <c r="X86" s="89">
        <f t="shared" si="10"/>
        <v>18726674.022424724</v>
      </c>
      <c r="Z86" s="88">
        <f t="shared" si="11"/>
        <v>24726674.02242472</v>
      </c>
      <c r="AA86" s="81">
        <f t="shared" si="12"/>
        <v>0</v>
      </c>
      <c r="AB86" s="89">
        <f t="shared" si="13"/>
        <v>24726674.02242472</v>
      </c>
      <c r="AD86" s="88">
        <f t="shared" si="18"/>
        <v>24726674.02242472</v>
      </c>
      <c r="AE86" s="89">
        <f t="shared" si="26"/>
        <v>1498945410.9285851</v>
      </c>
    </row>
    <row r="87" spans="1:31" ht="13.5" customHeight="1" x14ac:dyDescent="0.2">
      <c r="A87" s="90">
        <v>81</v>
      </c>
      <c r="B87" s="91">
        <v>0</v>
      </c>
      <c r="C87" s="92">
        <v>0</v>
      </c>
      <c r="D87" s="92">
        <f>DADOS!$D$17</f>
        <v>50</v>
      </c>
      <c r="E87" s="93">
        <f t="shared" si="15"/>
        <v>50</v>
      </c>
      <c r="F87" s="81">
        <f t="shared" ref="F87:H87" si="105">B87*$G$2</f>
        <v>0</v>
      </c>
      <c r="G87" s="81">
        <f t="shared" si="105"/>
        <v>0</v>
      </c>
      <c r="H87" s="81">
        <f t="shared" si="105"/>
        <v>30000000</v>
      </c>
      <c r="I87" s="81">
        <f t="shared" si="17"/>
        <v>30000000</v>
      </c>
      <c r="J87" s="94">
        <v>1</v>
      </c>
      <c r="K87" s="81">
        <f t="shared" si="20"/>
        <v>0</v>
      </c>
      <c r="L87" s="95">
        <v>1</v>
      </c>
      <c r="M87" s="81">
        <f t="shared" si="21"/>
        <v>0</v>
      </c>
      <c r="N87" s="95">
        <v>1</v>
      </c>
      <c r="O87" s="81">
        <f t="shared" si="22"/>
        <v>0</v>
      </c>
      <c r="P87" s="89">
        <f t="shared" si="3"/>
        <v>0</v>
      </c>
      <c r="Q87" s="96">
        <f t="shared" si="23"/>
        <v>2100000000</v>
      </c>
      <c r="R87" s="81">
        <f t="shared" si="24"/>
        <v>167854705.19999999</v>
      </c>
      <c r="S87" s="97">
        <f t="shared" si="6"/>
        <v>30000000</v>
      </c>
      <c r="T87" s="89">
        <f t="shared" si="25"/>
        <v>1932145294.8000004</v>
      </c>
      <c r="U87" s="47"/>
      <c r="V87" s="88">
        <f t="shared" si="8"/>
        <v>18726674.022424724</v>
      </c>
      <c r="W87" s="81">
        <f>P87*(1+ANÁLISES!$B$3)</f>
        <v>0</v>
      </c>
      <c r="X87" s="89">
        <f t="shared" si="10"/>
        <v>18726674.022424724</v>
      </c>
      <c r="Z87" s="88">
        <f t="shared" si="11"/>
        <v>24726674.02242472</v>
      </c>
      <c r="AA87" s="81">
        <f t="shared" si="12"/>
        <v>0</v>
      </c>
      <c r="AB87" s="89">
        <f t="shared" si="13"/>
        <v>24726674.02242472</v>
      </c>
      <c r="AD87" s="88">
        <f t="shared" si="18"/>
        <v>24726674.02242472</v>
      </c>
      <c r="AE87" s="89">
        <f t="shared" si="26"/>
        <v>1523672084.9510098</v>
      </c>
    </row>
    <row r="88" spans="1:31" ht="13.5" customHeight="1" x14ac:dyDescent="0.2">
      <c r="A88" s="90">
        <v>82</v>
      </c>
      <c r="B88" s="91">
        <v>0</v>
      </c>
      <c r="C88" s="92">
        <v>0</v>
      </c>
      <c r="D88" s="92">
        <f>DADOS!$D$17</f>
        <v>50</v>
      </c>
      <c r="E88" s="93">
        <f t="shared" si="15"/>
        <v>50</v>
      </c>
      <c r="F88" s="81">
        <f t="shared" ref="F88:H88" si="106">B88*$G$2</f>
        <v>0</v>
      </c>
      <c r="G88" s="81">
        <f t="shared" si="106"/>
        <v>0</v>
      </c>
      <c r="H88" s="81">
        <f t="shared" si="106"/>
        <v>30000000</v>
      </c>
      <c r="I88" s="81">
        <f t="shared" si="17"/>
        <v>30000000</v>
      </c>
      <c r="J88" s="94">
        <v>1</v>
      </c>
      <c r="K88" s="81">
        <f t="shared" si="20"/>
        <v>0</v>
      </c>
      <c r="L88" s="95">
        <v>1</v>
      </c>
      <c r="M88" s="81">
        <f t="shared" si="21"/>
        <v>0</v>
      </c>
      <c r="N88" s="95">
        <v>1</v>
      </c>
      <c r="O88" s="81">
        <f t="shared" si="22"/>
        <v>0</v>
      </c>
      <c r="P88" s="89">
        <f t="shared" si="3"/>
        <v>0</v>
      </c>
      <c r="Q88" s="96">
        <f t="shared" si="23"/>
        <v>2130000000</v>
      </c>
      <c r="R88" s="81">
        <f t="shared" si="24"/>
        <v>167854705.19999999</v>
      </c>
      <c r="S88" s="97">
        <f t="shared" si="6"/>
        <v>30000000</v>
      </c>
      <c r="T88" s="89">
        <f t="shared" si="25"/>
        <v>1962145294.8000004</v>
      </c>
      <c r="U88" s="47"/>
      <c r="V88" s="88">
        <f t="shared" si="8"/>
        <v>18726674.022424724</v>
      </c>
      <c r="W88" s="81">
        <f>P88*(1+ANÁLISES!$B$3)</f>
        <v>0</v>
      </c>
      <c r="X88" s="89">
        <f t="shared" si="10"/>
        <v>18726674.022424724</v>
      </c>
      <c r="Z88" s="88">
        <f t="shared" si="11"/>
        <v>24726674.02242472</v>
      </c>
      <c r="AA88" s="81">
        <f t="shared" si="12"/>
        <v>0</v>
      </c>
      <c r="AB88" s="89">
        <f t="shared" si="13"/>
        <v>24726674.02242472</v>
      </c>
      <c r="AD88" s="88">
        <f t="shared" si="18"/>
        <v>24726674.02242472</v>
      </c>
      <c r="AE88" s="89">
        <f t="shared" si="26"/>
        <v>1548398758.9734344</v>
      </c>
    </row>
    <row r="89" spans="1:31" ht="13.5" customHeight="1" x14ac:dyDescent="0.2">
      <c r="A89" s="90">
        <v>83</v>
      </c>
      <c r="B89" s="91">
        <v>0</v>
      </c>
      <c r="C89" s="92">
        <v>0</v>
      </c>
      <c r="D89" s="92">
        <f>DADOS!$D$17</f>
        <v>50</v>
      </c>
      <c r="E89" s="93">
        <f t="shared" si="15"/>
        <v>50</v>
      </c>
      <c r="F89" s="81">
        <f t="shared" ref="F89:H89" si="107">B89*$G$2</f>
        <v>0</v>
      </c>
      <c r="G89" s="81">
        <f t="shared" si="107"/>
        <v>0</v>
      </c>
      <c r="H89" s="81">
        <f t="shared" si="107"/>
        <v>30000000</v>
      </c>
      <c r="I89" s="81">
        <f t="shared" si="17"/>
        <v>30000000</v>
      </c>
      <c r="J89" s="94">
        <v>1</v>
      </c>
      <c r="K89" s="81">
        <f t="shared" si="20"/>
        <v>0</v>
      </c>
      <c r="L89" s="95">
        <v>1</v>
      </c>
      <c r="M89" s="81">
        <f t="shared" si="21"/>
        <v>0</v>
      </c>
      <c r="N89" s="95">
        <v>1</v>
      </c>
      <c r="O89" s="81">
        <f t="shared" si="22"/>
        <v>0</v>
      </c>
      <c r="P89" s="89">
        <f t="shared" si="3"/>
        <v>0</v>
      </c>
      <c r="Q89" s="96">
        <f t="shared" si="23"/>
        <v>2160000000</v>
      </c>
      <c r="R89" s="81">
        <f t="shared" si="24"/>
        <v>167854705.19999999</v>
      </c>
      <c r="S89" s="97">
        <f t="shared" si="6"/>
        <v>30000000</v>
      </c>
      <c r="T89" s="89">
        <f t="shared" si="25"/>
        <v>1992145294.8000004</v>
      </c>
      <c r="U89" s="47"/>
      <c r="V89" s="88">
        <f t="shared" si="8"/>
        <v>18726674.022424724</v>
      </c>
      <c r="W89" s="81">
        <f>P89*(1+ANÁLISES!$B$3)</f>
        <v>0</v>
      </c>
      <c r="X89" s="89">
        <f t="shared" si="10"/>
        <v>18726674.022424724</v>
      </c>
      <c r="Z89" s="88">
        <f t="shared" si="11"/>
        <v>24726674.02242472</v>
      </c>
      <c r="AA89" s="81">
        <f t="shared" si="12"/>
        <v>0</v>
      </c>
      <c r="AB89" s="89">
        <f t="shared" si="13"/>
        <v>24726674.02242472</v>
      </c>
      <c r="AD89" s="88">
        <f t="shared" si="18"/>
        <v>24726674.02242472</v>
      </c>
      <c r="AE89" s="89">
        <f t="shared" si="26"/>
        <v>1573125432.9958591</v>
      </c>
    </row>
    <row r="90" spans="1:31" ht="13.5" customHeight="1" x14ac:dyDescent="0.2">
      <c r="A90" s="90">
        <v>84</v>
      </c>
      <c r="B90" s="91">
        <v>0</v>
      </c>
      <c r="C90" s="92">
        <v>0</v>
      </c>
      <c r="D90" s="92">
        <f>DADOS!$D$17</f>
        <v>50</v>
      </c>
      <c r="E90" s="93">
        <f t="shared" si="15"/>
        <v>50</v>
      </c>
      <c r="F90" s="81">
        <f t="shared" ref="F90:H90" si="108">B90*$G$2</f>
        <v>0</v>
      </c>
      <c r="G90" s="81">
        <f t="shared" si="108"/>
        <v>0</v>
      </c>
      <c r="H90" s="81">
        <f t="shared" si="108"/>
        <v>30000000</v>
      </c>
      <c r="I90" s="81">
        <f t="shared" si="17"/>
        <v>30000000</v>
      </c>
      <c r="J90" s="94">
        <v>1</v>
      </c>
      <c r="K90" s="81">
        <f t="shared" si="20"/>
        <v>0</v>
      </c>
      <c r="L90" s="95">
        <v>1</v>
      </c>
      <c r="M90" s="81">
        <f t="shared" si="21"/>
        <v>0</v>
      </c>
      <c r="N90" s="95">
        <v>1</v>
      </c>
      <c r="O90" s="81">
        <f t="shared" si="22"/>
        <v>0</v>
      </c>
      <c r="P90" s="89">
        <f t="shared" si="3"/>
        <v>0</v>
      </c>
      <c r="Q90" s="96">
        <f t="shared" si="23"/>
        <v>2190000000</v>
      </c>
      <c r="R90" s="81">
        <f t="shared" si="24"/>
        <v>167854705.19999999</v>
      </c>
      <c r="S90" s="97">
        <f t="shared" si="6"/>
        <v>30000000</v>
      </c>
      <c r="T90" s="89">
        <f t="shared" si="25"/>
        <v>2022145294.8000004</v>
      </c>
      <c r="U90" s="47"/>
      <c r="V90" s="88">
        <f t="shared" si="8"/>
        <v>18726674.022424724</v>
      </c>
      <c r="W90" s="81">
        <f>P90*(1+ANÁLISES!$B$3)</f>
        <v>0</v>
      </c>
      <c r="X90" s="89">
        <f t="shared" si="10"/>
        <v>18726674.022424724</v>
      </c>
      <c r="Z90" s="88">
        <f t="shared" si="11"/>
        <v>24726674.02242472</v>
      </c>
      <c r="AA90" s="81">
        <f t="shared" si="12"/>
        <v>0</v>
      </c>
      <c r="AB90" s="89">
        <f t="shared" si="13"/>
        <v>24726674.02242472</v>
      </c>
      <c r="AD90" s="88">
        <f t="shared" si="18"/>
        <v>24726674.02242472</v>
      </c>
      <c r="AE90" s="89">
        <f t="shared" si="26"/>
        <v>1597852107.0182838</v>
      </c>
    </row>
    <row r="91" spans="1:31" ht="13.5" customHeight="1" x14ac:dyDescent="0.2">
      <c r="A91" s="90">
        <v>85</v>
      </c>
      <c r="B91" s="91">
        <v>0</v>
      </c>
      <c r="C91" s="92">
        <v>0</v>
      </c>
      <c r="D91" s="92">
        <f>DADOS!$D$17</f>
        <v>50</v>
      </c>
      <c r="E91" s="93">
        <f t="shared" si="15"/>
        <v>50</v>
      </c>
      <c r="F91" s="81">
        <f t="shared" ref="F91:H91" si="109">B91*$G$2</f>
        <v>0</v>
      </c>
      <c r="G91" s="81">
        <f t="shared" si="109"/>
        <v>0</v>
      </c>
      <c r="H91" s="81">
        <f t="shared" si="109"/>
        <v>30000000</v>
      </c>
      <c r="I91" s="81">
        <f t="shared" si="17"/>
        <v>30000000</v>
      </c>
      <c r="J91" s="94">
        <v>1</v>
      </c>
      <c r="K91" s="81">
        <f t="shared" si="20"/>
        <v>0</v>
      </c>
      <c r="L91" s="95">
        <v>1</v>
      </c>
      <c r="M91" s="81">
        <f t="shared" si="21"/>
        <v>0</v>
      </c>
      <c r="N91" s="95">
        <v>1</v>
      </c>
      <c r="O91" s="81">
        <f t="shared" si="22"/>
        <v>0</v>
      </c>
      <c r="P91" s="89">
        <f t="shared" si="3"/>
        <v>0</v>
      </c>
      <c r="Q91" s="96">
        <f t="shared" si="23"/>
        <v>2220000000</v>
      </c>
      <c r="R91" s="81">
        <f t="shared" si="24"/>
        <v>167854705.19999999</v>
      </c>
      <c r="S91" s="97">
        <f t="shared" si="6"/>
        <v>30000000</v>
      </c>
      <c r="T91" s="89">
        <f t="shared" si="25"/>
        <v>2052145294.8000004</v>
      </c>
      <c r="U91" s="47"/>
      <c r="V91" s="88">
        <f t="shared" si="8"/>
        <v>18726674.022424724</v>
      </c>
      <c r="W91" s="81">
        <f>P91*(1+ANÁLISES!$B$3)</f>
        <v>0</v>
      </c>
      <c r="X91" s="89">
        <f t="shared" si="10"/>
        <v>18726674.022424724</v>
      </c>
      <c r="Z91" s="88">
        <f t="shared" si="11"/>
        <v>24726674.02242472</v>
      </c>
      <c r="AA91" s="81">
        <f t="shared" si="12"/>
        <v>0</v>
      </c>
      <c r="AB91" s="89">
        <f t="shared" si="13"/>
        <v>24726674.02242472</v>
      </c>
      <c r="AD91" s="88">
        <f t="shared" si="18"/>
        <v>24726674.02242472</v>
      </c>
      <c r="AE91" s="89">
        <f t="shared" si="26"/>
        <v>1622578781.0407085</v>
      </c>
    </row>
    <row r="92" spans="1:31" ht="13.5" customHeight="1" x14ac:dyDescent="0.2">
      <c r="A92" s="90">
        <v>86</v>
      </c>
      <c r="B92" s="91">
        <v>0</v>
      </c>
      <c r="C92" s="92">
        <v>0</v>
      </c>
      <c r="D92" s="92">
        <f>DADOS!$D$17</f>
        <v>50</v>
      </c>
      <c r="E92" s="93">
        <f t="shared" si="15"/>
        <v>50</v>
      </c>
      <c r="F92" s="81">
        <f t="shared" ref="F92:H92" si="110">B92*$G$2</f>
        <v>0</v>
      </c>
      <c r="G92" s="81">
        <f t="shared" si="110"/>
        <v>0</v>
      </c>
      <c r="H92" s="81">
        <f t="shared" si="110"/>
        <v>30000000</v>
      </c>
      <c r="I92" s="81">
        <f t="shared" si="17"/>
        <v>30000000</v>
      </c>
      <c r="J92" s="94">
        <v>1</v>
      </c>
      <c r="K92" s="81">
        <f t="shared" si="20"/>
        <v>0</v>
      </c>
      <c r="L92" s="95">
        <v>1</v>
      </c>
      <c r="M92" s="81">
        <f t="shared" si="21"/>
        <v>0</v>
      </c>
      <c r="N92" s="95">
        <v>1</v>
      </c>
      <c r="O92" s="81">
        <f t="shared" si="22"/>
        <v>0</v>
      </c>
      <c r="P92" s="89">
        <f t="shared" si="3"/>
        <v>0</v>
      </c>
      <c r="Q92" s="96">
        <f t="shared" si="23"/>
        <v>2250000000</v>
      </c>
      <c r="R92" s="81">
        <f t="shared" si="24"/>
        <v>167854705.19999999</v>
      </c>
      <c r="S92" s="97">
        <f t="shared" si="6"/>
        <v>30000000</v>
      </c>
      <c r="T92" s="89">
        <f t="shared" si="25"/>
        <v>2082145294.8000004</v>
      </c>
      <c r="U92" s="47"/>
      <c r="V92" s="88">
        <f t="shared" si="8"/>
        <v>18726674.022424724</v>
      </c>
      <c r="W92" s="81">
        <f>P92*(1+ANÁLISES!$B$3)</f>
        <v>0</v>
      </c>
      <c r="X92" s="89">
        <f t="shared" si="10"/>
        <v>18726674.022424724</v>
      </c>
      <c r="Z92" s="88">
        <f t="shared" si="11"/>
        <v>24726674.02242472</v>
      </c>
      <c r="AA92" s="81">
        <f t="shared" si="12"/>
        <v>0</v>
      </c>
      <c r="AB92" s="89">
        <f t="shared" si="13"/>
        <v>24726674.02242472</v>
      </c>
      <c r="AD92" s="88">
        <f t="shared" si="18"/>
        <v>24726674.02242472</v>
      </c>
      <c r="AE92" s="89">
        <f t="shared" si="26"/>
        <v>1647305455.0631332</v>
      </c>
    </row>
    <row r="93" spans="1:31" ht="13.5" customHeight="1" x14ac:dyDescent="0.2">
      <c r="A93" s="90">
        <v>87</v>
      </c>
      <c r="B93" s="91">
        <v>0</v>
      </c>
      <c r="C93" s="92">
        <v>0</v>
      </c>
      <c r="D93" s="92">
        <f>DADOS!$D$17</f>
        <v>50</v>
      </c>
      <c r="E93" s="93">
        <f t="shared" si="15"/>
        <v>50</v>
      </c>
      <c r="F93" s="81">
        <f t="shared" ref="F93:H93" si="111">B93*$G$2</f>
        <v>0</v>
      </c>
      <c r="G93" s="81">
        <f t="shared" si="111"/>
        <v>0</v>
      </c>
      <c r="H93" s="81">
        <f t="shared" si="111"/>
        <v>30000000</v>
      </c>
      <c r="I93" s="81">
        <f t="shared" si="17"/>
        <v>30000000</v>
      </c>
      <c r="J93" s="94">
        <v>1</v>
      </c>
      <c r="K93" s="81">
        <f t="shared" si="20"/>
        <v>0</v>
      </c>
      <c r="L93" s="95">
        <v>1</v>
      </c>
      <c r="M93" s="81">
        <f t="shared" si="21"/>
        <v>0</v>
      </c>
      <c r="N93" s="95">
        <v>1</v>
      </c>
      <c r="O93" s="81">
        <f t="shared" si="22"/>
        <v>0</v>
      </c>
      <c r="P93" s="89">
        <f t="shared" si="3"/>
        <v>0</v>
      </c>
      <c r="Q93" s="96">
        <f t="shared" si="23"/>
        <v>2280000000</v>
      </c>
      <c r="R93" s="81">
        <f t="shared" si="24"/>
        <v>167854705.19999999</v>
      </c>
      <c r="S93" s="97">
        <f t="shared" si="6"/>
        <v>30000000</v>
      </c>
      <c r="T93" s="89">
        <f t="shared" si="25"/>
        <v>2112145294.8000004</v>
      </c>
      <c r="U93" s="47"/>
      <c r="V93" s="88">
        <f t="shared" si="8"/>
        <v>18726674.022424724</v>
      </c>
      <c r="W93" s="81">
        <f>P93*(1+ANÁLISES!$B$3)</f>
        <v>0</v>
      </c>
      <c r="X93" s="89">
        <f t="shared" si="10"/>
        <v>18726674.022424724</v>
      </c>
      <c r="Z93" s="88">
        <f t="shared" si="11"/>
        <v>24726674.02242472</v>
      </c>
      <c r="AA93" s="81">
        <f t="shared" si="12"/>
        <v>0</v>
      </c>
      <c r="AB93" s="89">
        <f t="shared" si="13"/>
        <v>24726674.02242472</v>
      </c>
      <c r="AD93" s="88">
        <f t="shared" si="18"/>
        <v>24726674.02242472</v>
      </c>
      <c r="AE93" s="89">
        <f t="shared" si="26"/>
        <v>1672032129.0855579</v>
      </c>
    </row>
    <row r="94" spans="1:31" ht="13.5" customHeight="1" x14ac:dyDescent="0.2">
      <c r="A94" s="90">
        <v>88</v>
      </c>
      <c r="B94" s="91">
        <v>0</v>
      </c>
      <c r="C94" s="92">
        <v>0</v>
      </c>
      <c r="D94" s="92">
        <f>DADOS!$D$17</f>
        <v>50</v>
      </c>
      <c r="E94" s="93">
        <f t="shared" si="15"/>
        <v>50</v>
      </c>
      <c r="F94" s="81">
        <f t="shared" ref="F94:H94" si="112">B94*$G$2</f>
        <v>0</v>
      </c>
      <c r="G94" s="81">
        <f t="shared" si="112"/>
        <v>0</v>
      </c>
      <c r="H94" s="81">
        <f t="shared" si="112"/>
        <v>30000000</v>
      </c>
      <c r="I94" s="81">
        <f t="shared" si="17"/>
        <v>30000000</v>
      </c>
      <c r="J94" s="94">
        <v>1</v>
      </c>
      <c r="K94" s="81">
        <f t="shared" si="20"/>
        <v>0</v>
      </c>
      <c r="L94" s="95">
        <v>1</v>
      </c>
      <c r="M94" s="81">
        <f t="shared" si="21"/>
        <v>0</v>
      </c>
      <c r="N94" s="95">
        <v>1</v>
      </c>
      <c r="O94" s="81">
        <f t="shared" si="22"/>
        <v>0</v>
      </c>
      <c r="P94" s="89">
        <f t="shared" si="3"/>
        <v>0</v>
      </c>
      <c r="Q94" s="96">
        <f t="shared" si="23"/>
        <v>2310000000</v>
      </c>
      <c r="R94" s="81">
        <f t="shared" si="24"/>
        <v>167854705.19999999</v>
      </c>
      <c r="S94" s="97">
        <f t="shared" si="6"/>
        <v>30000000</v>
      </c>
      <c r="T94" s="89">
        <f t="shared" si="25"/>
        <v>2142145294.8000004</v>
      </c>
      <c r="V94" s="88">
        <f t="shared" si="8"/>
        <v>18726674.022424724</v>
      </c>
      <c r="W94" s="81">
        <f>P94*(1+ANÁLISES!$B$3)</f>
        <v>0</v>
      </c>
      <c r="X94" s="89">
        <f t="shared" si="10"/>
        <v>18726674.022424724</v>
      </c>
      <c r="Z94" s="88">
        <f t="shared" si="11"/>
        <v>24726674.02242472</v>
      </c>
      <c r="AA94" s="81">
        <f t="shared" si="12"/>
        <v>0</v>
      </c>
      <c r="AB94" s="89">
        <f t="shared" si="13"/>
        <v>24726674.02242472</v>
      </c>
      <c r="AD94" s="88">
        <f t="shared" si="18"/>
        <v>24726674.02242472</v>
      </c>
      <c r="AE94" s="89">
        <f t="shared" si="26"/>
        <v>1696758803.1079826</v>
      </c>
    </row>
    <row r="95" spans="1:31" ht="13.5" customHeight="1" x14ac:dyDescent="0.2">
      <c r="A95" s="90">
        <v>89</v>
      </c>
      <c r="B95" s="91">
        <v>0</v>
      </c>
      <c r="C95" s="92">
        <v>0</v>
      </c>
      <c r="D95" s="92">
        <f>DADOS!$D$17</f>
        <v>50</v>
      </c>
      <c r="E95" s="93">
        <f t="shared" si="15"/>
        <v>50</v>
      </c>
      <c r="F95" s="81">
        <f t="shared" ref="F95:H95" si="113">B95*$G$2</f>
        <v>0</v>
      </c>
      <c r="G95" s="81">
        <f t="shared" si="113"/>
        <v>0</v>
      </c>
      <c r="H95" s="81">
        <f t="shared" si="113"/>
        <v>30000000</v>
      </c>
      <c r="I95" s="81">
        <f t="shared" si="17"/>
        <v>30000000</v>
      </c>
      <c r="J95" s="94">
        <v>1</v>
      </c>
      <c r="K95" s="81">
        <f t="shared" si="20"/>
        <v>0</v>
      </c>
      <c r="L95" s="95">
        <v>1</v>
      </c>
      <c r="M95" s="81">
        <f t="shared" si="21"/>
        <v>0</v>
      </c>
      <c r="N95" s="95">
        <v>1</v>
      </c>
      <c r="O95" s="81">
        <f t="shared" si="22"/>
        <v>0</v>
      </c>
      <c r="P95" s="89">
        <f t="shared" si="3"/>
        <v>0</v>
      </c>
      <c r="Q95" s="96">
        <f t="shared" si="23"/>
        <v>2340000000</v>
      </c>
      <c r="R95" s="81">
        <f t="shared" si="24"/>
        <v>167854705.19999999</v>
      </c>
      <c r="S95" s="97">
        <f t="shared" si="6"/>
        <v>30000000</v>
      </c>
      <c r="T95" s="89">
        <f t="shared" si="25"/>
        <v>2172145294.8000002</v>
      </c>
      <c r="V95" s="88">
        <f t="shared" si="8"/>
        <v>18726674.022424724</v>
      </c>
      <c r="W95" s="81">
        <f>P95*(1+ANÁLISES!$B$3)</f>
        <v>0</v>
      </c>
      <c r="X95" s="89">
        <f t="shared" si="10"/>
        <v>18726674.022424724</v>
      </c>
      <c r="Z95" s="88">
        <f t="shared" si="11"/>
        <v>24726674.02242472</v>
      </c>
      <c r="AA95" s="81">
        <f t="shared" si="12"/>
        <v>0</v>
      </c>
      <c r="AB95" s="89">
        <f t="shared" si="13"/>
        <v>24726674.02242472</v>
      </c>
      <c r="AD95" s="88">
        <f t="shared" si="18"/>
        <v>24726674.02242472</v>
      </c>
      <c r="AE95" s="89">
        <f t="shared" si="26"/>
        <v>1721485477.1304073</v>
      </c>
    </row>
    <row r="96" spans="1:31" ht="13.5" customHeight="1" x14ac:dyDescent="0.2">
      <c r="A96" s="90">
        <v>90</v>
      </c>
      <c r="B96" s="91">
        <v>0</v>
      </c>
      <c r="C96" s="92">
        <v>0</v>
      </c>
      <c r="D96" s="92">
        <f>DADOS!$D$17</f>
        <v>50</v>
      </c>
      <c r="E96" s="93">
        <f t="shared" si="15"/>
        <v>50</v>
      </c>
      <c r="F96" s="81">
        <f t="shared" ref="F96:H96" si="114">B96*$G$2</f>
        <v>0</v>
      </c>
      <c r="G96" s="81">
        <f t="shared" si="114"/>
        <v>0</v>
      </c>
      <c r="H96" s="81">
        <f t="shared" si="114"/>
        <v>30000000</v>
      </c>
      <c r="I96" s="81">
        <f t="shared" si="17"/>
        <v>30000000</v>
      </c>
      <c r="J96" s="94">
        <v>1</v>
      </c>
      <c r="K96" s="81">
        <f t="shared" si="20"/>
        <v>0</v>
      </c>
      <c r="L96" s="95">
        <v>1</v>
      </c>
      <c r="M96" s="81">
        <f t="shared" si="21"/>
        <v>0</v>
      </c>
      <c r="N96" s="95">
        <v>1</v>
      </c>
      <c r="O96" s="81">
        <f t="shared" si="22"/>
        <v>0</v>
      </c>
      <c r="P96" s="89">
        <f t="shared" si="3"/>
        <v>0</v>
      </c>
      <c r="Q96" s="96">
        <f t="shared" si="23"/>
        <v>2370000000</v>
      </c>
      <c r="R96" s="81">
        <f t="shared" si="24"/>
        <v>167854705.19999999</v>
      </c>
      <c r="S96" s="97">
        <f t="shared" si="6"/>
        <v>30000000</v>
      </c>
      <c r="T96" s="89">
        <f t="shared" si="25"/>
        <v>2202145294.8000002</v>
      </c>
      <c r="V96" s="88">
        <f t="shared" si="8"/>
        <v>18726674.022424724</v>
      </c>
      <c r="W96" s="81">
        <f>P96*(1+ANÁLISES!$B$3)</f>
        <v>0</v>
      </c>
      <c r="X96" s="89">
        <f t="shared" si="10"/>
        <v>18726674.022424724</v>
      </c>
      <c r="Z96" s="88">
        <f t="shared" si="11"/>
        <v>24726674.02242472</v>
      </c>
      <c r="AA96" s="81">
        <f t="shared" si="12"/>
        <v>0</v>
      </c>
      <c r="AB96" s="89">
        <f t="shared" si="13"/>
        <v>24726674.02242472</v>
      </c>
      <c r="AD96" s="88">
        <f t="shared" si="18"/>
        <v>24726674.02242472</v>
      </c>
      <c r="AE96" s="89">
        <f t="shared" si="26"/>
        <v>1746212151.152832</v>
      </c>
    </row>
    <row r="97" spans="1:31" ht="13.5" customHeight="1" x14ac:dyDescent="0.2">
      <c r="A97" s="90">
        <v>91</v>
      </c>
      <c r="B97" s="91">
        <v>0</v>
      </c>
      <c r="C97" s="92">
        <v>0</v>
      </c>
      <c r="D97" s="92">
        <f>DADOS!$D$17</f>
        <v>50</v>
      </c>
      <c r="E97" s="93">
        <f t="shared" si="15"/>
        <v>50</v>
      </c>
      <c r="F97" s="81">
        <f t="shared" ref="F97:H97" si="115">B97*$G$2</f>
        <v>0</v>
      </c>
      <c r="G97" s="81">
        <f t="shared" si="115"/>
        <v>0</v>
      </c>
      <c r="H97" s="81">
        <f t="shared" si="115"/>
        <v>30000000</v>
      </c>
      <c r="I97" s="81">
        <f t="shared" si="17"/>
        <v>30000000</v>
      </c>
      <c r="J97" s="94">
        <v>1</v>
      </c>
      <c r="K97" s="81">
        <f t="shared" si="20"/>
        <v>0</v>
      </c>
      <c r="L97" s="95">
        <v>1</v>
      </c>
      <c r="M97" s="81">
        <f t="shared" si="21"/>
        <v>0</v>
      </c>
      <c r="N97" s="95">
        <v>1</v>
      </c>
      <c r="O97" s="81">
        <f t="shared" si="22"/>
        <v>0</v>
      </c>
      <c r="P97" s="89">
        <f t="shared" si="3"/>
        <v>0</v>
      </c>
      <c r="Q97" s="96">
        <f t="shared" si="23"/>
        <v>2400000000</v>
      </c>
      <c r="R97" s="81">
        <f t="shared" si="24"/>
        <v>167854705.19999999</v>
      </c>
      <c r="S97" s="97">
        <f t="shared" si="6"/>
        <v>30000000</v>
      </c>
      <c r="T97" s="89">
        <f t="shared" si="25"/>
        <v>2232145294.8000002</v>
      </c>
      <c r="V97" s="88">
        <f t="shared" si="8"/>
        <v>18726674.022424724</v>
      </c>
      <c r="W97" s="81">
        <f>P97*(1+ANÁLISES!$B$3)</f>
        <v>0</v>
      </c>
      <c r="X97" s="89">
        <f t="shared" si="10"/>
        <v>18726674.022424724</v>
      </c>
      <c r="Z97" s="88">
        <f t="shared" si="11"/>
        <v>24726674.02242472</v>
      </c>
      <c r="AA97" s="81">
        <f t="shared" si="12"/>
        <v>0</v>
      </c>
      <c r="AB97" s="89">
        <f t="shared" si="13"/>
        <v>24726674.02242472</v>
      </c>
      <c r="AD97" s="88">
        <f t="shared" si="18"/>
        <v>24726674.02242472</v>
      </c>
      <c r="AE97" s="89">
        <f t="shared" si="26"/>
        <v>1770938825.1752567</v>
      </c>
    </row>
    <row r="98" spans="1:31" ht="13.5" customHeight="1" x14ac:dyDescent="0.2">
      <c r="A98" s="90">
        <v>92</v>
      </c>
      <c r="B98" s="91">
        <v>0</v>
      </c>
      <c r="C98" s="92">
        <v>0</v>
      </c>
      <c r="D98" s="92">
        <f>DADOS!$D$17</f>
        <v>50</v>
      </c>
      <c r="E98" s="93">
        <f t="shared" si="15"/>
        <v>50</v>
      </c>
      <c r="F98" s="81">
        <f t="shared" ref="F98:H98" si="116">B98*$G$2</f>
        <v>0</v>
      </c>
      <c r="G98" s="81">
        <f t="shared" si="116"/>
        <v>0</v>
      </c>
      <c r="H98" s="81">
        <f t="shared" si="116"/>
        <v>30000000</v>
      </c>
      <c r="I98" s="81">
        <f t="shared" si="17"/>
        <v>30000000</v>
      </c>
      <c r="J98" s="94">
        <v>1</v>
      </c>
      <c r="K98" s="81">
        <f t="shared" si="20"/>
        <v>0</v>
      </c>
      <c r="L98" s="95">
        <v>1</v>
      </c>
      <c r="M98" s="81">
        <f t="shared" si="21"/>
        <v>0</v>
      </c>
      <c r="N98" s="95">
        <v>1</v>
      </c>
      <c r="O98" s="81">
        <f t="shared" si="22"/>
        <v>0</v>
      </c>
      <c r="P98" s="89">
        <f t="shared" si="3"/>
        <v>0</v>
      </c>
      <c r="Q98" s="96">
        <f t="shared" si="23"/>
        <v>2430000000</v>
      </c>
      <c r="R98" s="81">
        <f t="shared" si="24"/>
        <v>167854705.19999999</v>
      </c>
      <c r="S98" s="97">
        <f t="shared" si="6"/>
        <v>30000000</v>
      </c>
      <c r="T98" s="89">
        <f t="shared" si="25"/>
        <v>2262145294.8000002</v>
      </c>
      <c r="V98" s="88">
        <f t="shared" si="8"/>
        <v>18726674.022424724</v>
      </c>
      <c r="W98" s="81">
        <f>P98*(1+ANÁLISES!$B$3)</f>
        <v>0</v>
      </c>
      <c r="X98" s="89">
        <f t="shared" si="10"/>
        <v>18726674.022424724</v>
      </c>
      <c r="Z98" s="88">
        <f t="shared" si="11"/>
        <v>24726674.02242472</v>
      </c>
      <c r="AA98" s="81">
        <f t="shared" si="12"/>
        <v>0</v>
      </c>
      <c r="AB98" s="89">
        <f t="shared" si="13"/>
        <v>24726674.02242472</v>
      </c>
      <c r="AD98" s="88">
        <f t="shared" si="18"/>
        <v>24726674.02242472</v>
      </c>
      <c r="AE98" s="89">
        <f t="shared" si="26"/>
        <v>1795665499.1976814</v>
      </c>
    </row>
    <row r="99" spans="1:31" ht="13.5" customHeight="1" x14ac:dyDescent="0.2">
      <c r="A99" s="98">
        <v>93</v>
      </c>
      <c r="B99" s="99">
        <v>0</v>
      </c>
      <c r="C99" s="100">
        <v>0</v>
      </c>
      <c r="D99" s="100">
        <v>50</v>
      </c>
      <c r="E99" s="101">
        <f t="shared" si="15"/>
        <v>50</v>
      </c>
      <c r="F99" s="81">
        <f t="shared" ref="F99:H99" si="117">B99*$G$2</f>
        <v>0</v>
      </c>
      <c r="G99" s="81">
        <f t="shared" si="117"/>
        <v>0</v>
      </c>
      <c r="H99" s="81">
        <f t="shared" si="117"/>
        <v>30000000</v>
      </c>
      <c r="I99" s="81">
        <f t="shared" si="17"/>
        <v>30000000</v>
      </c>
      <c r="J99" s="102">
        <v>1</v>
      </c>
      <c r="K99" s="103">
        <f t="shared" si="20"/>
        <v>0</v>
      </c>
      <c r="L99" s="104">
        <v>1</v>
      </c>
      <c r="M99" s="103">
        <f t="shared" si="21"/>
        <v>0</v>
      </c>
      <c r="N99" s="104">
        <v>1</v>
      </c>
      <c r="O99" s="103">
        <f t="shared" si="22"/>
        <v>0</v>
      </c>
      <c r="P99" s="105">
        <f t="shared" si="3"/>
        <v>0</v>
      </c>
      <c r="Q99" s="106">
        <f t="shared" si="23"/>
        <v>2460000000</v>
      </c>
      <c r="R99" s="103">
        <f t="shared" si="24"/>
        <v>167854705.19999999</v>
      </c>
      <c r="S99" s="107">
        <f t="shared" si="6"/>
        <v>30000000</v>
      </c>
      <c r="T99" s="105">
        <f t="shared" si="25"/>
        <v>2292145294.8000002</v>
      </c>
      <c r="U99" s="47"/>
      <c r="V99" s="108">
        <f t="shared" si="8"/>
        <v>18726674.022424724</v>
      </c>
      <c r="W99" s="103">
        <f>P99*(1+ANÁLISES!$B$3)</f>
        <v>0</v>
      </c>
      <c r="X99" s="105">
        <f t="shared" si="10"/>
        <v>18726674.022424724</v>
      </c>
      <c r="Z99" s="108">
        <f t="shared" si="11"/>
        <v>24726674.02242472</v>
      </c>
      <c r="AA99" s="103">
        <f t="shared" si="12"/>
        <v>0</v>
      </c>
      <c r="AB99" s="105">
        <f t="shared" si="13"/>
        <v>24726674.02242472</v>
      </c>
      <c r="AD99" s="108">
        <f t="shared" si="18"/>
        <v>24726674.02242472</v>
      </c>
      <c r="AE99" s="105">
        <f t="shared" si="26"/>
        <v>1820392173.2201061</v>
      </c>
    </row>
    <row r="100" spans="1:31" ht="13.5" customHeight="1" x14ac:dyDescent="0.2">
      <c r="A100" s="36" t="s">
        <v>94</v>
      </c>
      <c r="B100" s="109">
        <f t="shared" ref="B100:D100" si="118">SUM(B7:B99)</f>
        <v>1052</v>
      </c>
      <c r="C100" s="109">
        <f t="shared" si="118"/>
        <v>1344</v>
      </c>
      <c r="D100" s="109">
        <f t="shared" si="118"/>
        <v>1704</v>
      </c>
      <c r="E100" s="109"/>
      <c r="F100" s="109">
        <f t="shared" ref="F100:I100" si="119">SUM(F7:F99)</f>
        <v>631200000</v>
      </c>
      <c r="G100" s="109">
        <f t="shared" si="119"/>
        <v>806400000</v>
      </c>
      <c r="H100" s="109">
        <f t="shared" si="119"/>
        <v>1022400000</v>
      </c>
      <c r="I100" s="109">
        <f t="shared" si="119"/>
        <v>2460000000</v>
      </c>
      <c r="J100" s="36"/>
      <c r="K100" s="110">
        <f>SUM(K7:K99)</f>
        <v>43069060.943999998</v>
      </c>
      <c r="L100" s="36"/>
      <c r="M100" s="110">
        <f>SUM(M7:M99)</f>
        <v>55023591.168000005</v>
      </c>
      <c r="N100" s="36"/>
      <c r="O100" s="110">
        <f t="shared" ref="O100:P100" si="120">SUM(O7:O99)</f>
        <v>69762053.088000014</v>
      </c>
      <c r="P100" s="110">
        <f t="shared" si="120"/>
        <v>167854705.19999999</v>
      </c>
      <c r="Q100" s="36"/>
      <c r="R100" s="36"/>
      <c r="S100" s="36"/>
      <c r="T100" s="36"/>
      <c r="U100" s="36"/>
      <c r="V100" s="36" t="s">
        <v>38</v>
      </c>
      <c r="W100" s="64">
        <f>ANÁLISES!B5</f>
        <v>0.37577753258584257</v>
      </c>
      <c r="X100" s="204">
        <f>NPV(W2,X7:X99)-Y6</f>
        <v>37115884.16887939</v>
      </c>
      <c r="Y100" s="205" t="s">
        <v>134</v>
      </c>
      <c r="Z100" s="36" t="s">
        <v>38</v>
      </c>
      <c r="AA100" s="64">
        <f>ANÁLISES!B6</f>
        <v>0.17577753258584256</v>
      </c>
      <c r="AB100" s="36"/>
      <c r="AC100" s="36"/>
      <c r="AD100" s="36"/>
      <c r="AE100" s="36"/>
    </row>
    <row r="101" spans="1:31" ht="13.5" customHeight="1" x14ac:dyDescent="0.2">
      <c r="V101" s="36" t="s">
        <v>95</v>
      </c>
      <c r="W101" s="64">
        <f>ANÁLISES!B3</f>
        <v>0.23437169289860338</v>
      </c>
      <c r="Z101" s="36" t="s">
        <v>95</v>
      </c>
      <c r="AA101" s="64">
        <f>W101</f>
        <v>0.23437169289860338</v>
      </c>
      <c r="AD101" s="36" t="s">
        <v>96</v>
      </c>
      <c r="AE101" s="111">
        <f>IRR(AD6:AD99)</f>
        <v>9.4952773291030468E-3</v>
      </c>
    </row>
    <row r="102" spans="1:31" ht="13.5" customHeight="1" x14ac:dyDescent="0.2">
      <c r="W102" s="36" t="s">
        <v>97</v>
      </c>
      <c r="X102" s="112">
        <f>NPV(W2,X7:X99)+X7</f>
        <v>954137433.33767736</v>
      </c>
      <c r="AA102" s="36" t="s">
        <v>97</v>
      </c>
      <c r="AB102" s="112">
        <f t="array" ref="AB102">NPV(AA2,AB7:AB99)+AB6</f>
        <v>1107571925.6063113</v>
      </c>
    </row>
    <row r="103" spans="1:31" ht="13.5" customHeight="1" x14ac:dyDescent="0.2">
      <c r="X103" s="209">
        <f>NPV(AA1,X7:X99)</f>
        <v>840665920.67225182</v>
      </c>
      <c r="Y103" s="208">
        <v>1033476897.7367986</v>
      </c>
      <c r="AD103" s="161" t="s">
        <v>97</v>
      </c>
      <c r="AE103" s="202">
        <f>NPV(AA2,AD7:AD99)+AD6</f>
        <v>0</v>
      </c>
    </row>
    <row r="104" spans="1:31" ht="13.5" customHeight="1" x14ac:dyDescent="0.2"/>
    <row r="105" spans="1:31" ht="13.5" customHeight="1" x14ac:dyDescent="0.2"/>
    <row r="106" spans="1:31" ht="13.5" customHeight="1" x14ac:dyDescent="0.2"/>
    <row r="107" spans="1:31" ht="13.5" customHeight="1" x14ac:dyDescent="0.2"/>
    <row r="108" spans="1:31" ht="13.5" customHeight="1" x14ac:dyDescent="0.2"/>
    <row r="109" spans="1:31" ht="13.5" customHeight="1" x14ac:dyDescent="0.2"/>
    <row r="110" spans="1:31" ht="13.5" customHeight="1" x14ac:dyDescent="0.2"/>
    <row r="111" spans="1:31" ht="13.5" customHeight="1" x14ac:dyDescent="0.2"/>
    <row r="112" spans="1:31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</sheetData>
  <mergeCells count="22">
    <mergeCell ref="A3:A5"/>
    <mergeCell ref="B3:E4"/>
    <mergeCell ref="J3:P3"/>
    <mergeCell ref="Q3:T3"/>
    <mergeCell ref="V3:X3"/>
    <mergeCell ref="Q4:Q5"/>
    <mergeCell ref="R4:R5"/>
    <mergeCell ref="S4:S5"/>
    <mergeCell ref="T4:T5"/>
    <mergeCell ref="V4:V5"/>
    <mergeCell ref="F3:I4"/>
    <mergeCell ref="J4:K4"/>
    <mergeCell ref="L4:M4"/>
    <mergeCell ref="N4:O4"/>
    <mergeCell ref="P4:P5"/>
    <mergeCell ref="AD3:AE3"/>
    <mergeCell ref="AB4:AB5"/>
    <mergeCell ref="W4:W5"/>
    <mergeCell ref="X4:X5"/>
    <mergeCell ref="Z4:Z5"/>
    <mergeCell ref="AA4:AA5"/>
    <mergeCell ref="Z3:AB3"/>
  </mergeCell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selection activeCell="B20" sqref="B20"/>
    </sheetView>
  </sheetViews>
  <sheetFormatPr defaultColWidth="14.42578125" defaultRowHeight="15" customHeight="1" x14ac:dyDescent="0.2"/>
  <cols>
    <col min="1" max="1" width="30.85546875" customWidth="1"/>
    <col min="2" max="2" width="6.7109375" customWidth="1"/>
    <col min="3" max="3" width="16.7109375" customWidth="1"/>
    <col min="4" max="4" width="8.7109375" customWidth="1"/>
    <col min="5" max="6" width="15.7109375" customWidth="1"/>
    <col min="7" max="9" width="8.7109375" customWidth="1"/>
    <col min="10" max="11" width="21.7109375" customWidth="1"/>
    <col min="12" max="26" width="8.7109375" customWidth="1"/>
  </cols>
  <sheetData>
    <row r="1" spans="1:14" ht="13.5" customHeight="1" x14ac:dyDescent="0.2"/>
    <row r="2" spans="1:14" ht="13.5" customHeight="1" x14ac:dyDescent="0.2">
      <c r="A2" s="113" t="s">
        <v>98</v>
      </c>
    </row>
    <row r="3" spans="1:14" ht="13.5" customHeight="1" x14ac:dyDescent="0.2">
      <c r="A3" s="31" t="s">
        <v>95</v>
      </c>
      <c r="B3" s="114">
        <f>BDI!E6</f>
        <v>0.23437169289860338</v>
      </c>
      <c r="C3" s="34" t="s">
        <v>99</v>
      </c>
      <c r="E3" s="115"/>
      <c r="F3" s="116"/>
      <c r="G3" s="117" t="s">
        <v>57</v>
      </c>
      <c r="K3" s="118" t="s">
        <v>100</v>
      </c>
      <c r="L3" s="119"/>
    </row>
    <row r="4" spans="1:14" ht="13.5" customHeight="1" x14ac:dyDescent="0.2">
      <c r="A4" s="31" t="s">
        <v>101</v>
      </c>
      <c r="B4" s="114">
        <f>BDI!H13</f>
        <v>4.847753258584258E-2</v>
      </c>
      <c r="E4" s="120" t="s">
        <v>102</v>
      </c>
      <c r="F4" s="121">
        <f>FC!X102</f>
        <v>954137433.33767736</v>
      </c>
      <c r="G4" s="122">
        <f>BDI!B16</f>
        <v>0.2</v>
      </c>
      <c r="K4" s="123" t="s">
        <v>103</v>
      </c>
      <c r="L4" s="124" t="s">
        <v>104</v>
      </c>
    </row>
    <row r="5" spans="1:14" ht="13.5" customHeight="1" x14ac:dyDescent="0.2">
      <c r="A5" s="31" t="s">
        <v>38</v>
      </c>
      <c r="B5" s="114">
        <f>BDI!B18</f>
        <v>0.37577753258584257</v>
      </c>
      <c r="E5" s="125" t="s">
        <v>105</v>
      </c>
      <c r="F5" s="126">
        <f>F4-DADOS!C25</f>
        <v>917553181.46548796</v>
      </c>
      <c r="G5" s="127"/>
      <c r="K5" s="128">
        <f>DADOS!I18-ANÁLISES!F14</f>
        <v>1221157621.0658782</v>
      </c>
      <c r="L5" s="129">
        <f>K5/DADOS!H18</f>
        <v>0.49640553701864965</v>
      </c>
    </row>
    <row r="6" spans="1:14" ht="13.5" customHeight="1" x14ac:dyDescent="0.2">
      <c r="A6" s="31" t="s">
        <v>106</v>
      </c>
      <c r="B6" s="114">
        <f>BDI!B18-BDI!B16</f>
        <v>0.17577753258584256</v>
      </c>
      <c r="E6" s="125" t="s">
        <v>102</v>
      </c>
      <c r="F6" s="130">
        <v>2541445760.5188532</v>
      </c>
      <c r="G6" s="131">
        <v>0.3</v>
      </c>
    </row>
    <row r="7" spans="1:14" ht="13.5" customHeight="1" x14ac:dyDescent="0.2">
      <c r="A7" s="31" t="s">
        <v>107</v>
      </c>
      <c r="B7" s="114">
        <f>(1+B12)/(1+B14)-1</f>
        <v>7.5480769230769296E-2</v>
      </c>
      <c r="E7" s="125" t="s">
        <v>105</v>
      </c>
      <c r="F7" s="132">
        <v>2461795074.823451</v>
      </c>
      <c r="G7" s="127"/>
      <c r="J7" s="133" t="s">
        <v>108</v>
      </c>
      <c r="K7" s="134">
        <f>DADOS!H18</f>
        <v>2460000000</v>
      </c>
    </row>
    <row r="8" spans="1:14" ht="13.5" customHeight="1" x14ac:dyDescent="0.2">
      <c r="A8" s="31" t="s">
        <v>109</v>
      </c>
      <c r="B8" s="114">
        <f>(1+B7)^(1/12)-1</f>
        <v>6.0824055612518357E-3</v>
      </c>
      <c r="E8" s="125" t="s">
        <v>102</v>
      </c>
      <c r="F8" s="130">
        <v>2965491326.7749357</v>
      </c>
      <c r="G8" s="131">
        <v>0.22</v>
      </c>
      <c r="J8" s="133" t="s">
        <v>21</v>
      </c>
      <c r="K8" s="135">
        <f>DADOS!G18</f>
        <v>167854705.19999999</v>
      </c>
      <c r="L8" s="64">
        <f t="shared" ref="L8:L10" si="0">K8/$K$7</f>
        <v>6.8233619999999995E-2</v>
      </c>
    </row>
    <row r="9" spans="1:14" ht="13.5" customHeight="1" x14ac:dyDescent="0.2">
      <c r="E9" s="136" t="s">
        <v>105</v>
      </c>
      <c r="F9" s="137">
        <v>2875016979.9786825</v>
      </c>
      <c r="G9" s="138"/>
      <c r="J9" s="133" t="s">
        <v>110</v>
      </c>
      <c r="K9" s="135">
        <f>ANÁLISES!F14</f>
        <v>1070987673.734122</v>
      </c>
      <c r="L9" s="64">
        <f t="shared" si="0"/>
        <v>0.43536084298135042</v>
      </c>
      <c r="N9" s="64">
        <f>K9/(K9+K10)</f>
        <v>0.46724248945465319</v>
      </c>
    </row>
    <row r="10" spans="1:14" ht="13.5" customHeight="1" x14ac:dyDescent="0.2">
      <c r="A10" s="34"/>
      <c r="J10" s="133" t="s">
        <v>111</v>
      </c>
      <c r="K10" s="134">
        <f>K7-K8-K9</f>
        <v>1221157621.0658782</v>
      </c>
      <c r="L10" s="64">
        <f t="shared" si="0"/>
        <v>0.49640553701864965</v>
      </c>
      <c r="N10" s="64">
        <f>K10/(K9+K10)</f>
        <v>0.53275751054534681</v>
      </c>
    </row>
    <row r="11" spans="1:14" ht="13.5" customHeight="1" x14ac:dyDescent="0.2">
      <c r="A11" s="113" t="s">
        <v>112</v>
      </c>
      <c r="E11" s="139"/>
      <c r="J11" s="133" t="s">
        <v>113</v>
      </c>
      <c r="K11" s="140">
        <f>K10/K7</f>
        <v>0.49640553701864965</v>
      </c>
    </row>
    <row r="12" spans="1:14" ht="13.5" customHeight="1" x14ac:dyDescent="0.2">
      <c r="A12" s="55" t="s">
        <v>114</v>
      </c>
      <c r="B12" s="141">
        <v>0.11849999999999999</v>
      </c>
      <c r="E12" s="142"/>
      <c r="F12" s="143"/>
      <c r="G12" s="144" t="s">
        <v>115</v>
      </c>
      <c r="J12" s="133" t="s">
        <v>116</v>
      </c>
      <c r="K12" s="140">
        <f>K10/(K8+K9)</f>
        <v>0.98572477163441918</v>
      </c>
    </row>
    <row r="13" spans="1:14" ht="13.5" customHeight="1" x14ac:dyDescent="0.2">
      <c r="A13" s="55" t="s">
        <v>117</v>
      </c>
      <c r="B13" s="145">
        <f>(1+B12)^(1/12)-1</f>
        <v>9.3760575565080551E-3</v>
      </c>
      <c r="E13" s="120" t="s">
        <v>102</v>
      </c>
      <c r="F13" s="121">
        <f>FC!AB102</f>
        <v>1107571925.6063113</v>
      </c>
      <c r="G13" s="122">
        <f>B16</f>
        <v>0.35</v>
      </c>
      <c r="J13" s="133" t="s">
        <v>118</v>
      </c>
      <c r="K13" s="135">
        <f>(K8+K9)/DADOS!B5</f>
        <v>671.32034795255277</v>
      </c>
    </row>
    <row r="14" spans="1:14" ht="13.5" customHeight="1" x14ac:dyDescent="0.2">
      <c r="A14" s="55" t="s">
        <v>119</v>
      </c>
      <c r="B14" s="141">
        <v>0.04</v>
      </c>
      <c r="C14" s="34" t="s">
        <v>120</v>
      </c>
      <c r="E14" s="125" t="s">
        <v>105</v>
      </c>
      <c r="F14" s="126">
        <f>F13-DADOS!C25</f>
        <v>1070987673.734122</v>
      </c>
      <c r="G14" s="89">
        <f>F14/DADOS!B5</f>
        <v>580.36101283738765</v>
      </c>
      <c r="J14" s="133" t="s">
        <v>121</v>
      </c>
      <c r="K14" s="135">
        <f>K10/DADOS!B5</f>
        <v>661.73709667906894</v>
      </c>
    </row>
    <row r="15" spans="1:14" ht="13.5" customHeight="1" x14ac:dyDescent="0.2">
      <c r="A15" s="55" t="s">
        <v>122</v>
      </c>
      <c r="B15" s="145">
        <f>(1+B14)^(1/12)-1</f>
        <v>3.2737397821989145E-3</v>
      </c>
      <c r="E15" s="125" t="s">
        <v>102</v>
      </c>
      <c r="F15" s="130">
        <v>2609813617.4034033</v>
      </c>
      <c r="G15" s="131">
        <v>0.5</v>
      </c>
    </row>
    <row r="16" spans="1:14" ht="13.5" customHeight="1" x14ac:dyDescent="0.2">
      <c r="A16" s="55" t="s">
        <v>123</v>
      </c>
      <c r="B16" s="146">
        <v>0.35</v>
      </c>
      <c r="C16" s="206">
        <v>0.25</v>
      </c>
      <c r="E16" s="136" t="s">
        <v>105</v>
      </c>
      <c r="F16" s="137">
        <v>2530162931.7080011</v>
      </c>
      <c r="G16" s="147"/>
      <c r="J16" s="148" t="s">
        <v>124</v>
      </c>
      <c r="K16" s="149">
        <f>FC!AE101</f>
        <v>9.4952773291030468E-3</v>
      </c>
    </row>
    <row r="17" spans="1:11" ht="13.5" customHeight="1" x14ac:dyDescent="0.2">
      <c r="A17" s="55" t="s">
        <v>125</v>
      </c>
      <c r="B17" s="145">
        <f>(1+B12)*(1+B12*B16)-1</f>
        <v>0.16488978749999994</v>
      </c>
      <c r="J17" s="150" t="s">
        <v>126</v>
      </c>
      <c r="K17" s="151">
        <f>FC!A18</f>
        <v>12</v>
      </c>
    </row>
    <row r="18" spans="1:11" ht="13.5" customHeight="1" x14ac:dyDescent="0.2">
      <c r="A18" s="55" t="s">
        <v>127</v>
      </c>
      <c r="B18" s="114">
        <f>(1+B17)/(1+B14)-1</f>
        <v>0.12008633413461522</v>
      </c>
    </row>
    <row r="19" spans="1:11" ht="13.5" customHeight="1" x14ac:dyDescent="0.2">
      <c r="A19" s="55" t="s">
        <v>128</v>
      </c>
      <c r="B19" s="145">
        <f>(1+B18)^(1/12)-1</f>
        <v>9.4952773291030468E-3</v>
      </c>
      <c r="C19" s="207">
        <v>8.5330714531213214E-3</v>
      </c>
    </row>
    <row r="20" spans="1:11" ht="13.5" customHeight="1" x14ac:dyDescent="0.2">
      <c r="A20" s="55"/>
      <c r="B20" s="152">
        <f>B19/B8</f>
        <v>1.5611055911156306</v>
      </c>
    </row>
    <row r="21" spans="1:11" ht="13.5" customHeight="1" x14ac:dyDescent="0.2"/>
    <row r="22" spans="1:11" ht="13.5" customHeight="1" x14ac:dyDescent="0.2"/>
    <row r="23" spans="1:11" ht="13.5" customHeight="1" x14ac:dyDescent="0.2"/>
    <row r="24" spans="1:11" ht="13.5" customHeight="1" x14ac:dyDescent="0.2"/>
    <row r="25" spans="1:11" ht="13.5" customHeight="1" x14ac:dyDescent="0.2"/>
    <row r="26" spans="1:11" ht="13.5" customHeight="1" x14ac:dyDescent="0.2"/>
    <row r="27" spans="1:11" ht="13.5" customHeight="1" x14ac:dyDescent="0.2"/>
    <row r="28" spans="1:11" ht="13.5" customHeight="1" x14ac:dyDescent="0.2"/>
    <row r="29" spans="1:11" ht="13.5" customHeight="1" x14ac:dyDescent="0.2"/>
    <row r="30" spans="1:11" ht="13.5" customHeight="1" x14ac:dyDescent="0.2"/>
    <row r="31" spans="1:11" ht="13.5" customHeight="1" x14ac:dyDescent="0.2"/>
    <row r="32" spans="1:11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29" sqref="C29"/>
    </sheetView>
  </sheetViews>
  <sheetFormatPr defaultColWidth="14.42578125" defaultRowHeight="15" customHeight="1" x14ac:dyDescent="0.2"/>
  <cols>
    <col min="1" max="2" width="12.28515625" customWidth="1"/>
    <col min="3" max="3" width="17.42578125" customWidth="1"/>
    <col min="4" max="27" width="8.7109375" customWidth="1"/>
  </cols>
  <sheetData>
    <row r="1" spans="1:3" ht="13.5" customHeight="1" x14ac:dyDescent="0.2"/>
    <row r="2" spans="1:3" ht="13.5" customHeight="1" x14ac:dyDescent="0.2"/>
    <row r="3" spans="1:3" ht="13.5" customHeight="1" x14ac:dyDescent="0.2">
      <c r="A3" s="153" t="s">
        <v>129</v>
      </c>
      <c r="B3" s="153" t="s">
        <v>48</v>
      </c>
      <c r="C3" s="153" t="s">
        <v>130</v>
      </c>
    </row>
    <row r="4" spans="1:3" ht="13.5" customHeight="1" x14ac:dyDescent="0.2">
      <c r="A4" s="154">
        <v>-0.15</v>
      </c>
      <c r="B4" s="155">
        <v>510000</v>
      </c>
      <c r="C4" s="156">
        <v>886834703.20000005</v>
      </c>
    </row>
    <row r="5" spans="1:3" ht="13.5" customHeight="1" x14ac:dyDescent="0.2">
      <c r="A5" s="154">
        <v>-0.1</v>
      </c>
      <c r="B5" s="155">
        <v>540000</v>
      </c>
      <c r="C5" s="156">
        <v>948219026.71000004</v>
      </c>
    </row>
    <row r="6" spans="1:3" ht="13.5" customHeight="1" x14ac:dyDescent="0.2">
      <c r="A6" s="154">
        <v>-0.05</v>
      </c>
      <c r="B6" s="155">
        <v>570000</v>
      </c>
      <c r="C6" s="156">
        <v>1009603350.22</v>
      </c>
    </row>
    <row r="7" spans="1:3" ht="13.5" customHeight="1" x14ac:dyDescent="0.2">
      <c r="A7" s="157" t="s">
        <v>66</v>
      </c>
      <c r="B7" s="155">
        <v>600000</v>
      </c>
      <c r="C7" s="156">
        <f>ANÁLISES!F14</f>
        <v>1070987673.734122</v>
      </c>
    </row>
    <row r="8" spans="1:3" ht="13.5" customHeight="1" x14ac:dyDescent="0.2">
      <c r="A8" s="154">
        <f>5%</f>
        <v>0.05</v>
      </c>
      <c r="B8" s="155">
        <v>630000</v>
      </c>
      <c r="C8" s="156">
        <v>1132371997.24</v>
      </c>
    </row>
    <row r="9" spans="1:3" ht="13.5" customHeight="1" x14ac:dyDescent="0.2">
      <c r="A9" s="154">
        <v>0.1</v>
      </c>
      <c r="B9" s="155">
        <v>660000</v>
      </c>
      <c r="C9" s="156">
        <v>1193756320.76</v>
      </c>
    </row>
    <row r="10" spans="1:3" ht="13.5" customHeight="1" x14ac:dyDescent="0.2">
      <c r="A10" s="154">
        <v>0.15</v>
      </c>
      <c r="B10" s="155">
        <v>690000</v>
      </c>
      <c r="C10" s="156">
        <v>1255140644.27</v>
      </c>
    </row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1:3" ht="13.5" customHeight="1" x14ac:dyDescent="0.2">
      <c r="A17" s="153" t="s">
        <v>129</v>
      </c>
      <c r="B17" s="153" t="s">
        <v>131</v>
      </c>
      <c r="C17" s="153" t="s">
        <v>130</v>
      </c>
    </row>
    <row r="18" spans="1:3" ht="13.5" customHeight="1" x14ac:dyDescent="0.2">
      <c r="A18" s="154">
        <v>-0.1</v>
      </c>
      <c r="B18" s="158">
        <f>0.9*B20</f>
        <v>81880.344000000012</v>
      </c>
      <c r="C18" s="158">
        <v>1086321843.97</v>
      </c>
    </row>
    <row r="19" spans="1:3" ht="13.5" customHeight="1" x14ac:dyDescent="0.2">
      <c r="A19" s="154">
        <v>-0.05</v>
      </c>
      <c r="B19" s="156">
        <f>0.95*B20</f>
        <v>86429.251999999993</v>
      </c>
      <c r="C19" s="156">
        <v>1078654758.8499999</v>
      </c>
    </row>
    <row r="20" spans="1:3" ht="13.5" customHeight="1" x14ac:dyDescent="0.2">
      <c r="A20" s="154">
        <v>0</v>
      </c>
      <c r="B20" s="158">
        <f>PINI!D14</f>
        <v>90978.16</v>
      </c>
      <c r="C20" s="158">
        <f>C7</f>
        <v>1070987673.734122</v>
      </c>
    </row>
    <row r="21" spans="1:3" ht="13.5" customHeight="1" x14ac:dyDescent="0.2">
      <c r="A21" s="154">
        <v>0.05</v>
      </c>
      <c r="B21" s="156">
        <f>1.05*B20</f>
        <v>95527.068000000014</v>
      </c>
      <c r="C21" s="156">
        <v>1063320588.62</v>
      </c>
    </row>
    <row r="22" spans="1:3" ht="13.5" customHeight="1" x14ac:dyDescent="0.2">
      <c r="A22" s="154">
        <v>0.1</v>
      </c>
      <c r="B22" s="156">
        <f>1.1*B20</f>
        <v>100075.97600000001</v>
      </c>
      <c r="C22" s="156">
        <v>1055653503.5</v>
      </c>
    </row>
    <row r="23" spans="1:3" ht="13.5" customHeight="1" x14ac:dyDescent="0.2"/>
    <row r="24" spans="1:3" ht="13.5" customHeight="1" x14ac:dyDescent="0.2">
      <c r="A24" s="153" t="s">
        <v>132</v>
      </c>
      <c r="B24" s="153" t="s">
        <v>133</v>
      </c>
      <c r="C24" s="153" t="s">
        <v>130</v>
      </c>
    </row>
    <row r="25" spans="1:3" ht="13.5" customHeight="1" x14ac:dyDescent="0.2">
      <c r="A25" s="157">
        <v>20</v>
      </c>
      <c r="B25" s="159">
        <v>8.0000000000000002E-3</v>
      </c>
      <c r="C25" s="156">
        <v>1151621447.6099999</v>
      </c>
    </row>
    <row r="26" spans="1:3" ht="13.5" customHeight="1" x14ac:dyDescent="0.2">
      <c r="A26" s="157">
        <v>30</v>
      </c>
      <c r="B26" s="159">
        <v>8.9999999999999993E-3</v>
      </c>
      <c r="C26" s="156">
        <v>1096935621.3</v>
      </c>
    </row>
    <row r="27" spans="1:3" ht="13.5" customHeight="1" x14ac:dyDescent="0.2">
      <c r="A27" s="157">
        <v>35</v>
      </c>
      <c r="B27" s="160">
        <f>ANÁLISES!B19</f>
        <v>9.4952773291030468E-3</v>
      </c>
      <c r="C27" s="156">
        <v>1070987673.73</v>
      </c>
    </row>
    <row r="28" spans="1:3" ht="13.5" customHeight="1" x14ac:dyDescent="0.2">
      <c r="A28" s="157">
        <v>40</v>
      </c>
      <c r="B28" s="159">
        <v>0.01</v>
      </c>
      <c r="C28" s="158">
        <v>1045917268.9299999</v>
      </c>
    </row>
    <row r="29" spans="1:3" ht="13.5" customHeight="1" x14ac:dyDescent="0.2">
      <c r="A29" s="157">
        <v>50</v>
      </c>
      <c r="B29" s="159">
        <v>1.09E-2</v>
      </c>
      <c r="C29" s="158">
        <v>998263315.89999998</v>
      </c>
    </row>
    <row r="30" spans="1:3" ht="13.5" customHeight="1" x14ac:dyDescent="0.2"/>
    <row r="31" spans="1:3" ht="13.5" customHeight="1" x14ac:dyDescent="0.2"/>
    <row r="32" spans="1:3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PINI</vt:lpstr>
      <vt:lpstr>BDI</vt:lpstr>
      <vt:lpstr>DADOS</vt:lpstr>
      <vt:lpstr>FC</vt:lpstr>
      <vt:lpstr>ANÁLISES</vt:lpstr>
      <vt:lpstr>SENSIBILIDADE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NH</cp:lastModifiedBy>
  <dcterms:created xsi:type="dcterms:W3CDTF">2023-05-04T15:58:00Z</dcterms:created>
  <dcterms:modified xsi:type="dcterms:W3CDTF">2024-07-18T19:52:47Z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4534442D8FF74E878E0BA8FBD28BB4AF</vt:lpwstr>
  </property>
  <property fmtid="{D5CDD505-2E9C-101B-9397-08002B2CF9AE}" pid="3" name="KSOProductBuildVer">
    <vt:lpwstr>1046-11.2.0.11417</vt:lpwstr>
  </property>
</Properties>
</file>