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rving\Downloads\Financial Engineering I\"/>
    </mc:Choice>
  </mc:AlternateContent>
  <xr:revisionPtr revIDLastSave="0" documentId="13_ncr:1_{D6E1F27F-D150-444A-95AA-5EA24EF28022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EuropeanCall_EG" sheetId="4" r:id="rId1"/>
    <sheet name="AmericanPut_EG" sheetId="5" r:id="rId2"/>
    <sheet name="OptionsOnFuturesEG" sheetId="6" r:id="rId3"/>
    <sheet name="10PeriodBinomialModel" sheetId="7" r:id="rId4"/>
    <sheet name="15PeriodBinomialModel" sheetId="8" r:id="rId5"/>
  </sheets>
  <definedNames>
    <definedName name="FuturesLattice" localSheetId="2">OptionsOnFuturesEG!$A$29:$N$42</definedName>
    <definedName name="FuturesLattice">#REF!</definedName>
    <definedName name="FuturesOptionLattice" localSheetId="2">OptionsOnFuturesEG!$A$45:$N$58</definedName>
    <definedName name="FuturesOptionLattice">#REF!</definedName>
    <definedName name="OptionLattice" localSheetId="1">AmericanPut_EG!$A$22:$G$28</definedName>
    <definedName name="OptionLattice" localSheetId="0">EuropeanCall_EG!$A$22:$G$28</definedName>
    <definedName name="OptionLattice" localSheetId="2">OptionsOnFuturesEG!#REF!</definedName>
    <definedName name="OptionLattice">#REF!</definedName>
    <definedName name="StockLattice" localSheetId="1">AmericanPut_EG!$A$13:$G$19</definedName>
    <definedName name="StockLattice" localSheetId="0">EuropeanCall_EG!$A$13:$G$19</definedName>
    <definedName name="StockLattice" localSheetId="2">OptionsOnFuturesEG!#REF!</definedName>
    <definedName name="StockLattice">#REF!</definedName>
    <definedName name="StockLattice_2" localSheetId="2">OptionsOnFuturesEG!$A$13:$N$26</definedName>
    <definedName name="StockLattice_2">#REF!</definedName>
  </definedNames>
  <calcPr calcId="191029" iterateDelta="1E-4"/>
</workbook>
</file>

<file path=xl/calcChain.xml><?xml version="1.0" encoding="utf-8"?>
<calcChain xmlns="http://schemas.openxmlformats.org/spreadsheetml/2006/main">
  <c r="L42" i="8" l="1"/>
  <c r="M42" i="8"/>
  <c r="N42" i="8"/>
  <c r="L43" i="8"/>
  <c r="M43" i="8"/>
  <c r="N43" i="8"/>
  <c r="L44" i="8"/>
  <c r="M44" i="8"/>
  <c r="L45" i="8"/>
  <c r="O42" i="8"/>
  <c r="M16" i="8"/>
  <c r="N16" i="8"/>
  <c r="O16" i="8"/>
  <c r="P16" i="8"/>
  <c r="M17" i="8"/>
  <c r="N17" i="8"/>
  <c r="O17" i="8"/>
  <c r="M18" i="8"/>
  <c r="N18" i="8"/>
  <c r="M19" i="8"/>
  <c r="B55" i="8"/>
  <c r="C54" i="8"/>
  <c r="B54" i="8"/>
  <c r="D53" i="8"/>
  <c r="C53" i="8"/>
  <c r="B53" i="8"/>
  <c r="E52" i="8"/>
  <c r="D52" i="8"/>
  <c r="C52" i="8"/>
  <c r="B52" i="8"/>
  <c r="F51" i="8"/>
  <c r="E51" i="8"/>
  <c r="D51" i="8"/>
  <c r="C51" i="8"/>
  <c r="B51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K46" i="8"/>
  <c r="J46" i="8"/>
  <c r="I46" i="8"/>
  <c r="H46" i="8"/>
  <c r="G46" i="8"/>
  <c r="F46" i="8"/>
  <c r="E46" i="8"/>
  <c r="D46" i="8"/>
  <c r="C46" i="8"/>
  <c r="B46" i="8"/>
  <c r="B31" i="8"/>
  <c r="C29" i="8"/>
  <c r="D28" i="8"/>
  <c r="C28" i="8"/>
  <c r="E27" i="8"/>
  <c r="D27" i="8"/>
  <c r="C27" i="8"/>
  <c r="F26" i="8"/>
  <c r="E26" i="8"/>
  <c r="D26" i="8"/>
  <c r="C26" i="8"/>
  <c r="G25" i="8"/>
  <c r="F25" i="8"/>
  <c r="E25" i="8"/>
  <c r="D25" i="8"/>
  <c r="C25" i="8"/>
  <c r="H24" i="8"/>
  <c r="G24" i="8"/>
  <c r="F24" i="8"/>
  <c r="E24" i="8"/>
  <c r="D24" i="8"/>
  <c r="C24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K21" i="8"/>
  <c r="J21" i="8"/>
  <c r="I21" i="8"/>
  <c r="H21" i="8"/>
  <c r="G21" i="8"/>
  <c r="F21" i="8"/>
  <c r="E21" i="8"/>
  <c r="D21" i="8"/>
  <c r="C21" i="8"/>
  <c r="B8" i="8"/>
  <c r="B56" i="6"/>
  <c r="B40" i="6"/>
  <c r="B8" i="7"/>
  <c r="C25" i="7" s="1"/>
  <c r="B26" i="7"/>
  <c r="B40" i="7"/>
  <c r="C39" i="7"/>
  <c r="B39" i="7"/>
  <c r="D38" i="7"/>
  <c r="C38" i="7"/>
  <c r="B38" i="7"/>
  <c r="E37" i="7"/>
  <c r="D37" i="7"/>
  <c r="C37" i="7"/>
  <c r="B37" i="7"/>
  <c r="F36" i="7"/>
  <c r="E36" i="7"/>
  <c r="D36" i="7"/>
  <c r="C36" i="7"/>
  <c r="B36" i="7"/>
  <c r="G35" i="7"/>
  <c r="F35" i="7"/>
  <c r="E35" i="7"/>
  <c r="D35" i="7"/>
  <c r="C35" i="7"/>
  <c r="B35" i="7"/>
  <c r="H34" i="7"/>
  <c r="G34" i="7"/>
  <c r="F34" i="7"/>
  <c r="E34" i="7"/>
  <c r="D34" i="7"/>
  <c r="C34" i="7"/>
  <c r="B34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K31" i="7"/>
  <c r="J31" i="7"/>
  <c r="I31" i="7"/>
  <c r="H31" i="7"/>
  <c r="G31" i="7"/>
  <c r="F31" i="7"/>
  <c r="E31" i="7"/>
  <c r="D31" i="7"/>
  <c r="C31" i="7"/>
  <c r="B31" i="7"/>
  <c r="C24" i="7"/>
  <c r="D23" i="7"/>
  <c r="C23" i="7"/>
  <c r="E22" i="7"/>
  <c r="D22" i="7"/>
  <c r="C22" i="7"/>
  <c r="F21" i="7"/>
  <c r="E21" i="7"/>
  <c r="D21" i="7"/>
  <c r="C21" i="7"/>
  <c r="G20" i="7"/>
  <c r="F20" i="7"/>
  <c r="E20" i="7"/>
  <c r="D20" i="7"/>
  <c r="C20" i="7"/>
  <c r="H19" i="7"/>
  <c r="G19" i="7"/>
  <c r="F19" i="7"/>
  <c r="E19" i="7"/>
  <c r="D19" i="7"/>
  <c r="C19" i="7"/>
  <c r="I18" i="7"/>
  <c r="H18" i="7"/>
  <c r="G18" i="7"/>
  <c r="F18" i="7"/>
  <c r="E18" i="7"/>
  <c r="D18" i="7"/>
  <c r="C18" i="7"/>
  <c r="J17" i="7"/>
  <c r="I17" i="7"/>
  <c r="H17" i="7"/>
  <c r="G17" i="7"/>
  <c r="F17" i="7"/>
  <c r="E17" i="7"/>
  <c r="D17" i="7"/>
  <c r="C17" i="7"/>
  <c r="K16" i="7"/>
  <c r="J16" i="7"/>
  <c r="I16" i="7"/>
  <c r="H16" i="7"/>
  <c r="G16" i="7"/>
  <c r="F16" i="7"/>
  <c r="E16" i="7"/>
  <c r="D16" i="7"/>
  <c r="C16" i="7"/>
  <c r="B8" i="6"/>
  <c r="B8" i="5"/>
  <c r="B17" i="5" s="1"/>
  <c r="E17" i="5"/>
  <c r="E26" i="5" s="1"/>
  <c r="D17" i="5"/>
  <c r="B9" i="5"/>
  <c r="E16" i="5"/>
  <c r="E25" i="5" s="1"/>
  <c r="C17" i="5"/>
  <c r="D16" i="5"/>
  <c r="E15" i="5"/>
  <c r="E24" i="5" s="1"/>
  <c r="C16" i="5"/>
  <c r="D15" i="5"/>
  <c r="E14" i="5"/>
  <c r="E23" i="5"/>
  <c r="B8" i="4"/>
  <c r="E17" i="4"/>
  <c r="E26" i="4"/>
  <c r="B9" i="4"/>
  <c r="B10" i="4" s="1"/>
  <c r="E16" i="4"/>
  <c r="E25" i="4" s="1"/>
  <c r="E15" i="4"/>
  <c r="E24" i="4"/>
  <c r="E14" i="4"/>
  <c r="E23" i="4" s="1"/>
  <c r="D17" i="4"/>
  <c r="C17" i="4"/>
  <c r="B17" i="4"/>
  <c r="D16" i="4"/>
  <c r="C16" i="4"/>
  <c r="D15" i="4"/>
  <c r="C30" i="8" l="1"/>
  <c r="D29" i="8" s="1"/>
  <c r="E28" i="8" s="1"/>
  <c r="F27" i="8" s="1"/>
  <c r="G26" i="8" s="1"/>
  <c r="H25" i="8" s="1"/>
  <c r="I24" i="8" s="1"/>
  <c r="J23" i="8" s="1"/>
  <c r="K22" i="8" s="1"/>
  <c r="L21" i="8" s="1"/>
  <c r="M20" i="8" s="1"/>
  <c r="B9" i="8"/>
  <c r="D25" i="4"/>
  <c r="D26" i="5"/>
  <c r="D25" i="7"/>
  <c r="E25" i="7" s="1"/>
  <c r="F25" i="7" s="1"/>
  <c r="G25" i="7" s="1"/>
  <c r="H25" i="7" s="1"/>
  <c r="I25" i="7" s="1"/>
  <c r="J25" i="7" s="1"/>
  <c r="K25" i="7" s="1"/>
  <c r="L25" i="7" s="1"/>
  <c r="L40" i="7" s="1"/>
  <c r="J19" i="6"/>
  <c r="E21" i="6"/>
  <c r="E22" i="6"/>
  <c r="D23" i="6"/>
  <c r="B24" i="6"/>
  <c r="J24" i="6"/>
  <c r="L22" i="6"/>
  <c r="L38" i="6" s="1"/>
  <c r="L54" i="6" s="1"/>
  <c r="B9" i="6"/>
  <c r="H24" i="6" s="1"/>
  <c r="I18" i="6"/>
  <c r="F20" i="6"/>
  <c r="G21" i="6"/>
  <c r="G22" i="6"/>
  <c r="F23" i="6"/>
  <c r="D24" i="6"/>
  <c r="L17" i="6"/>
  <c r="L33" i="6" s="1"/>
  <c r="L49" i="6" s="1"/>
  <c r="L18" i="6"/>
  <c r="L34" i="6" s="1"/>
  <c r="L50" i="6" s="1"/>
  <c r="L19" i="6"/>
  <c r="L35" i="6" s="1"/>
  <c r="L51" i="6" s="1"/>
  <c r="B10" i="5"/>
  <c r="D24" i="5" s="1"/>
  <c r="K15" i="6"/>
  <c r="J18" i="6"/>
  <c r="G20" i="6"/>
  <c r="H21" i="6"/>
  <c r="H22" i="6"/>
  <c r="G23" i="6"/>
  <c r="E24" i="6"/>
  <c r="B9" i="7"/>
  <c r="C25" i="4"/>
  <c r="D26" i="4"/>
  <c r="J16" i="6"/>
  <c r="K18" i="6"/>
  <c r="H20" i="6"/>
  <c r="I21" i="6"/>
  <c r="I22" i="6"/>
  <c r="H23" i="6"/>
  <c r="F24" i="6"/>
  <c r="L14" i="6"/>
  <c r="L30" i="6" s="1"/>
  <c r="L46" i="6" s="1"/>
  <c r="L21" i="6"/>
  <c r="L37" i="6" s="1"/>
  <c r="L53" i="6" s="1"/>
  <c r="L23" i="6"/>
  <c r="L39" i="6" s="1"/>
  <c r="L55" i="6" s="1"/>
  <c r="D24" i="4"/>
  <c r="K16" i="6"/>
  <c r="G19" i="6"/>
  <c r="I20" i="6"/>
  <c r="J21" i="6"/>
  <c r="J22" i="6"/>
  <c r="I23" i="6"/>
  <c r="G24" i="6"/>
  <c r="I17" i="6"/>
  <c r="H19" i="6"/>
  <c r="J20" i="6"/>
  <c r="K21" i="6"/>
  <c r="K22" i="6"/>
  <c r="J23" i="6"/>
  <c r="D24" i="7"/>
  <c r="N19" i="8" l="1"/>
  <c r="N20" i="8"/>
  <c r="O20" i="8" s="1"/>
  <c r="P20" i="8" s="1"/>
  <c r="Q20" i="8" s="1"/>
  <c r="Q45" i="8" s="1"/>
  <c r="M21" i="8"/>
  <c r="H26" i="8"/>
  <c r="I26" i="8" s="1"/>
  <c r="J26" i="8" s="1"/>
  <c r="K26" i="8" s="1"/>
  <c r="L26" i="8" s="1"/>
  <c r="C31" i="8"/>
  <c r="D31" i="8" s="1"/>
  <c r="E31" i="8" s="1"/>
  <c r="F31" i="8" s="1"/>
  <c r="G31" i="8" s="1"/>
  <c r="H31" i="8" s="1"/>
  <c r="I31" i="8" s="1"/>
  <c r="J31" i="8" s="1"/>
  <c r="K31" i="8" s="1"/>
  <c r="L31" i="8" s="1"/>
  <c r="J24" i="8"/>
  <c r="K24" i="8" s="1"/>
  <c r="L24" i="8" s="1"/>
  <c r="K23" i="8"/>
  <c r="L23" i="8" s="1"/>
  <c r="D30" i="8"/>
  <c r="E30" i="8" s="1"/>
  <c r="F30" i="8" s="1"/>
  <c r="G30" i="8" s="1"/>
  <c r="H30" i="8" s="1"/>
  <c r="I30" i="8" s="1"/>
  <c r="J30" i="8" s="1"/>
  <c r="K30" i="8" s="1"/>
  <c r="L30" i="8" s="1"/>
  <c r="L22" i="8"/>
  <c r="E29" i="8"/>
  <c r="F29" i="8" s="1"/>
  <c r="G29" i="8" s="1"/>
  <c r="H29" i="8" s="1"/>
  <c r="I29" i="8" s="1"/>
  <c r="J29" i="8" s="1"/>
  <c r="K29" i="8" s="1"/>
  <c r="L29" i="8" s="1"/>
  <c r="F28" i="8"/>
  <c r="G28" i="8" s="1"/>
  <c r="H28" i="8" s="1"/>
  <c r="I28" i="8" s="1"/>
  <c r="J28" i="8" s="1"/>
  <c r="K28" i="8" s="1"/>
  <c r="L28" i="8" s="1"/>
  <c r="I25" i="8"/>
  <c r="J25" i="8" s="1"/>
  <c r="K25" i="8" s="1"/>
  <c r="L25" i="8" s="1"/>
  <c r="B10" i="8"/>
  <c r="G27" i="8"/>
  <c r="H27" i="8" s="1"/>
  <c r="I27" i="8" s="1"/>
  <c r="J27" i="8" s="1"/>
  <c r="K27" i="8" s="1"/>
  <c r="L27" i="8" s="1"/>
  <c r="C25" i="5"/>
  <c r="B26" i="5" s="1"/>
  <c r="D25" i="5"/>
  <c r="C26" i="5" s="1"/>
  <c r="C26" i="4"/>
  <c r="B26" i="4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L41" i="7" s="1"/>
  <c r="B10" i="7"/>
  <c r="L20" i="6"/>
  <c r="L36" i="6" s="1"/>
  <c r="L52" i="6" s="1"/>
  <c r="K23" i="6"/>
  <c r="I19" i="6"/>
  <c r="K24" i="6"/>
  <c r="F22" i="6"/>
  <c r="H18" i="6"/>
  <c r="L24" i="6"/>
  <c r="L40" i="6" s="1"/>
  <c r="L56" i="6" s="1"/>
  <c r="L15" i="6"/>
  <c r="L31" i="6" s="1"/>
  <c r="L47" i="6" s="1"/>
  <c r="K20" i="6"/>
  <c r="B10" i="6"/>
  <c r="E23" i="6"/>
  <c r="K19" i="6"/>
  <c r="D22" i="6"/>
  <c r="L16" i="6"/>
  <c r="L32" i="6" s="1"/>
  <c r="L48" i="6" s="1"/>
  <c r="C24" i="6"/>
  <c r="F21" i="6"/>
  <c r="C23" i="6"/>
  <c r="J17" i="6"/>
  <c r="I24" i="6"/>
  <c r="K17" i="6"/>
  <c r="E23" i="7"/>
  <c r="E24" i="7"/>
  <c r="F24" i="7" s="1"/>
  <c r="G24" i="7" s="1"/>
  <c r="H24" i="7" s="1"/>
  <c r="I24" i="7" s="1"/>
  <c r="J24" i="7" s="1"/>
  <c r="K24" i="7" s="1"/>
  <c r="L24" i="7" s="1"/>
  <c r="L39" i="7" s="1"/>
  <c r="O19" i="8" l="1"/>
  <c r="P19" i="8" s="1"/>
  <c r="Q19" i="8" s="1"/>
  <c r="Q44" i="8" s="1"/>
  <c r="P45" i="8" s="1"/>
  <c r="O18" i="8"/>
  <c r="N21" i="8"/>
  <c r="M22" i="8"/>
  <c r="M30" i="8"/>
  <c r="M23" i="8"/>
  <c r="M27" i="8"/>
  <c r="M24" i="8"/>
  <c r="M28" i="8"/>
  <c r="M29" i="8"/>
  <c r="M31" i="8"/>
  <c r="M25" i="8"/>
  <c r="M26" i="8"/>
  <c r="B11" i="8"/>
  <c r="K53" i="6"/>
  <c r="K48" i="6"/>
  <c r="J49" i="6" s="1"/>
  <c r="K38" i="6"/>
  <c r="J39" i="6" s="1"/>
  <c r="K33" i="6"/>
  <c r="K32" i="6"/>
  <c r="K34" i="6"/>
  <c r="J34" i="6"/>
  <c r="I35" i="6" s="1"/>
  <c r="J33" i="6"/>
  <c r="I34" i="6" s="1"/>
  <c r="H35" i="6" s="1"/>
  <c r="K31" i="6"/>
  <c r="K35" i="6"/>
  <c r="K39" i="6"/>
  <c r="J40" i="6" s="1"/>
  <c r="B11" i="6"/>
  <c r="K56" i="6" s="1"/>
  <c r="K47" i="6"/>
  <c r="J48" i="6" s="1"/>
  <c r="I49" i="6" s="1"/>
  <c r="K37" i="6"/>
  <c r="J35" i="6"/>
  <c r="J32" i="6"/>
  <c r="I33" i="6" s="1"/>
  <c r="K51" i="6"/>
  <c r="J52" i="6" s="1"/>
  <c r="K40" i="6"/>
  <c r="K52" i="6"/>
  <c r="J53" i="6" s="1"/>
  <c r="K49" i="6"/>
  <c r="B11" i="7"/>
  <c r="K41" i="7" s="1"/>
  <c r="F22" i="7"/>
  <c r="F23" i="7"/>
  <c r="G23" i="7" s="1"/>
  <c r="H23" i="7" s="1"/>
  <c r="I23" i="7" s="1"/>
  <c r="J23" i="7" s="1"/>
  <c r="K23" i="7" s="1"/>
  <c r="L23" i="7" s="1"/>
  <c r="L38" i="7" s="1"/>
  <c r="K39" i="7" s="1"/>
  <c r="P17" i="8" l="1"/>
  <c r="P18" i="8"/>
  <c r="Q18" i="8" s="1"/>
  <c r="Q43" i="8" s="1"/>
  <c r="P44" i="8" s="1"/>
  <c r="O45" i="8" s="1"/>
  <c r="N31" i="8"/>
  <c r="N27" i="8"/>
  <c r="O21" i="8"/>
  <c r="N29" i="8"/>
  <c r="N23" i="8"/>
  <c r="N26" i="8"/>
  <c r="N28" i="8"/>
  <c r="N30" i="8"/>
  <c r="N25" i="8"/>
  <c r="N24" i="8"/>
  <c r="N22" i="8"/>
  <c r="I40" i="6"/>
  <c r="H34" i="6"/>
  <c r="G35" i="6" s="1"/>
  <c r="I53" i="6"/>
  <c r="J38" i="6"/>
  <c r="I39" i="6" s="1"/>
  <c r="H40" i="6" s="1"/>
  <c r="K40" i="7"/>
  <c r="J41" i="7" s="1"/>
  <c r="K50" i="6"/>
  <c r="J51" i="6" s="1"/>
  <c r="I52" i="6" s="1"/>
  <c r="H53" i="6" s="1"/>
  <c r="K54" i="6"/>
  <c r="J55" i="6" s="1"/>
  <c r="I56" i="6" s="1"/>
  <c r="K36" i="6"/>
  <c r="K55" i="6"/>
  <c r="J56" i="6" s="1"/>
  <c r="G21" i="7"/>
  <c r="G22" i="7"/>
  <c r="H22" i="7" s="1"/>
  <c r="I22" i="7" s="1"/>
  <c r="J22" i="7" s="1"/>
  <c r="K22" i="7" s="1"/>
  <c r="L22" i="7" s="1"/>
  <c r="L37" i="7" s="1"/>
  <c r="K38" i="7" s="1"/>
  <c r="J39" i="7" s="1"/>
  <c r="Q17" i="8" l="1"/>
  <c r="Q42" i="8" s="1"/>
  <c r="P43" i="8" s="1"/>
  <c r="O44" i="8" s="1"/>
  <c r="N45" i="8" s="1"/>
  <c r="Q16" i="8"/>
  <c r="O22" i="8"/>
  <c r="O25" i="8"/>
  <c r="O23" i="8"/>
  <c r="O31" i="8"/>
  <c r="O30" i="8"/>
  <c r="O29" i="8"/>
  <c r="P21" i="8"/>
  <c r="O28" i="8"/>
  <c r="O24" i="8"/>
  <c r="O26" i="8"/>
  <c r="O27" i="8"/>
  <c r="J40" i="7"/>
  <c r="I41" i="7" s="1"/>
  <c r="J54" i="6"/>
  <c r="J37" i="6"/>
  <c r="I38" i="6" s="1"/>
  <c r="H39" i="6" s="1"/>
  <c r="G40" i="6" s="1"/>
  <c r="J36" i="6"/>
  <c r="J50" i="6"/>
  <c r="H20" i="7"/>
  <c r="H21" i="7"/>
  <c r="I21" i="7" s="1"/>
  <c r="J21" i="7" s="1"/>
  <c r="K21" i="7" s="1"/>
  <c r="L21" i="7" s="1"/>
  <c r="L36" i="7" s="1"/>
  <c r="K37" i="7" s="1"/>
  <c r="J38" i="7" s="1"/>
  <c r="I39" i="7" s="1"/>
  <c r="Q41" i="8" l="1"/>
  <c r="P42" i="8" s="1"/>
  <c r="O43" i="8" s="1"/>
  <c r="N44" i="8" s="1"/>
  <c r="M45" i="8" s="1"/>
  <c r="P31" i="8"/>
  <c r="P28" i="8"/>
  <c r="P27" i="8"/>
  <c r="Q21" i="8"/>
  <c r="Q46" i="8" s="1"/>
  <c r="P46" i="8" s="1"/>
  <c r="O46" i="8" s="1"/>
  <c r="N46" i="8" s="1"/>
  <c r="M46" i="8" s="1"/>
  <c r="P23" i="8"/>
  <c r="P26" i="8"/>
  <c r="P29" i="8"/>
  <c r="P25" i="8"/>
  <c r="P24" i="8"/>
  <c r="P30" i="8"/>
  <c r="P22" i="8"/>
  <c r="I40" i="7"/>
  <c r="H41" i="7" s="1"/>
  <c r="I37" i="6"/>
  <c r="H38" i="6" s="1"/>
  <c r="G39" i="6" s="1"/>
  <c r="F40" i="6" s="1"/>
  <c r="I36" i="6"/>
  <c r="I55" i="6"/>
  <c r="H56" i="6" s="1"/>
  <c r="I54" i="6"/>
  <c r="I51" i="6"/>
  <c r="H52" i="6" s="1"/>
  <c r="G53" i="6" s="1"/>
  <c r="I50" i="6"/>
  <c r="I19" i="7"/>
  <c r="I20" i="7"/>
  <c r="J20" i="7" s="1"/>
  <c r="K20" i="7" s="1"/>
  <c r="L20" i="7" s="1"/>
  <c r="L35" i="7" s="1"/>
  <c r="K36" i="7" s="1"/>
  <c r="J37" i="7" s="1"/>
  <c r="I38" i="7" s="1"/>
  <c r="H39" i="7" s="1"/>
  <c r="L46" i="8" l="1"/>
  <c r="Q24" i="8"/>
  <c r="Q49" i="8" s="1"/>
  <c r="Q22" i="8"/>
  <c r="Q47" i="8" s="1"/>
  <c r="Q29" i="8"/>
  <c r="Q54" i="8" s="1"/>
  <c r="Q27" i="8"/>
  <c r="Q52" i="8" s="1"/>
  <c r="Q25" i="8"/>
  <c r="Q50" i="8" s="1"/>
  <c r="Q30" i="8"/>
  <c r="Q55" i="8" s="1"/>
  <c r="P56" i="8" s="1"/>
  <c r="Q26" i="8"/>
  <c r="Q51" i="8" s="1"/>
  <c r="Q28" i="8"/>
  <c r="Q53" i="8" s="1"/>
  <c r="P54" i="8" s="1"/>
  <c r="Q23" i="8"/>
  <c r="Q48" i="8" s="1"/>
  <c r="P49" i="8" s="1"/>
  <c r="Q31" i="8"/>
  <c r="Q56" i="8" s="1"/>
  <c r="H40" i="7"/>
  <c r="G41" i="7" s="1"/>
  <c r="H55" i="6"/>
  <c r="G56" i="6" s="1"/>
  <c r="H54" i="6"/>
  <c r="H37" i="6"/>
  <c r="G38" i="6" s="1"/>
  <c r="F39" i="6" s="1"/>
  <c r="E40" i="6" s="1"/>
  <c r="H36" i="6"/>
  <c r="H51" i="6"/>
  <c r="G52" i="6" s="1"/>
  <c r="F53" i="6" s="1"/>
  <c r="H50" i="6"/>
  <c r="G51" i="6" s="1"/>
  <c r="F52" i="6" s="1"/>
  <c r="E53" i="6" s="1"/>
  <c r="J18" i="7"/>
  <c r="J19" i="7"/>
  <c r="K19" i="7" s="1"/>
  <c r="L19" i="7" s="1"/>
  <c r="L34" i="7" s="1"/>
  <c r="K35" i="7" s="1"/>
  <c r="J36" i="7" s="1"/>
  <c r="I37" i="7" s="1"/>
  <c r="H38" i="7" s="1"/>
  <c r="G39" i="7" s="1"/>
  <c r="P52" i="8" l="1"/>
  <c r="O53" i="8" s="1"/>
  <c r="N54" i="8" s="1"/>
  <c r="P53" i="8"/>
  <c r="O54" i="8" s="1"/>
  <c r="P51" i="8"/>
  <c r="P55" i="8"/>
  <c r="O56" i="8" s="1"/>
  <c r="P48" i="8"/>
  <c r="O49" i="8" s="1"/>
  <c r="P50" i="8"/>
  <c r="O51" i="8" s="1"/>
  <c r="P47" i="8"/>
  <c r="G40" i="7"/>
  <c r="F41" i="7" s="1"/>
  <c r="G37" i="6"/>
  <c r="F38" i="6" s="1"/>
  <c r="E39" i="6" s="1"/>
  <c r="D40" i="6" s="1"/>
  <c r="G36" i="6"/>
  <c r="G55" i="6"/>
  <c r="F56" i="6" s="1"/>
  <c r="G54" i="6"/>
  <c r="K17" i="7"/>
  <c r="K18" i="7"/>
  <c r="L18" i="7" s="1"/>
  <c r="L33" i="7" s="1"/>
  <c r="K34" i="7" s="1"/>
  <c r="J35" i="7" s="1"/>
  <c r="I36" i="7" s="1"/>
  <c r="H37" i="7" s="1"/>
  <c r="G38" i="7" s="1"/>
  <c r="F39" i="7" s="1"/>
  <c r="O55" i="8" l="1"/>
  <c r="N56" i="8" s="1"/>
  <c r="O52" i="8"/>
  <c r="N52" i="8" s="1"/>
  <c r="O50" i="8"/>
  <c r="N51" i="8" s="1"/>
  <c r="O47" i="8"/>
  <c r="O48" i="8"/>
  <c r="N49" i="8" s="1"/>
  <c r="F40" i="7"/>
  <c r="E41" i="7" s="1"/>
  <c r="F55" i="6"/>
  <c r="E56" i="6" s="1"/>
  <c r="F54" i="6"/>
  <c r="F37" i="6"/>
  <c r="E38" i="6" s="1"/>
  <c r="D39" i="6" s="1"/>
  <c r="C40" i="6" s="1"/>
  <c r="F36" i="6"/>
  <c r="L16" i="7"/>
  <c r="L31" i="7" s="1"/>
  <c r="L17" i="7"/>
  <c r="L32" i="7" s="1"/>
  <c r="K33" i="7" s="1"/>
  <c r="J34" i="7" s="1"/>
  <c r="I35" i="7" s="1"/>
  <c r="H36" i="7" s="1"/>
  <c r="G37" i="7" s="1"/>
  <c r="F38" i="7" s="1"/>
  <c r="E39" i="7" s="1"/>
  <c r="N55" i="8" l="1"/>
  <c r="M56" i="8" s="1"/>
  <c r="N53" i="8"/>
  <c r="M54" i="8" s="1"/>
  <c r="M52" i="8"/>
  <c r="N47" i="8"/>
  <c r="N48" i="8"/>
  <c r="M49" i="8" s="1"/>
  <c r="N50" i="8"/>
  <c r="M51" i="8" s="1"/>
  <c r="L52" i="8" s="1"/>
  <c r="E40" i="7"/>
  <c r="D41" i="7" s="1"/>
  <c r="K32" i="7"/>
  <c r="J33" i="7" s="1"/>
  <c r="I34" i="7" s="1"/>
  <c r="H35" i="7" s="1"/>
  <c r="G36" i="7" s="1"/>
  <c r="F37" i="7" s="1"/>
  <c r="E38" i="7" s="1"/>
  <c r="D39" i="7" s="1"/>
  <c r="E37" i="6"/>
  <c r="D38" i="6" s="1"/>
  <c r="C39" i="6" s="1"/>
  <c r="E55" i="6"/>
  <c r="D56" i="6" s="1"/>
  <c r="E54" i="6"/>
  <c r="M55" i="8" l="1"/>
  <c r="M53" i="8"/>
  <c r="L54" i="8" s="1"/>
  <c r="M50" i="8"/>
  <c r="L51" i="8" s="1"/>
  <c r="K52" i="8" s="1"/>
  <c r="L56" i="8"/>
  <c r="L55" i="8"/>
  <c r="M47" i="8"/>
  <c r="M48" i="8"/>
  <c r="L49" i="8" s="1"/>
  <c r="D40" i="7"/>
  <c r="C41" i="7" s="1"/>
  <c r="D55" i="6"/>
  <c r="C56" i="6" s="1"/>
  <c r="D54" i="6"/>
  <c r="C55" i="6" s="1"/>
  <c r="L53" i="8" l="1"/>
  <c r="K54" i="8" s="1"/>
  <c r="K53" i="8"/>
  <c r="J54" i="8" s="1"/>
  <c r="L50" i="8"/>
  <c r="K51" i="8" s="1"/>
  <c r="J52" i="8" s="1"/>
  <c r="L47" i="8"/>
  <c r="L48" i="8"/>
  <c r="K49" i="8" s="1"/>
  <c r="K56" i="8"/>
  <c r="K55" i="8"/>
  <c r="C40" i="7"/>
  <c r="B41" i="7" s="1"/>
  <c r="K50" i="8" l="1"/>
  <c r="J51" i="8" s="1"/>
  <c r="I52" i="8" s="1"/>
  <c r="J53" i="8"/>
  <c r="I54" i="8" s="1"/>
  <c r="J50" i="8"/>
  <c r="I51" i="8" s="1"/>
  <c r="H52" i="8" s="1"/>
  <c r="J56" i="8"/>
  <c r="J55" i="8"/>
  <c r="K48" i="8"/>
  <c r="J49" i="8" s="1"/>
  <c r="I50" i="8" s="1"/>
  <c r="K47" i="8"/>
  <c r="I53" i="8" l="1"/>
  <c r="H54" i="8" s="1"/>
  <c r="H51" i="8"/>
  <c r="G52" i="8" s="1"/>
  <c r="J48" i="8"/>
  <c r="I49" i="8" s="1"/>
  <c r="H50" i="8" s="1"/>
  <c r="I56" i="8"/>
  <c r="I55" i="8"/>
  <c r="H53" i="8" l="1"/>
  <c r="G51" i="8"/>
  <c r="F52" i="8" s="1"/>
  <c r="H56" i="8"/>
  <c r="H55" i="8"/>
  <c r="G54" i="8" l="1"/>
  <c r="G53" i="8"/>
  <c r="G56" i="8"/>
  <c r="G55" i="8"/>
  <c r="F54" i="8" l="1"/>
  <c r="F53" i="8"/>
  <c r="F56" i="8"/>
  <c r="F55" i="8"/>
  <c r="E54" i="8" l="1"/>
  <c r="E53" i="8"/>
  <c r="D54" i="8" s="1"/>
  <c r="E56" i="8"/>
  <c r="E55" i="8"/>
  <c r="D56" i="8" l="1"/>
  <c r="D55" i="8"/>
  <c r="C56" i="8" l="1"/>
  <c r="C55" i="8"/>
  <c r="B56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I2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F2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mhaugh</author>
  </authors>
  <commentList>
    <comment ref="F2" authorId="0" shapeId="0" xr:uid="{86F81798-2CE1-40AE-9D84-A1D494C10775}">
      <text>
        <r>
          <rPr>
            <sz val="8"/>
            <color indexed="81"/>
            <rFont val="Tahoma"/>
            <family val="2"/>
          </rPr>
          <t xml:space="preserve">1 for a call, -1 for a put
</t>
        </r>
      </text>
    </comment>
  </commentList>
</comments>
</file>

<file path=xl/sharedStrings.xml><?xml version="1.0" encoding="utf-8"?>
<sst xmlns="http://schemas.openxmlformats.org/spreadsheetml/2006/main" count="132" uniqueCount="36">
  <si>
    <t>Lattice Parameters</t>
  </si>
  <si>
    <t>Option Parameters</t>
  </si>
  <si>
    <t>Initial Price</t>
  </si>
  <si>
    <t>Strike</t>
  </si>
  <si>
    <t>T (years)</t>
  </si>
  <si>
    <t>volatility</t>
  </si>
  <si>
    <t># Periods</t>
  </si>
  <si>
    <t>R</t>
  </si>
  <si>
    <t>u</t>
  </si>
  <si>
    <t>d</t>
  </si>
  <si>
    <t>q</t>
  </si>
  <si>
    <t>1-q</t>
  </si>
  <si>
    <t>Stock-Lattice</t>
  </si>
  <si>
    <t>t = 0</t>
  </si>
  <si>
    <t>t = 1</t>
  </si>
  <si>
    <t>t = 2</t>
  </si>
  <si>
    <t>t = 3</t>
  </si>
  <si>
    <t>Option-Lattice</t>
  </si>
  <si>
    <t>Futures Parameters</t>
  </si>
  <si>
    <t>Expiration</t>
  </si>
  <si>
    <t>Call / Put</t>
  </si>
  <si>
    <t>Type</t>
  </si>
  <si>
    <t>European</t>
  </si>
  <si>
    <t>r</t>
  </si>
  <si>
    <t>Div-Yield</t>
  </si>
  <si>
    <t>t = 4</t>
  </si>
  <si>
    <t>t = 5</t>
  </si>
  <si>
    <t>t = 6</t>
  </si>
  <si>
    <t>t = 7</t>
  </si>
  <si>
    <t>t = 8</t>
  </si>
  <si>
    <t>t = 9</t>
  </si>
  <si>
    <t>t = 10</t>
  </si>
  <si>
    <t>Futures-Lattice</t>
  </si>
  <si>
    <t>Share</t>
  </si>
  <si>
    <t>European Option Payoff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</si>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</sst>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General_)"/>
    <numFmt numFmtId="165" formatCode="0.0%"/>
    <numFmt numFmtId="166" formatCode="0.00000"/>
    <numFmt numFmtId="167" formatCode="0.0"/>
    <numFmt numFmtId="168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9511703848384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4" fontId="3" fillId="0" borderId="0"/>
    <xf numFmtId="9" fontId="1" fillId="0" borderId="0" applyFont="0" applyFill="0" applyBorder="0" applyAlignment="0" applyProtection="0"/>
    <xf numFmtId="0" fontId="3" fillId="0" borderId="0"/>
  </cellStyleXfs>
  <cellXfs count="66">
    <xf numFmtId="0" fontId="0" fillId="0" borderId="0" xfId="0"/>
    <xf numFmtId="0" fontId="1" fillId="0" borderId="0" xfId="1"/>
    <xf numFmtId="0" fontId="2" fillId="0" borderId="0" xfId="1" applyFont="1"/>
    <xf numFmtId="0" fontId="3" fillId="3" borderId="5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3" borderId="6" xfId="1" applyFont="1" applyFill="1" applyBorder="1"/>
    <xf numFmtId="0" fontId="1" fillId="0" borderId="7" xfId="1" applyBorder="1" applyAlignment="1">
      <alignment horizontal="center"/>
    </xf>
    <xf numFmtId="164" fontId="3" fillId="3" borderId="8" xfId="2" applyFont="1" applyFill="1" applyBorder="1" applyAlignment="1" applyProtection="1">
      <alignment horizontal="center"/>
    </xf>
    <xf numFmtId="2" fontId="0" fillId="0" borderId="9" xfId="3" applyNumberFormat="1" applyFont="1" applyBorder="1" applyAlignment="1">
      <alignment horizontal="center"/>
    </xf>
    <xf numFmtId="2" fontId="2" fillId="0" borderId="0" xfId="1" applyNumberFormat="1" applyFont="1"/>
    <xf numFmtId="165" fontId="0" fillId="0" borderId="9" xfId="3" applyNumberFormat="1" applyFont="1" applyBorder="1" applyAlignment="1">
      <alignment horizontal="center"/>
    </xf>
    <xf numFmtId="0" fontId="1" fillId="0" borderId="8" xfId="1" applyBorder="1" applyAlignment="1">
      <alignment horizontal="center"/>
    </xf>
    <xf numFmtId="10" fontId="2" fillId="0" borderId="0" xfId="1" applyNumberFormat="1" applyFont="1"/>
    <xf numFmtId="164" fontId="3" fillId="4" borderId="3" xfId="2" applyFont="1" applyFill="1" applyBorder="1" applyAlignment="1" applyProtection="1">
      <alignment horizontal="center"/>
    </xf>
    <xf numFmtId="166" fontId="1" fillId="0" borderId="5" xfId="1" applyNumberFormat="1" applyBorder="1" applyAlignment="1">
      <alignment horizontal="center"/>
    </xf>
    <xf numFmtId="164" fontId="3" fillId="4" borderId="10" xfId="2" applyFont="1" applyFill="1" applyBorder="1" applyAlignment="1" applyProtection="1">
      <alignment horizontal="center"/>
    </xf>
    <xf numFmtId="166" fontId="1" fillId="0" borderId="8" xfId="1" applyNumberFormat="1" applyBorder="1" applyAlignment="1">
      <alignment horizontal="center"/>
    </xf>
    <xf numFmtId="0" fontId="1" fillId="0" borderId="0" xfId="1" applyAlignment="1">
      <alignment horizontal="right"/>
    </xf>
    <xf numFmtId="10" fontId="1" fillId="0" borderId="8" xfId="3" applyNumberFormat="1" applyBorder="1" applyAlignment="1">
      <alignment horizontal="center"/>
    </xf>
    <xf numFmtId="0" fontId="1" fillId="4" borderId="11" xfId="1" applyFont="1" applyFill="1" applyBorder="1" applyAlignment="1">
      <alignment horizontal="center"/>
    </xf>
    <xf numFmtId="10" fontId="1" fillId="0" borderId="12" xfId="3" applyNumberFormat="1" applyBorder="1" applyAlignment="1">
      <alignment horizontal="center"/>
    </xf>
    <xf numFmtId="1" fontId="3" fillId="0" borderId="0" xfId="2" applyNumberFormat="1" applyFont="1" applyProtection="1"/>
    <xf numFmtId="167" fontId="1" fillId="0" borderId="0" xfId="1" applyNumberFormat="1" applyFont="1" applyAlignment="1">
      <alignment horizontal="center"/>
    </xf>
    <xf numFmtId="167" fontId="1" fillId="0" borderId="15" xfId="1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8" fontId="1" fillId="0" borderId="17" xfId="1" applyNumberFormat="1" applyFont="1" applyBorder="1" applyAlignment="1">
      <alignment horizontal="center"/>
    </xf>
    <xf numFmtId="168" fontId="1" fillId="0" borderId="0" xfId="1" applyNumberFormat="1" applyFont="1" applyBorder="1" applyAlignment="1">
      <alignment horizontal="center"/>
    </xf>
    <xf numFmtId="168" fontId="1" fillId="0" borderId="18" xfId="1" applyNumberFormat="1" applyFont="1" applyBorder="1" applyAlignment="1">
      <alignment horizontal="center"/>
    </xf>
    <xf numFmtId="167" fontId="4" fillId="0" borderId="0" xfId="1" applyNumberFormat="1" applyFont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0" xfId="1" applyNumberFormat="1" applyFont="1" applyBorder="1" applyAlignment="1">
      <alignment horizontal="center"/>
    </xf>
    <xf numFmtId="167" fontId="1" fillId="0" borderId="18" xfId="1" applyNumberFormat="1" applyFont="1" applyBorder="1" applyAlignment="1">
      <alignment horizontal="center"/>
    </xf>
    <xf numFmtId="167" fontId="4" fillId="0" borderId="19" xfId="1" applyNumberFormat="1" applyFont="1" applyBorder="1" applyAlignment="1">
      <alignment horizontal="center"/>
    </xf>
    <xf numFmtId="167" fontId="4" fillId="0" borderId="20" xfId="1" applyNumberFormat="1" applyFont="1" applyBorder="1" applyAlignment="1">
      <alignment horizontal="center"/>
    </xf>
    <xf numFmtId="167" fontId="4" fillId="0" borderId="21" xfId="1" applyNumberFormat="1" applyFont="1" applyBorder="1" applyAlignment="1">
      <alignment horizontal="center"/>
    </xf>
    <xf numFmtId="2" fontId="1" fillId="0" borderId="17" xfId="1" applyNumberFormat="1" applyFont="1" applyBorder="1" applyAlignment="1">
      <alignment horizontal="center"/>
    </xf>
    <xf numFmtId="2" fontId="1" fillId="0" borderId="0" xfId="1" applyNumberFormat="1" applyFont="1" applyBorder="1" applyAlignment="1">
      <alignment horizontal="center"/>
    </xf>
    <xf numFmtId="2" fontId="1" fillId="0" borderId="18" xfId="1" applyNumberFormat="1" applyFont="1" applyBorder="1" applyAlignment="1">
      <alignment horizontal="center"/>
    </xf>
    <xf numFmtId="167" fontId="1" fillId="6" borderId="0" xfId="1" applyNumberFormat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22" xfId="1" applyBorder="1" applyAlignment="1">
      <alignment horizontal="center"/>
    </xf>
    <xf numFmtId="0" fontId="1" fillId="3" borderId="3" xfId="1" applyFont="1" applyFill="1" applyBorder="1"/>
    <xf numFmtId="0" fontId="1" fillId="0" borderId="5" xfId="1" applyBorder="1" applyAlignment="1">
      <alignment horizontal="center"/>
    </xf>
    <xf numFmtId="0" fontId="1" fillId="3" borderId="10" xfId="1" applyFont="1" applyFill="1" applyBorder="1"/>
    <xf numFmtId="0" fontId="1" fillId="3" borderId="11" xfId="1" applyFont="1" applyFill="1" applyBorder="1"/>
    <xf numFmtId="0" fontId="1" fillId="0" borderId="12" xfId="1" applyBorder="1"/>
    <xf numFmtId="10" fontId="0" fillId="0" borderId="9" xfId="3" applyNumberFormat="1" applyFont="1" applyBorder="1" applyAlignment="1">
      <alignment horizontal="center"/>
    </xf>
    <xf numFmtId="164" fontId="3" fillId="3" borderId="12" xfId="2" applyFont="1" applyFill="1" applyBorder="1" applyAlignment="1" applyProtection="1">
      <alignment horizontal="center"/>
    </xf>
    <xf numFmtId="10" fontId="0" fillId="0" borderId="12" xfId="3" applyNumberFormat="1" applyFont="1" applyBorder="1" applyAlignment="1">
      <alignment horizontal="center"/>
    </xf>
    <xf numFmtId="0" fontId="3" fillId="0" borderId="0" xfId="4"/>
    <xf numFmtId="0" fontId="4" fillId="3" borderId="3" xfId="1" applyFont="1" applyFill="1" applyBorder="1"/>
    <xf numFmtId="0" fontId="4" fillId="3" borderId="11" xfId="1" applyFont="1" applyFill="1" applyBorder="1"/>
    <xf numFmtId="0" fontId="1" fillId="0" borderId="12" xfId="1" applyBorder="1" applyAlignment="1">
      <alignment horizontal="center"/>
    </xf>
    <xf numFmtId="0" fontId="2" fillId="0" borderId="0" xfId="4" applyFont="1"/>
    <xf numFmtId="0" fontId="3" fillId="0" borderId="0" xfId="4" applyAlignment="1">
      <alignment horizontal="right"/>
    </xf>
    <xf numFmtId="2" fontId="3" fillId="0" borderId="0" xfId="4" applyNumberFormat="1" applyFont="1"/>
    <xf numFmtId="2" fontId="3" fillId="0" borderId="0" xfId="4" applyNumberFormat="1"/>
    <xf numFmtId="2" fontId="2" fillId="0" borderId="0" xfId="4" applyNumberFormat="1" applyFont="1"/>
    <xf numFmtId="0" fontId="2" fillId="0" borderId="0" xfId="4" quotePrefix="1" applyFont="1" applyAlignment="1">
      <alignment horizontal="left"/>
    </xf>
    <xf numFmtId="2" fontId="3" fillId="0" borderId="0" xfId="4" applyNumberFormat="1" applyFont="1" applyAlignment="1">
      <alignment horizontal="right"/>
    </xf>
    <xf numFmtId="0" fontId="1" fillId="2" borderId="1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/>
    </xf>
    <xf numFmtId="0" fontId="1" fillId="2" borderId="3" xfId="1" applyFont="1" applyFill="1" applyBorder="1" applyAlignment="1">
      <alignment horizontal="center"/>
    </xf>
    <xf numFmtId="0" fontId="1" fillId="2" borderId="4" xfId="1" applyFont="1" applyFill="1" applyBorder="1" applyAlignment="1">
      <alignment horizontal="center"/>
    </xf>
    <xf numFmtId="167" fontId="4" fillId="5" borderId="13" xfId="1" applyNumberFormat="1" applyFont="1" applyFill="1" applyBorder="1" applyAlignment="1">
      <alignment horizontal="center"/>
    </xf>
    <xf numFmtId="167" fontId="4" fillId="5" borderId="14" xfId="1" applyNumberFormat="1" applyFon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4" xr:uid="{00000000-0005-0000-0000-000002000000}"/>
    <cellStyle name="Normal_Call" xfId="2" xr:uid="{00000000-0005-0000-0000-000003000000}"/>
    <cellStyle name="Percent 2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H28"/>
  <sheetViews>
    <sheetView showGridLines="0" zoomScaleNormal="100" workbookViewId="0">
      <selection activeCell="E26" sqref="E26"/>
    </sheetView>
  </sheetViews>
  <sheetFormatPr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60" t="s">
        <v>0</v>
      </c>
      <c r="B1" s="61"/>
      <c r="E1" s="2"/>
      <c r="G1" s="62" t="s">
        <v>1</v>
      </c>
      <c r="H1" s="63"/>
    </row>
    <row r="2" spans="1:8" ht="13.5" thickBot="1" x14ac:dyDescent="0.25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5">
      <c r="A3" s="7" t="s">
        <v>4</v>
      </c>
      <c r="B3" s="8">
        <v>0.25</v>
      </c>
      <c r="D3" s="9"/>
    </row>
    <row r="4" spans="1:8" ht="15" x14ac:dyDescent="0.25">
      <c r="A4" s="7" t="s">
        <v>5</v>
      </c>
      <c r="B4" s="10">
        <v>0.23438000000000001</v>
      </c>
      <c r="D4" s="9"/>
    </row>
    <row r="5" spans="1:8" x14ac:dyDescent="0.2">
      <c r="A5" s="7" t="s">
        <v>6</v>
      </c>
      <c r="B5" s="11">
        <v>3</v>
      </c>
      <c r="D5" s="12"/>
    </row>
    <row r="6" spans="1:8" ht="15.75" thickBot="1" x14ac:dyDescent="0.3">
      <c r="A6" s="7" t="s">
        <v>7</v>
      </c>
      <c r="B6" s="8">
        <v>1.0100100000000001</v>
      </c>
      <c r="D6" s="12"/>
    </row>
    <row r="7" spans="1:8" x14ac:dyDescent="0.2">
      <c r="A7" s="13" t="s">
        <v>8</v>
      </c>
      <c r="B7" s="14">
        <v>1.07</v>
      </c>
    </row>
    <row r="8" spans="1:8" x14ac:dyDescent="0.2">
      <c r="A8" s="15" t="s">
        <v>9</v>
      </c>
      <c r="B8" s="16">
        <f>1/B7</f>
        <v>0.93457943925233644</v>
      </c>
      <c r="G8" s="17"/>
    </row>
    <row r="9" spans="1:8" x14ac:dyDescent="0.2">
      <c r="A9" s="15" t="s">
        <v>10</v>
      </c>
      <c r="B9" s="18">
        <f>(B6 - B8) / (B7 - B8)</f>
        <v>0.55700966183574907</v>
      </c>
      <c r="G9" s="17"/>
    </row>
    <row r="10" spans="1:8" ht="13.5" thickBot="1" x14ac:dyDescent="0.25">
      <c r="A10" s="19" t="s">
        <v>11</v>
      </c>
      <c r="B10" s="20">
        <f>1 - B9</f>
        <v>0.44299033816425093</v>
      </c>
      <c r="D10" s="21"/>
      <c r="F10" s="17"/>
    </row>
    <row r="11" spans="1:8" x14ac:dyDescent="0.2"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64" t="s">
        <v>12</v>
      </c>
      <c r="C13" s="65"/>
      <c r="D13" s="23"/>
      <c r="E13" s="24"/>
      <c r="F13" s="22"/>
      <c r="G13" s="22"/>
    </row>
    <row r="14" spans="1:8" x14ac:dyDescent="0.2">
      <c r="A14" s="22"/>
      <c r="B14" s="25"/>
      <c r="C14" s="26"/>
      <c r="D14" s="26"/>
      <c r="E14" s="27">
        <f>B2 * (B7 ^ (3)) * (B8 ^ (0))</f>
        <v>122.50430000000001</v>
      </c>
      <c r="F14" s="22"/>
      <c r="G14" s="22"/>
    </row>
    <row r="15" spans="1:8" x14ac:dyDescent="0.2">
      <c r="A15" s="22"/>
      <c r="B15" s="25"/>
      <c r="C15" s="26"/>
      <c r="D15" s="26">
        <f>B2 * (B7 ^ (2)) * (B8 ^ (0))</f>
        <v>114.49000000000001</v>
      </c>
      <c r="E15" s="27">
        <f>B2 * (B7 ^ (2)) * (B8 ^ (1))</f>
        <v>107.00000000000001</v>
      </c>
      <c r="F15" s="22"/>
      <c r="G15" s="22"/>
    </row>
    <row r="16" spans="1:8" x14ac:dyDescent="0.2">
      <c r="A16" s="22"/>
      <c r="B16" s="25"/>
      <c r="C16" s="26">
        <f>B2 * (B7 ^ (1)) * (B8 ^ (0))</f>
        <v>107</v>
      </c>
      <c r="D16" s="26">
        <f>B2 * (B7 ^ (1)) * (B8 ^ (1))</f>
        <v>100</v>
      </c>
      <c r="E16" s="27">
        <f>B2 * (B7 ^ (1)) * (B8 ^ (2))</f>
        <v>93.45794392523365</v>
      </c>
      <c r="F16" s="22"/>
      <c r="G16" s="22"/>
    </row>
    <row r="17" spans="1:7" x14ac:dyDescent="0.2">
      <c r="A17" s="22"/>
      <c r="B17" s="25">
        <f>B2 * (B7 ^ (0)) * (B8 ^ (0))</f>
        <v>100</v>
      </c>
      <c r="C17" s="26">
        <f>B2 * (B7 ^ (0)) * (B8 ^ (1))</f>
        <v>93.45794392523365</v>
      </c>
      <c r="D17" s="26">
        <f>B2 * (B7 ^ (0)) * (B8 ^ (2))</f>
        <v>87.343872827321164</v>
      </c>
      <c r="E17" s="27">
        <f>B2 * (B7 ^ (0)) * (B8 ^ (3))</f>
        <v>81.629787689085191</v>
      </c>
      <c r="F17" s="22"/>
      <c r="G17" s="28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64" t="s">
        <v>17</v>
      </c>
      <c r="C22" s="65"/>
      <c r="D22" s="23"/>
      <c r="E22" s="24"/>
      <c r="F22" s="22"/>
      <c r="G22" s="22"/>
    </row>
    <row r="23" spans="1:7" x14ac:dyDescent="0.2">
      <c r="A23" s="22"/>
      <c r="B23" s="25"/>
      <c r="C23" s="26"/>
      <c r="D23" s="26"/>
      <c r="E23" s="27">
        <f>MAX($E$14 - $H$2, 0)</f>
        <v>22.504300000000015</v>
      </c>
      <c r="F23" s="22"/>
      <c r="G23" s="22"/>
    </row>
    <row r="24" spans="1:7" x14ac:dyDescent="0.2">
      <c r="A24" s="22"/>
      <c r="B24" s="25"/>
      <c r="C24" s="26"/>
      <c r="D24" s="26">
        <f xml:space="preserve"> ($B$9 *$E$23 + $B$10 *$E$24)/$B$6</f>
        <v>15.48107929624461</v>
      </c>
      <c r="E24" s="27">
        <f>MAX($E$15 - $H$2, 0)</f>
        <v>7.0000000000000142</v>
      </c>
      <c r="F24" s="22"/>
      <c r="G24" s="22"/>
    </row>
    <row r="25" spans="1:7" x14ac:dyDescent="0.2">
      <c r="A25" s="22"/>
      <c r="B25" s="25"/>
      <c r="C25" s="26">
        <f>($B$9 *$D$24 + $B$10 *$D$25)/$B$6</f>
        <v>10.230831004401377</v>
      </c>
      <c r="D25" s="26">
        <f xml:space="preserve"> ($B$9 *$E$24 + $B$10 *$E$25)/$B$6</f>
        <v>3.860424780794498</v>
      </c>
      <c r="E25" s="27">
        <f>MAX($E$16 - $H$2, 0)</f>
        <v>0</v>
      </c>
      <c r="F25" s="22"/>
      <c r="G25" s="22"/>
    </row>
    <row r="26" spans="1:7" x14ac:dyDescent="0.2">
      <c r="A26" s="22"/>
      <c r="B26" s="25">
        <f xml:space="preserve"> ($B$9 *$C$25 + $B$10 *$C$26)/$B$6</f>
        <v>6.5759651107427004</v>
      </c>
      <c r="C26" s="26">
        <f xml:space="preserve"> ($B$9 *$D$25 + $B$10 *$D$26)/$B$6</f>
        <v>2.1289827840246027</v>
      </c>
      <c r="D26" s="26">
        <f xml:space="preserve"> ($B$9 *$E$25 + $B$10 *$E$26)/$B$6</f>
        <v>0</v>
      </c>
      <c r="E26" s="27">
        <f>MAX($E$17 - $H$2, 0)</f>
        <v>0</v>
      </c>
      <c r="F26" s="22"/>
      <c r="G26" s="28"/>
    </row>
    <row r="27" spans="1:7" x14ac:dyDescent="0.2">
      <c r="A27" s="22"/>
      <c r="B27" s="25"/>
      <c r="C27" s="26"/>
      <c r="D27" s="26"/>
      <c r="E27" s="27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H28"/>
  <sheetViews>
    <sheetView showGridLines="0" tabSelected="1" zoomScaleNormal="100" workbookViewId="0">
      <selection activeCell="E44" sqref="E44"/>
    </sheetView>
  </sheetViews>
  <sheetFormatPr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8" ht="13.5" thickBot="1" x14ac:dyDescent="0.25">
      <c r="A1" s="60" t="s">
        <v>0</v>
      </c>
      <c r="B1" s="61"/>
      <c r="E1" s="2"/>
      <c r="G1" s="62" t="s">
        <v>1</v>
      </c>
      <c r="H1" s="63"/>
    </row>
    <row r="2" spans="1:8" ht="13.5" thickBot="1" x14ac:dyDescent="0.25">
      <c r="A2" s="3" t="s">
        <v>2</v>
      </c>
      <c r="B2" s="4">
        <v>100</v>
      </c>
      <c r="G2" s="5" t="s">
        <v>3</v>
      </c>
      <c r="H2" s="6">
        <v>100</v>
      </c>
    </row>
    <row r="3" spans="1:8" ht="15" x14ac:dyDescent="0.25">
      <c r="A3" s="7" t="s">
        <v>4</v>
      </c>
      <c r="B3" s="8">
        <v>0.25</v>
      </c>
      <c r="D3" s="9"/>
    </row>
    <row r="4" spans="1:8" ht="15" x14ac:dyDescent="0.25">
      <c r="A4" s="7" t="s">
        <v>5</v>
      </c>
      <c r="B4" s="10">
        <v>0.23438000000000001</v>
      </c>
      <c r="D4" s="9"/>
    </row>
    <row r="5" spans="1:8" x14ac:dyDescent="0.2">
      <c r="A5" s="7" t="s">
        <v>6</v>
      </c>
      <c r="B5" s="11">
        <v>3</v>
      </c>
      <c r="D5" s="12"/>
    </row>
    <row r="6" spans="1:8" ht="15.75" thickBot="1" x14ac:dyDescent="0.3">
      <c r="A6" s="7" t="s">
        <v>7</v>
      </c>
      <c r="B6" s="8">
        <v>1.0100100000000001</v>
      </c>
      <c r="D6" s="12"/>
    </row>
    <row r="7" spans="1:8" x14ac:dyDescent="0.2">
      <c r="A7" s="13" t="s">
        <v>8</v>
      </c>
      <c r="B7" s="14">
        <v>1.07</v>
      </c>
      <c r="G7" s="17"/>
    </row>
    <row r="8" spans="1:8" x14ac:dyDescent="0.2">
      <c r="A8" s="15" t="s">
        <v>9</v>
      </c>
      <c r="B8" s="16">
        <f>1/B7</f>
        <v>0.93457943925233644</v>
      </c>
      <c r="G8" s="17"/>
    </row>
    <row r="9" spans="1:8" x14ac:dyDescent="0.2">
      <c r="A9" s="15" t="s">
        <v>10</v>
      </c>
      <c r="B9" s="18">
        <f>(B6 - B8) / (B7 - B8)</f>
        <v>0.55700966183574907</v>
      </c>
    </row>
    <row r="10" spans="1:8" ht="13.5" thickBot="1" x14ac:dyDescent="0.25">
      <c r="A10" s="19" t="s">
        <v>11</v>
      </c>
      <c r="B10" s="20">
        <f>1 - B9</f>
        <v>0.44299033816425093</v>
      </c>
      <c r="D10" s="21"/>
      <c r="F10" s="17"/>
      <c r="G10" s="22"/>
    </row>
    <row r="11" spans="1:8" x14ac:dyDescent="0.2">
      <c r="D11" s="21"/>
      <c r="F11" s="17"/>
      <c r="G11" s="22"/>
    </row>
    <row r="12" spans="1:8" ht="13.5" thickBot="1" x14ac:dyDescent="0.25">
      <c r="G12" s="22"/>
    </row>
    <row r="13" spans="1:8" ht="13.5" thickBot="1" x14ac:dyDescent="0.25">
      <c r="A13" s="22"/>
      <c r="B13" s="64" t="s">
        <v>12</v>
      </c>
      <c r="C13" s="65"/>
      <c r="D13" s="23"/>
      <c r="E13" s="24"/>
      <c r="F13" s="22"/>
      <c r="G13" s="22"/>
    </row>
    <row r="14" spans="1:8" x14ac:dyDescent="0.2">
      <c r="A14" s="22"/>
      <c r="B14" s="35"/>
      <c r="C14" s="36"/>
      <c r="D14" s="36"/>
      <c r="E14" s="37">
        <f>B2 * (B7 ^ (3)) * (B8 ^ (0))</f>
        <v>122.50430000000001</v>
      </c>
      <c r="F14" s="22"/>
      <c r="G14" s="22"/>
    </row>
    <row r="15" spans="1:8" x14ac:dyDescent="0.2">
      <c r="A15" s="22"/>
      <c r="B15" s="35"/>
      <c r="C15" s="36"/>
      <c r="D15" s="36">
        <f>B2 * (B7 ^ (2)) * (B8 ^ (0))</f>
        <v>114.49000000000001</v>
      </c>
      <c r="E15" s="37">
        <f>B2 * (B7 ^ (2)) * (B8 ^ (1))</f>
        <v>107.00000000000001</v>
      </c>
      <c r="F15" s="22"/>
      <c r="G15" s="22"/>
    </row>
    <row r="16" spans="1:8" x14ac:dyDescent="0.2">
      <c r="A16" s="22"/>
      <c r="B16" s="35"/>
      <c r="C16" s="36">
        <f>B2 * (B7 ^ (1)) * (B8 ^ (0))</f>
        <v>107</v>
      </c>
      <c r="D16" s="36">
        <f>B2 * (B7 ^ (1)) * (B8 ^ (1))</f>
        <v>100</v>
      </c>
      <c r="E16" s="37">
        <f>B2 * (B7 ^ (1)) * (B8 ^ (2))</f>
        <v>93.45794392523365</v>
      </c>
      <c r="F16" s="22"/>
      <c r="G16" s="28"/>
    </row>
    <row r="17" spans="1:7" x14ac:dyDescent="0.2">
      <c r="A17" s="22"/>
      <c r="B17" s="35">
        <f>B2 * (B7 ^ (0)) * (B8 ^ (0))</f>
        <v>100</v>
      </c>
      <c r="C17" s="36">
        <f>B2 * (B7 ^ (0)) * (B8 ^ (1))</f>
        <v>93.45794392523365</v>
      </c>
      <c r="D17" s="36">
        <f>B2 * (B7 ^ (0)) * (B8 ^ (2))</f>
        <v>87.343872827321164</v>
      </c>
      <c r="E17" s="37">
        <f>B2 * (B7 ^ (0)) * (B8 ^ (3))</f>
        <v>81.629787689085191</v>
      </c>
      <c r="F17" s="22"/>
    </row>
    <row r="18" spans="1:7" x14ac:dyDescent="0.2">
      <c r="A18" s="22"/>
      <c r="B18" s="29"/>
      <c r="C18" s="30"/>
      <c r="D18" s="30"/>
      <c r="E18" s="31"/>
      <c r="F18" s="22"/>
    </row>
    <row r="19" spans="1:7" ht="13.5" thickBot="1" x14ac:dyDescent="0.25">
      <c r="A19" s="28"/>
      <c r="B19" s="32" t="s">
        <v>13</v>
      </c>
      <c r="C19" s="33" t="s">
        <v>14</v>
      </c>
      <c r="D19" s="33" t="s">
        <v>15</v>
      </c>
      <c r="E19" s="34" t="s">
        <v>16</v>
      </c>
      <c r="F19" s="28"/>
      <c r="G19" s="22"/>
    </row>
    <row r="20" spans="1:7" x14ac:dyDescent="0.2">
      <c r="G20" s="22"/>
    </row>
    <row r="21" spans="1:7" ht="13.5" thickBot="1" x14ac:dyDescent="0.25">
      <c r="G21" s="22"/>
    </row>
    <row r="22" spans="1:7" ht="13.5" thickBot="1" x14ac:dyDescent="0.25">
      <c r="A22" s="22"/>
      <c r="B22" s="64" t="s">
        <v>17</v>
      </c>
      <c r="C22" s="65"/>
      <c r="D22" s="23"/>
      <c r="E22" s="24"/>
      <c r="F22" s="22"/>
      <c r="G22" s="22"/>
    </row>
    <row r="23" spans="1:7" x14ac:dyDescent="0.2">
      <c r="A23" s="22"/>
      <c r="B23" s="29"/>
      <c r="C23" s="30"/>
      <c r="D23" s="30"/>
      <c r="E23" s="31">
        <f>MAX( $H$2 - $E$14, 0)</f>
        <v>0</v>
      </c>
      <c r="F23" s="22"/>
      <c r="G23" s="22"/>
    </row>
    <row r="24" spans="1:7" x14ac:dyDescent="0.2">
      <c r="A24" s="22"/>
      <c r="B24" s="29"/>
      <c r="C24" s="30"/>
      <c r="D24" s="30">
        <f>MAX(MAX($H$2 - $D$15, 0),  ($B$9 *$E$23 + $B$10 *$E$24)/$B$6)</f>
        <v>0</v>
      </c>
      <c r="E24" s="31">
        <f>MAX( $H$2 - $E$15, 0)</f>
        <v>0</v>
      </c>
      <c r="F24" s="22"/>
      <c r="G24" s="22"/>
    </row>
    <row r="25" spans="1:7" x14ac:dyDescent="0.2">
      <c r="A25" s="22"/>
      <c r="B25" s="29"/>
      <c r="C25" s="30">
        <f>MAX(MAX($H$2 - $C$16, 0),  ($B$9 *$D$24 + $B$10 *$D$25)/$B$6)</f>
        <v>1.2584947936266209</v>
      </c>
      <c r="D25" s="30">
        <f>MAX(MAX($H$2 - $D$16, 0),  ($B$9 *$E$24 + $B$10 *$E$25)/$B$6)</f>
        <v>2.8693454845498927</v>
      </c>
      <c r="E25" s="31">
        <f>MAX( $H$2 - $E$16, 0)</f>
        <v>6.5420560747663501</v>
      </c>
      <c r="F25" s="22"/>
      <c r="G25" s="28"/>
    </row>
    <row r="26" spans="1:7" x14ac:dyDescent="0.2">
      <c r="A26" s="22"/>
      <c r="B26" s="29">
        <f>MAX(MAX($H$2 - $B$17, 0),  ($B$9 *$C$25 + $B$10 *$C$26)/$B$6)</f>
        <v>3.822750862961048</v>
      </c>
      <c r="C26" s="30">
        <f>MAX(MAX($H$2 - $C$17, 0),  ($B$9 *$D$25 + $B$10 *$D$26)/$B$6)</f>
        <v>7.1333899804099286</v>
      </c>
      <c r="D26" s="38">
        <f>MAX(MAX($H$2 - $D$17, 0),  ($B$9 *$E$25 + $B$10 *$E$26)/$B$6)</f>
        <v>12.656127172678836</v>
      </c>
      <c r="E26" s="31">
        <f>MAX( $H$2 - $E$17, 0)</f>
        <v>18.370212310914809</v>
      </c>
      <c r="F26" s="22"/>
    </row>
    <row r="27" spans="1:7" x14ac:dyDescent="0.2">
      <c r="A27" s="22"/>
      <c r="B27" s="29"/>
      <c r="C27" s="30"/>
      <c r="D27" s="30"/>
      <c r="E27" s="31"/>
      <c r="F27" s="22"/>
    </row>
    <row r="28" spans="1:7" ht="13.5" thickBot="1" x14ac:dyDescent="0.25">
      <c r="A28" s="28"/>
      <c r="B28" s="32" t="s">
        <v>13</v>
      </c>
      <c r="C28" s="33" t="s">
        <v>14</v>
      </c>
      <c r="D28" s="33" t="s">
        <v>15</v>
      </c>
      <c r="E28" s="34" t="s">
        <v>16</v>
      </c>
      <c r="F28" s="28"/>
    </row>
  </sheetData>
  <dataConsolidate/>
  <mergeCells count="4">
    <mergeCell ref="A1:B1"/>
    <mergeCell ref="G1:H1"/>
    <mergeCell ref="B13:C13"/>
    <mergeCell ref="B22:C22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58"/>
  <sheetViews>
    <sheetView showGridLines="0" zoomScaleNormal="100" workbookViewId="0">
      <selection activeCell="P22" sqref="P22"/>
    </sheetView>
  </sheetViews>
  <sheetFormatPr defaultRowHeight="12.75" x14ac:dyDescent="0.2"/>
  <cols>
    <col min="1" max="1" width="10.42578125" style="1" bestFit="1" customWidth="1"/>
    <col min="2" max="6" width="9.140625" style="1"/>
    <col min="7" max="7" width="10.28515625" style="1" bestFit="1" customWidth="1"/>
    <col min="8" max="8" width="9.140625" style="1"/>
    <col min="9" max="9" width="10.28515625" style="1" bestFit="1" customWidth="1"/>
    <col min="10" max="16384" width="9.140625" style="1"/>
  </cols>
  <sheetData>
    <row r="1" spans="1:14" ht="13.5" thickBot="1" x14ac:dyDescent="0.25">
      <c r="A1" s="60" t="s">
        <v>0</v>
      </c>
      <c r="B1" s="61"/>
      <c r="E1" s="60" t="s">
        <v>18</v>
      </c>
      <c r="F1" s="61"/>
      <c r="I1" s="60" t="s">
        <v>1</v>
      </c>
      <c r="J1" s="61"/>
    </row>
    <row r="2" spans="1:14" ht="13.5" thickBot="1" x14ac:dyDescent="0.25">
      <c r="A2" s="3" t="s">
        <v>2</v>
      </c>
      <c r="B2" s="4">
        <v>100</v>
      </c>
      <c r="E2" s="39" t="s">
        <v>19</v>
      </c>
      <c r="F2" s="40">
        <v>10</v>
      </c>
      <c r="I2" s="41" t="s">
        <v>20</v>
      </c>
      <c r="J2" s="42">
        <v>-1</v>
      </c>
    </row>
    <row r="3" spans="1:14" ht="15" x14ac:dyDescent="0.25">
      <c r="A3" s="7" t="s">
        <v>4</v>
      </c>
      <c r="B3" s="8">
        <v>0.5</v>
      </c>
      <c r="D3" s="9"/>
      <c r="I3" s="43" t="s">
        <v>3</v>
      </c>
      <c r="J3" s="11">
        <v>100</v>
      </c>
    </row>
    <row r="4" spans="1:14" ht="15" x14ac:dyDescent="0.25">
      <c r="A4" s="7" t="s">
        <v>5</v>
      </c>
      <c r="B4" s="10">
        <v>0.2</v>
      </c>
      <c r="D4" s="9"/>
      <c r="I4" s="43" t="s">
        <v>19</v>
      </c>
      <c r="J4" s="11">
        <v>10</v>
      </c>
    </row>
    <row r="5" spans="1:14" ht="13.5" thickBot="1" x14ac:dyDescent="0.25">
      <c r="A5" s="7" t="s">
        <v>6</v>
      </c>
      <c r="B5" s="11">
        <v>10</v>
      </c>
      <c r="D5" s="12"/>
      <c r="G5" s="17"/>
      <c r="H5" s="17"/>
      <c r="I5" s="44" t="s">
        <v>21</v>
      </c>
      <c r="J5" s="45" t="s">
        <v>22</v>
      </c>
    </row>
    <row r="6" spans="1:14" ht="15" x14ac:dyDescent="0.25">
      <c r="A6" s="7" t="s">
        <v>23</v>
      </c>
      <c r="B6" s="46">
        <v>0.02</v>
      </c>
      <c r="D6" s="12"/>
    </row>
    <row r="7" spans="1:14" ht="15.75" thickBot="1" x14ac:dyDescent="0.3">
      <c r="A7" s="47" t="s">
        <v>24</v>
      </c>
      <c r="B7" s="48">
        <v>0.01</v>
      </c>
    </row>
    <row r="8" spans="1:14" x14ac:dyDescent="0.2">
      <c r="A8" s="13" t="s">
        <v>8</v>
      </c>
      <c r="B8" s="14">
        <f>EXP(B4*SQRT(B3/B5))</f>
        <v>1.0457364348384068</v>
      </c>
    </row>
    <row r="9" spans="1:14" x14ac:dyDescent="0.2">
      <c r="A9" s="15" t="s">
        <v>9</v>
      </c>
      <c r="B9" s="16">
        <f>1/B8</f>
        <v>0.95626389851714955</v>
      </c>
    </row>
    <row r="10" spans="1:14" x14ac:dyDescent="0.2">
      <c r="A10" s="15" t="s">
        <v>10</v>
      </c>
      <c r="B10" s="18">
        <f>(EXP((B6 - B7) * B3/B5) - B9) / (B8 - B9)</f>
        <v>0.49441122742796845</v>
      </c>
      <c r="D10" s="21"/>
      <c r="F10" s="17"/>
      <c r="G10" s="17"/>
    </row>
    <row r="11" spans="1:14" ht="13.5" thickBot="1" x14ac:dyDescent="0.25">
      <c r="A11" s="19" t="s">
        <v>11</v>
      </c>
      <c r="B11" s="20">
        <f>1 - B10</f>
        <v>0.50558877257203161</v>
      </c>
      <c r="D11" s="21"/>
      <c r="F11" s="17"/>
      <c r="G11" s="17"/>
    </row>
    <row r="12" spans="1:14" ht="13.5" thickBot="1" x14ac:dyDescent="0.25"/>
    <row r="13" spans="1:14" ht="13.5" thickBot="1" x14ac:dyDescent="0.25">
      <c r="A13" s="22"/>
      <c r="B13" s="64" t="s">
        <v>12</v>
      </c>
      <c r="C13" s="65"/>
      <c r="D13" s="23"/>
      <c r="E13" s="23"/>
      <c r="F13" s="23"/>
      <c r="G13" s="23"/>
      <c r="H13" s="23"/>
      <c r="I13" s="23"/>
      <c r="J13" s="23"/>
      <c r="K13" s="23"/>
      <c r="L13" s="24"/>
      <c r="M13" s="22"/>
      <c r="N13" s="22"/>
    </row>
    <row r="14" spans="1:14" x14ac:dyDescent="0.2">
      <c r="A14" s="22"/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1">
        <f>B2 * (B8 ^ (10)) * (B9 ^ (0))</f>
        <v>156.39483159353705</v>
      </c>
      <c r="M14" s="22"/>
      <c r="N14" s="22"/>
    </row>
    <row r="15" spans="1:14" x14ac:dyDescent="0.2">
      <c r="A15" s="22"/>
      <c r="B15" s="29"/>
      <c r="C15" s="30"/>
      <c r="D15" s="30"/>
      <c r="E15" s="30"/>
      <c r="F15" s="30"/>
      <c r="G15" s="30"/>
      <c r="H15" s="30"/>
      <c r="I15" s="30"/>
      <c r="J15" s="30"/>
      <c r="K15" s="30">
        <f>B2 * (B8 ^ (9)) * (B9 ^ (0))</f>
        <v>149.55473136756879</v>
      </c>
      <c r="L15" s="31">
        <f>B2 * (B8 ^ (9)) * (B9 ^ (1))</f>
        <v>143.01379045923636</v>
      </c>
      <c r="M15" s="22"/>
      <c r="N15" s="22"/>
    </row>
    <row r="16" spans="1:14" x14ac:dyDescent="0.2">
      <c r="A16" s="22"/>
      <c r="B16" s="29"/>
      <c r="C16" s="30"/>
      <c r="D16" s="30"/>
      <c r="E16" s="30"/>
      <c r="F16" s="30"/>
      <c r="G16" s="30"/>
      <c r="H16" s="30"/>
      <c r="I16" s="30"/>
      <c r="J16" s="30">
        <f>B2 * (B8 ^ (8)) * (B9 ^ (0))</f>
        <v>143.01379045923636</v>
      </c>
      <c r="K16" s="30">
        <f>B2 * (B8 ^ (8)) * (B9 ^ (1))</f>
        <v>136.75892480626408</v>
      </c>
      <c r="L16" s="31">
        <f>B2 * (B8 ^ (8)) * (B9 ^ (2))</f>
        <v>130.77762259225182</v>
      </c>
      <c r="M16" s="22"/>
      <c r="N16" s="22"/>
    </row>
    <row r="17" spans="1:14" x14ac:dyDescent="0.2">
      <c r="A17" s="22"/>
      <c r="B17" s="29"/>
      <c r="C17" s="30"/>
      <c r="D17" s="30"/>
      <c r="E17" s="30"/>
      <c r="F17" s="30"/>
      <c r="G17" s="30"/>
      <c r="H17" s="30"/>
      <c r="I17" s="30">
        <f>B2 * (B8 ^ (7)) * (B9 ^ (0))</f>
        <v>136.7589248062641</v>
      </c>
      <c r="J17" s="30">
        <f>B2 * (B8 ^ (7)) * (B9 ^ (1))</f>
        <v>130.77762259225182</v>
      </c>
      <c r="K17" s="30">
        <f>B2 * (B8 ^ (7)) * (B9 ^ (2))</f>
        <v>125.05791921887119</v>
      </c>
      <c r="L17" s="31">
        <f>B2 * (B8 ^ (7)) * (B9 ^ (3))</f>
        <v>119.58837337268052</v>
      </c>
      <c r="M17" s="22"/>
      <c r="N17" s="22"/>
    </row>
    <row r="18" spans="1:14" x14ac:dyDescent="0.2">
      <c r="A18" s="22"/>
      <c r="B18" s="29"/>
      <c r="C18" s="30"/>
      <c r="D18" s="30"/>
      <c r="E18" s="30"/>
      <c r="F18" s="30"/>
      <c r="G18" s="30"/>
      <c r="H18" s="30">
        <f>B2 * (B8 ^ (6)) * (B9 ^ (0))</f>
        <v>130.77762259225182</v>
      </c>
      <c r="I18" s="30">
        <f>B2 * (B8 ^ (6)) * (B9 ^ (1))</f>
        <v>125.05791921887118</v>
      </c>
      <c r="J18" s="30">
        <f>B2 * (B8 ^ (6)) * (B9 ^ (2))</f>
        <v>119.58837337268052</v>
      </c>
      <c r="K18" s="30">
        <f>B2 * (B8 ^ (6)) * (B9 ^ (3))</f>
        <v>114.35804413868395</v>
      </c>
      <c r="L18" s="31">
        <f>B2 * (B8 ^ (6)) * (B9 ^ (4))</f>
        <v>109.35646911485418</v>
      </c>
      <c r="M18" s="22"/>
      <c r="N18" s="22"/>
    </row>
    <row r="19" spans="1:14" x14ac:dyDescent="0.2">
      <c r="A19" s="22"/>
      <c r="B19" s="29"/>
      <c r="C19" s="30"/>
      <c r="D19" s="30"/>
      <c r="E19" s="30"/>
      <c r="F19" s="30"/>
      <c r="G19" s="30">
        <f>B2 * (B8 ^ (5)) * (B9 ^ (0))</f>
        <v>125.05791921887115</v>
      </c>
      <c r="H19" s="30">
        <f>B2 * (B8 ^ (5)) * (B9 ^ (1))</f>
        <v>119.58837337268048</v>
      </c>
      <c r="I19" s="30">
        <f>B2 * (B8 ^ (5)) * (B9 ^ (2))</f>
        <v>114.35804413868392</v>
      </c>
      <c r="J19" s="30">
        <f>B2 * (B8 ^ (5)) * (B9 ^ (3))</f>
        <v>109.35646911485415</v>
      </c>
      <c r="K19" s="30">
        <f>B2 * (B8 ^ (5)) * (B9 ^ (4))</f>
        <v>104.5736434838407</v>
      </c>
      <c r="L19" s="31">
        <f>B2 * (B8 ^ (5)) * (B9 ^ (5))</f>
        <v>100.00000000000003</v>
      </c>
      <c r="M19" s="22"/>
      <c r="N19" s="22"/>
    </row>
    <row r="20" spans="1:14" x14ac:dyDescent="0.2">
      <c r="A20" s="22"/>
      <c r="B20" s="29"/>
      <c r="C20" s="30"/>
      <c r="D20" s="30"/>
      <c r="E20" s="30"/>
      <c r="F20" s="30">
        <f>B2 * (B8 ^ (4)) * (B9 ^ (0))</f>
        <v>119.58837337268049</v>
      </c>
      <c r="G20" s="30">
        <f>B2 * (B8 ^ (4)) * (B9 ^ (1))</f>
        <v>114.35804413868392</v>
      </c>
      <c r="H20" s="30">
        <f>B2 * (B8 ^ (4)) * (B9 ^ (2))</f>
        <v>109.35646911485416</v>
      </c>
      <c r="I20" s="30">
        <f>B2 * (B8 ^ (4)) * (B9 ^ (3))</f>
        <v>104.5736434838407</v>
      </c>
      <c r="J20" s="30">
        <f>B2 * (B8 ^ (4)) * (B9 ^ (4))</f>
        <v>100.00000000000003</v>
      </c>
      <c r="K20" s="30">
        <f>B2 * (B8 ^ (4)) * (B9 ^ (5))</f>
        <v>95.626389851714976</v>
      </c>
      <c r="L20" s="31">
        <f>B2 * (B8 ^ (4)) * (B9 ^ (6))</f>
        <v>91.444064360721754</v>
      </c>
      <c r="M20" s="22"/>
      <c r="N20" s="22"/>
    </row>
    <row r="21" spans="1:14" x14ac:dyDescent="0.2">
      <c r="A21" s="22"/>
      <c r="B21" s="29"/>
      <c r="C21" s="30"/>
      <c r="D21" s="30"/>
      <c r="E21" s="30">
        <f>B2 * (B8 ^ (3)) * (B9 ^ (0))</f>
        <v>114.35804413868394</v>
      </c>
      <c r="F21" s="30">
        <f>B2 * (B8 ^ (3)) * (B9 ^ (1))</f>
        <v>109.35646911485416</v>
      </c>
      <c r="G21" s="30">
        <f>B2 * (B8 ^ (3)) * (B9 ^ (2))</f>
        <v>104.57364348384071</v>
      </c>
      <c r="H21" s="30">
        <f>B2 * (B8 ^ (3)) * (B9 ^ (3))</f>
        <v>100.00000000000003</v>
      </c>
      <c r="I21" s="30">
        <f>B2 * (B8 ^ (3)) * (B9 ^ (4))</f>
        <v>95.62638985171499</v>
      </c>
      <c r="J21" s="30">
        <f>B2 * (B8 ^ (3)) * (B9 ^ (5))</f>
        <v>91.444064360721754</v>
      </c>
      <c r="K21" s="30">
        <f>B2 * (B8 ^ (3)) * (B9 ^ (6))</f>
        <v>87.444657481836927</v>
      </c>
      <c r="L21" s="31">
        <f>B2 * (B8 ^ (3)) * (B9 ^ (7))</f>
        <v>83.620169068078198</v>
      </c>
      <c r="M21" s="22"/>
      <c r="N21" s="22"/>
    </row>
    <row r="22" spans="1:14" x14ac:dyDescent="0.2">
      <c r="A22" s="22"/>
      <c r="B22" s="29"/>
      <c r="C22" s="30"/>
      <c r="D22" s="30">
        <f>B2 * (B8 ^ (2)) * (B9 ^ (0))</f>
        <v>109.35646911485415</v>
      </c>
      <c r="E22" s="30">
        <f>B2 * (B8 ^ (2)) * (B9 ^ (1))</f>
        <v>104.57364348384068</v>
      </c>
      <c r="F22" s="30">
        <f>B2 * (B8 ^ (2)) * (B9 ^ (2))</f>
        <v>100.00000000000001</v>
      </c>
      <c r="G22" s="30">
        <f>B2 * (B8 ^ (2)) * (B9 ^ (3))</f>
        <v>95.626389851714961</v>
      </c>
      <c r="H22" s="30">
        <f>B2 * (B8 ^ (2)) * (B9 ^ (4))</f>
        <v>91.44406436072174</v>
      </c>
      <c r="I22" s="30">
        <f>B2 * (B8 ^ (2)) * (B9 ^ (5))</f>
        <v>87.444657481836913</v>
      </c>
      <c r="J22" s="30">
        <f>B2 * (B8 ^ (2)) * (B9 ^ (6))</f>
        <v>83.620169068078198</v>
      </c>
      <c r="K22" s="30">
        <f>B2 * (B8 ^ (2)) * (B9 ^ (7))</f>
        <v>79.962948867703616</v>
      </c>
      <c r="L22" s="31">
        <f>B2 * (B8 ^ (2)) * (B9 ^ (8))</f>
        <v>76.465681221157752</v>
      </c>
      <c r="M22" s="22"/>
      <c r="N22" s="22"/>
    </row>
    <row r="23" spans="1:14" x14ac:dyDescent="0.2">
      <c r="A23" s="22"/>
      <c r="B23" s="29"/>
      <c r="C23" s="30">
        <f>B2 * (B8 ^ (1)) * (B9 ^ (0))</f>
        <v>104.57364348384068</v>
      </c>
      <c r="D23" s="30">
        <f>B2 * (B8 ^ (1)) * (B9 ^ (1))</f>
        <v>100</v>
      </c>
      <c r="E23" s="30">
        <f>B2 * (B8 ^ (1)) * (B9 ^ (2))</f>
        <v>95.626389851714961</v>
      </c>
      <c r="F23" s="30">
        <f>B2 * (B8 ^ (1)) * (B9 ^ (3))</f>
        <v>91.44406436072174</v>
      </c>
      <c r="G23" s="30">
        <f>B2 * (B8 ^ (1)) * (B9 ^ (4))</f>
        <v>87.444657481836913</v>
      </c>
      <c r="H23" s="30">
        <f>B2 * (B8 ^ (1)) * (B9 ^ (5))</f>
        <v>83.620169068078198</v>
      </c>
      <c r="I23" s="30">
        <f>B2 * (B8 ^ (1)) * (B9 ^ (6))</f>
        <v>79.962948867703616</v>
      </c>
      <c r="J23" s="30">
        <f>B2 * (B8 ^ (1)) * (B9 ^ (7))</f>
        <v>76.465681221157737</v>
      </c>
      <c r="K23" s="30">
        <f>B2 * (B8 ^ (1)) * (B9 ^ (8))</f>
        <v>73.121370427313906</v>
      </c>
      <c r="L23" s="31">
        <f>B2 * (B8 ^ (1)) * (B9 ^ (9))</f>
        <v>69.923326749739815</v>
      </c>
      <c r="M23" s="22"/>
      <c r="N23" s="22"/>
    </row>
    <row r="24" spans="1:14" x14ac:dyDescent="0.2">
      <c r="A24" s="22"/>
      <c r="B24" s="29">
        <f>B2 * (B8 ^ (0)) * (B9 ^ (0))</f>
        <v>100</v>
      </c>
      <c r="C24" s="30">
        <f>B2 * (B8 ^ (0)) * (B9 ^ (1))</f>
        <v>95.626389851714961</v>
      </c>
      <c r="D24" s="30">
        <f>B2 * (B8 ^ (0)) * (B9 ^ (2))</f>
        <v>91.44406436072174</v>
      </c>
      <c r="E24" s="30">
        <f>B2 * (B8 ^ (0)) * (B9 ^ (3))</f>
        <v>87.444657481836899</v>
      </c>
      <c r="F24" s="30">
        <f>B2 * (B8 ^ (0)) * (B9 ^ (4))</f>
        <v>83.620169068078184</v>
      </c>
      <c r="G24" s="30">
        <f>B2 * (B8 ^ (0)) * (B9 ^ (5))</f>
        <v>79.962948867703602</v>
      </c>
      <c r="H24" s="30">
        <f>B2 * (B8 ^ (0)) * (B9 ^ (6))</f>
        <v>76.465681221157737</v>
      </c>
      <c r="I24" s="30">
        <f>B2 * (B8 ^ (0)) * (B9 ^ (7))</f>
        <v>73.121370427313892</v>
      </c>
      <c r="J24" s="30">
        <f>B2 * (B8 ^ (0)) * (B9 ^ (8))</f>
        <v>69.9233267497398</v>
      </c>
      <c r="K24" s="30">
        <f>B2 * (B8 ^ (0)) * (B9 ^ (9))</f>
        <v>66.865153034994677</v>
      </c>
      <c r="L24" s="31">
        <f>B2 * (B8 ^ (0)) * (B9 ^ (10))</f>
        <v>63.940731916189819</v>
      </c>
      <c r="M24" s="22"/>
      <c r="N24" s="22"/>
    </row>
    <row r="25" spans="1:14" x14ac:dyDescent="0.2">
      <c r="A25" s="22"/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1"/>
      <c r="M25" s="22"/>
      <c r="N25" s="22"/>
    </row>
    <row r="26" spans="1:14" ht="13.5" thickBot="1" x14ac:dyDescent="0.25">
      <c r="A26" s="28"/>
      <c r="B26" s="32" t="s">
        <v>13</v>
      </c>
      <c r="C26" s="33" t="s">
        <v>14</v>
      </c>
      <c r="D26" s="33" t="s">
        <v>15</v>
      </c>
      <c r="E26" s="33" t="s">
        <v>16</v>
      </c>
      <c r="F26" s="33" t="s">
        <v>25</v>
      </c>
      <c r="G26" s="33" t="s">
        <v>26</v>
      </c>
      <c r="H26" s="33" t="s">
        <v>27</v>
      </c>
      <c r="I26" s="33" t="s">
        <v>28</v>
      </c>
      <c r="J26" s="33" t="s">
        <v>29</v>
      </c>
      <c r="K26" s="33" t="s">
        <v>30</v>
      </c>
      <c r="L26" s="34" t="s">
        <v>31</v>
      </c>
      <c r="M26" s="28"/>
      <c r="N26" s="28"/>
    </row>
    <row r="28" spans="1:14" ht="13.5" thickBot="1" x14ac:dyDescent="0.25"/>
    <row r="29" spans="1:14" ht="13.5" thickBot="1" x14ac:dyDescent="0.25">
      <c r="A29" s="22"/>
      <c r="B29" s="64" t="s">
        <v>32</v>
      </c>
      <c r="C29" s="65"/>
      <c r="D29" s="23"/>
      <c r="E29" s="23"/>
      <c r="F29" s="23"/>
      <c r="G29" s="23"/>
      <c r="H29" s="23"/>
      <c r="I29" s="23"/>
      <c r="J29" s="23"/>
      <c r="K29" s="23"/>
      <c r="L29" s="24"/>
      <c r="M29" s="22"/>
      <c r="N29" s="22"/>
    </row>
    <row r="30" spans="1:14" x14ac:dyDescent="0.2">
      <c r="A30" s="22"/>
      <c r="B30" s="29"/>
      <c r="C30" s="30"/>
      <c r="D30" s="30"/>
      <c r="E30" s="30"/>
      <c r="F30" s="30"/>
      <c r="G30" s="30"/>
      <c r="H30" s="30"/>
      <c r="I30" s="30"/>
      <c r="J30" s="30"/>
      <c r="K30" s="30"/>
      <c r="L30" s="31">
        <f>$L$14</f>
        <v>156.39483159353705</v>
      </c>
      <c r="M30" s="22"/>
      <c r="N30" s="22"/>
    </row>
    <row r="31" spans="1:14" x14ac:dyDescent="0.2">
      <c r="A31" s="22"/>
      <c r="B31" s="29"/>
      <c r="C31" s="30"/>
      <c r="D31" s="30"/>
      <c r="E31" s="30"/>
      <c r="F31" s="30"/>
      <c r="G31" s="30"/>
      <c r="H31" s="30"/>
      <c r="I31" s="30"/>
      <c r="J31" s="30"/>
      <c r="K31" s="30">
        <f>($B$10 *$L$30 + $B$11 *$L$31)</f>
        <v>149.62952743071011</v>
      </c>
      <c r="L31" s="31">
        <f>$L$15</f>
        <v>143.01379045923636</v>
      </c>
      <c r="M31" s="22"/>
      <c r="N31" s="22"/>
    </row>
    <row r="32" spans="1:14" x14ac:dyDescent="0.2">
      <c r="A32" s="22"/>
      <c r="B32" s="29"/>
      <c r="C32" s="30"/>
      <c r="D32" s="30"/>
      <c r="E32" s="30"/>
      <c r="F32" s="30"/>
      <c r="G32" s="30"/>
      <c r="H32" s="30"/>
      <c r="I32" s="30"/>
      <c r="J32" s="30">
        <f>($B$10 *$K$31 + $B$11 *$K$32)</f>
        <v>143.15687578043242</v>
      </c>
      <c r="K32" s="30">
        <f>($B$10 *$L$31 + $B$11 *$L$32)</f>
        <v>136.82732136638231</v>
      </c>
      <c r="L32" s="31">
        <f>$L$16</f>
        <v>130.77762259225182</v>
      </c>
      <c r="M32" s="22"/>
      <c r="N32" s="22"/>
    </row>
    <row r="33" spans="1:14" x14ac:dyDescent="0.2">
      <c r="A33" s="22"/>
      <c r="B33" s="29"/>
      <c r="C33" s="30"/>
      <c r="D33" s="30"/>
      <c r="E33" s="30"/>
      <c r="F33" s="30"/>
      <c r="G33" s="30"/>
      <c r="H33" s="30"/>
      <c r="I33" s="30">
        <f>($B$10 *$J$32 + $B$11 *$J$33)</f>
        <v>136.96421712421963</v>
      </c>
      <c r="J33" s="30">
        <f>($B$10 *$K$32 + $B$11 *$K$33)</f>
        <v>130.90846562545707</v>
      </c>
      <c r="K33" s="30">
        <f>($B$10 *$L$32 + $B$11 *$L$33)</f>
        <v>125.12046381332621</v>
      </c>
      <c r="L33" s="31">
        <f>$L$17</f>
        <v>119.58837337268052</v>
      </c>
      <c r="M33" s="22"/>
      <c r="N33" s="22"/>
    </row>
    <row r="34" spans="1:14" x14ac:dyDescent="0.2">
      <c r="A34" s="22"/>
      <c r="B34" s="29"/>
      <c r="C34" s="30"/>
      <c r="D34" s="30"/>
      <c r="E34" s="30"/>
      <c r="F34" s="30"/>
      <c r="G34" s="30"/>
      <c r="H34" s="30">
        <f>($B$10 *$I$33 + $B$11 *$I$34)</f>
        <v>131.03943956713886</v>
      </c>
      <c r="I34" s="30">
        <f>($B$10 *$J$33 + $B$11 *$J$34)</f>
        <v>125.24564685823006</v>
      </c>
      <c r="J34" s="30">
        <f>($B$10 *$K$33 + $B$11 *$K$34)</f>
        <v>119.70802156017626</v>
      </c>
      <c r="K34" s="30">
        <f>($B$10 *$L$33 + $B$11 *$L$34)</f>
        <v>114.41523745789156</v>
      </c>
      <c r="L34" s="31">
        <f>$L$18</f>
        <v>109.35646911485418</v>
      </c>
      <c r="M34" s="22"/>
      <c r="N34" s="22"/>
    </row>
    <row r="35" spans="1:14" x14ac:dyDescent="0.2">
      <c r="A35" s="22"/>
      <c r="B35" s="29"/>
      <c r="C35" s="30"/>
      <c r="D35" s="30"/>
      <c r="E35" s="30"/>
      <c r="F35" s="30"/>
      <c r="G35" s="30">
        <f>($B$10 *$H$34 + $B$11 *$H$35)</f>
        <v>125.37095514879118</v>
      </c>
      <c r="H35" s="30">
        <f>($B$10 *$I$34 + $B$11 *$I$35)</f>
        <v>119.82778945570351</v>
      </c>
      <c r="I35" s="30">
        <f>($B$10 *$J$34 + $B$11 *$J$35)</f>
        <v>114.52970992204214</v>
      </c>
      <c r="J35" s="30">
        <f>($B$10 *$K$34 + $B$11 *$K$35)</f>
        <v>109.46588028043422</v>
      </c>
      <c r="K35" s="30">
        <f>($B$10 *$L$34 + $B$11 *$L$35)</f>
        <v>104.62594337946695</v>
      </c>
      <c r="L35" s="31">
        <f>$L$19</f>
        <v>100.00000000000003</v>
      </c>
      <c r="M35" s="22"/>
      <c r="N35" s="22"/>
    </row>
    <row r="36" spans="1:14" x14ac:dyDescent="0.2">
      <c r="A36" s="22"/>
      <c r="B36" s="29"/>
      <c r="C36" s="30"/>
      <c r="D36" s="30"/>
      <c r="E36" s="30"/>
      <c r="F36" s="30">
        <f>($B$10 *$G$35 + $B$11 *$G$36)</f>
        <v>119.94767717903022</v>
      </c>
      <c r="G36" s="30">
        <f>($B$10 *$H$35 + $B$11 *$H$36)</f>
        <v>114.64429691591218</v>
      </c>
      <c r="H36" s="30">
        <f>($B$10 *$I$35 + $B$11 *$I$36)</f>
        <v>109.57540091190364</v>
      </c>
      <c r="I36" s="30">
        <f>($B$10 *$J$35 + $B$11 *$J$36)</f>
        <v>104.73062165326012</v>
      </c>
      <c r="J36" s="30">
        <f>($B$10 *$K$35 + $B$11 *$K$36)</f>
        <v>100.10005001667085</v>
      </c>
      <c r="K36" s="30">
        <f>($B$10 *$L$35 + $B$11 *$L$36)</f>
        <v>95.674215001932026</v>
      </c>
      <c r="L36" s="31">
        <f>$L$20</f>
        <v>91.444064360721754</v>
      </c>
      <c r="M36" s="22"/>
      <c r="N36" s="22"/>
    </row>
    <row r="37" spans="1:14" x14ac:dyDescent="0.2">
      <c r="A37" s="22"/>
      <c r="B37" s="29"/>
      <c r="C37" s="30"/>
      <c r="D37" s="30"/>
      <c r="E37" s="30">
        <f>($B$10 *$F$36 + $B$11 *$F$37)</f>
        <v>114.75899855408869</v>
      </c>
      <c r="F37" s="30">
        <f>($B$10 *$G$36 + $B$11 *$G$37)</f>
        <v>109.68503111878312</v>
      </c>
      <c r="G37" s="30">
        <f>($B$10 *$H$36 + $B$11 *$H$37)</f>
        <v>104.83540465768365</v>
      </c>
      <c r="H37" s="30">
        <f>($B$10 *$I$36 + $B$11 *$I$37)</f>
        <v>100.20020013340002</v>
      </c>
      <c r="I37" s="30">
        <f>($B$10 *$J$36 + $B$11 *$J$37)</f>
        <v>95.76993706999113</v>
      </c>
      <c r="J37" s="30">
        <f>($B$10 *$K$36 + $B$11 *$K$37)</f>
        <v>91.535554162359119</v>
      </c>
      <c r="K37" s="30">
        <f>($B$10 *$L$36 + $B$11 *$L$37)</f>
        <v>87.488390742982006</v>
      </c>
      <c r="L37" s="31">
        <f>$L$21</f>
        <v>83.620169068078198</v>
      </c>
      <c r="M37" s="22"/>
      <c r="N37" s="22"/>
    </row>
    <row r="38" spans="1:14" x14ac:dyDescent="0.2">
      <c r="A38" s="22"/>
      <c r="B38" s="29"/>
      <c r="C38" s="30"/>
      <c r="D38" s="30">
        <f>($B$10 *$E$37 + $B$11 *$E$38)</f>
        <v>109.79477101070285</v>
      </c>
      <c r="E38" s="30">
        <f>($B$10 *$F$37 + $B$11 *$F$38)</f>
        <v>104.94029249752057</v>
      </c>
      <c r="F38" s="30">
        <f>($B$10 *$G$37 + $B$11 *$G$38)</f>
        <v>100.30045045033769</v>
      </c>
      <c r="G38" s="30">
        <f>($B$10 *$H$37 + $B$11 *$H$38)</f>
        <v>95.865754907995296</v>
      </c>
      <c r="H38" s="30">
        <f>($B$10 *$I$37 + $B$11 *$I$38)</f>
        <v>91.627135499558293</v>
      </c>
      <c r="I38" s="30">
        <f>($B$10 *$J$37 + $B$11 *$J$38)</f>
        <v>87.575922892505389</v>
      </c>
      <c r="J38" s="30">
        <f>($B$10 *$K$37 + $B$11 *$K$38)</f>
        <v>83.703831061170973</v>
      </c>
      <c r="K38" s="30">
        <f>($B$10 *$L$37 + $B$11 *$L$38)</f>
        <v>80.00294033917217</v>
      </c>
      <c r="L38" s="31">
        <f>$L$22</f>
        <v>76.465681221157752</v>
      </c>
      <c r="M38" s="22"/>
      <c r="N38" s="22"/>
    </row>
    <row r="39" spans="1:14" x14ac:dyDescent="0.2">
      <c r="A39" s="22"/>
      <c r="B39" s="29"/>
      <c r="C39" s="30">
        <f>($B$10 *$D$38 + $B$11 *$D$39)</f>
        <v>105.04528527765876</v>
      </c>
      <c r="D39" s="30">
        <f>($B$10 *$E$38 + $B$11 *$E$39)</f>
        <v>100.40080106773416</v>
      </c>
      <c r="E39" s="30">
        <f>($B$10 *$F$38 + $B$11 *$F$39)</f>
        <v>95.961668611762363</v>
      </c>
      <c r="F39" s="30">
        <f>($B$10 *$G$38 + $B$11 *$G$39)</f>
        <v>91.718808463900601</v>
      </c>
      <c r="G39" s="30">
        <f>($B$10 *$H$38 + $B$11 *$H$39)</f>
        <v>87.663542617958967</v>
      </c>
      <c r="H39" s="30">
        <f>($B$10 *$I$38 + $B$11 *$I$39)</f>
        <v>83.787576758101807</v>
      </c>
      <c r="I39" s="30">
        <f>($B$10 *$J$38 + $B$11 *$J$39)</f>
        <v>80.082983294318666</v>
      </c>
      <c r="J39" s="30">
        <f>($B$10 *$K$38 + $B$11 *$K$39)</f>
        <v>76.542185147966961</v>
      </c>
      <c r="K39" s="30">
        <f>($B$10 *$L$38 + $B$11 *$L$39)</f>
        <v>73.15794025422241</v>
      </c>
      <c r="L39" s="31">
        <f>$L$23</f>
        <v>69.923326749739815</v>
      </c>
      <c r="M39" s="22"/>
      <c r="N39" s="22"/>
    </row>
    <row r="40" spans="1:14" x14ac:dyDescent="0.2">
      <c r="A40" s="22"/>
      <c r="B40" s="35">
        <f>($B$10 *$C$39 + $B$11 *$C$40)</f>
        <v>100.50125208594008</v>
      </c>
      <c r="C40" s="30">
        <f>($B$10 *$D$39 + $B$11 *$D$40)</f>
        <v>96.057678277206037</v>
      </c>
      <c r="D40" s="30">
        <f>($B$10 *$E$39 + $B$11 *$E$40)</f>
        <v>91.810573147059017</v>
      </c>
      <c r="E40" s="30">
        <f>($B$10 *$F$39 + $B$11 *$F$40)</f>
        <v>87.751250006962465</v>
      </c>
      <c r="F40" s="30">
        <f>($B$10 *$G$39 + $B$11 *$G$40)</f>
        <v>83.871406242616359</v>
      </c>
      <c r="G40" s="30">
        <f>($B$10 *$H$39 + $B$11 *$H$40)</f>
        <v>80.163106332455129</v>
      </c>
      <c r="H40" s="30">
        <f>($B$10 *$I$39 + $B$11 *$I$40)</f>
        <v>76.618765616967721</v>
      </c>
      <c r="I40" s="30">
        <f>($B$10 *$J$39 + $B$11 *$J$40)</f>
        <v>73.23113478564278</v>
      </c>
      <c r="J40" s="30">
        <f>($B$10 *$K$39 + $B$11 *$K$40)</f>
        <v>69.993285049809714</v>
      </c>
      <c r="K40" s="30">
        <f>($B$10 *$L$39 + $B$11 *$L$40)</f>
        <v>66.898593971049507</v>
      </c>
      <c r="L40" s="31">
        <f>$L$24</f>
        <v>63.940731916189819</v>
      </c>
      <c r="M40" s="22"/>
      <c r="N40" s="22"/>
    </row>
    <row r="41" spans="1:14" x14ac:dyDescent="0.2">
      <c r="A41" s="22"/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1"/>
      <c r="M41" s="22"/>
      <c r="N41" s="22"/>
    </row>
    <row r="42" spans="1:14" ht="13.5" thickBot="1" x14ac:dyDescent="0.25">
      <c r="A42" s="28"/>
      <c r="B42" s="32" t="s">
        <v>13</v>
      </c>
      <c r="C42" s="33" t="s">
        <v>14</v>
      </c>
      <c r="D42" s="33" t="s">
        <v>15</v>
      </c>
      <c r="E42" s="33" t="s">
        <v>16</v>
      </c>
      <c r="F42" s="33" t="s">
        <v>25</v>
      </c>
      <c r="G42" s="33" t="s">
        <v>26</v>
      </c>
      <c r="H42" s="33" t="s">
        <v>27</v>
      </c>
      <c r="I42" s="33" t="s">
        <v>28</v>
      </c>
      <c r="J42" s="33" t="s">
        <v>29</v>
      </c>
      <c r="K42" s="33" t="s">
        <v>30</v>
      </c>
      <c r="L42" s="34" t="s">
        <v>31</v>
      </c>
      <c r="M42" s="28"/>
      <c r="N42" s="28"/>
    </row>
    <row r="44" spans="1:14" ht="13.5" thickBot="1" x14ac:dyDescent="0.25"/>
    <row r="45" spans="1:14" ht="13.5" thickBot="1" x14ac:dyDescent="0.25">
      <c r="A45" s="22"/>
      <c r="B45" s="64" t="s">
        <v>17</v>
      </c>
      <c r="C45" s="65"/>
      <c r="D45" s="23"/>
      <c r="E45" s="23"/>
      <c r="F45" s="23"/>
      <c r="G45" s="23"/>
      <c r="H45" s="23"/>
      <c r="I45" s="23"/>
      <c r="J45" s="23"/>
      <c r="K45" s="23"/>
      <c r="L45" s="24"/>
      <c r="M45" s="22"/>
      <c r="N45" s="22"/>
    </row>
    <row r="46" spans="1:14" x14ac:dyDescent="0.2">
      <c r="A46" s="22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1">
        <f>MAX($J$2*( L30-$J$3), 0)</f>
        <v>0</v>
      </c>
      <c r="M46" s="22"/>
      <c r="N46" s="22"/>
    </row>
    <row r="47" spans="1:14" x14ac:dyDescent="0.2">
      <c r="A47" s="22"/>
      <c r="B47" s="29"/>
      <c r="C47" s="30"/>
      <c r="D47" s="30"/>
      <c r="E47" s="30"/>
      <c r="F47" s="30"/>
      <c r="G47" s="30"/>
      <c r="H47" s="30"/>
      <c r="I47" s="30"/>
      <c r="J47" s="30"/>
      <c r="K47" s="30">
        <f>EXP(-$B$6 * $B$3/$B$5) * ($B$10 *$L$46 + $B$11 *$L$47)</f>
        <v>0</v>
      </c>
      <c r="L47" s="31">
        <f t="shared" ref="L47:L56" si="0">MAX($J$2*( L31-$J$3), 0)</f>
        <v>0</v>
      </c>
      <c r="M47" s="22"/>
      <c r="N47" s="22"/>
    </row>
    <row r="48" spans="1:14" x14ac:dyDescent="0.2">
      <c r="A48" s="22"/>
      <c r="B48" s="29"/>
      <c r="C48" s="30"/>
      <c r="D48" s="30"/>
      <c r="E48" s="30"/>
      <c r="F48" s="30"/>
      <c r="G48" s="30"/>
      <c r="H48" s="30"/>
      <c r="I48" s="30"/>
      <c r="J48" s="30">
        <f>EXP(-$B$6 * $B$3/$B$5) * ($B$10 *$K$47 + $B$11 *$K$48)</f>
        <v>0</v>
      </c>
      <c r="K48" s="30">
        <f>EXP(-$B$6 * $B$3/$B$5) * ($B$10 *$L$47 + $B$11 *$L$48)</f>
        <v>0</v>
      </c>
      <c r="L48" s="31">
        <f t="shared" si="0"/>
        <v>0</v>
      </c>
      <c r="M48" s="22"/>
      <c r="N48" s="22"/>
    </row>
    <row r="49" spans="1:14" x14ac:dyDescent="0.2">
      <c r="A49" s="22"/>
      <c r="B49" s="29"/>
      <c r="C49" s="30"/>
      <c r="D49" s="30"/>
      <c r="E49" s="30"/>
      <c r="F49" s="30"/>
      <c r="G49" s="30"/>
      <c r="H49" s="30"/>
      <c r="I49" s="30">
        <f>EXP(-$B$6 * $B$3/$B$5) * ($B$10 *$J$48 + $B$11 *$J$49)</f>
        <v>0</v>
      </c>
      <c r="J49" s="30">
        <f>EXP(-$B$6 * $B$3/$B$5) * ($B$10 *$K$48 + $B$11 *$K$49)</f>
        <v>0</v>
      </c>
      <c r="K49" s="30">
        <f>EXP(-$B$6 * $B$3/$B$5) * ($B$10 *$L$48 + $B$11 *$L$49)</f>
        <v>0</v>
      </c>
      <c r="L49" s="31">
        <f t="shared" si="0"/>
        <v>0</v>
      </c>
      <c r="M49" s="22"/>
      <c r="N49" s="22"/>
    </row>
    <row r="50" spans="1:14" x14ac:dyDescent="0.2">
      <c r="A50" s="22"/>
      <c r="B50" s="29"/>
      <c r="C50" s="30"/>
      <c r="D50" s="30"/>
      <c r="E50" s="30"/>
      <c r="F50" s="30"/>
      <c r="G50" s="30"/>
      <c r="H50" s="30">
        <f>EXP(-$B$6 * $B$3/$B$5) * ($B$10 *$I$49 + $B$11 *$I$50)</f>
        <v>0</v>
      </c>
      <c r="I50" s="30">
        <f>EXP(-$B$6 * $B$3/$B$5) * ($B$10 *$J$49 + $B$11 *$J$50)</f>
        <v>0</v>
      </c>
      <c r="J50" s="30">
        <f>EXP(-$B$6 * $B$3/$B$5) * ($B$10 *$K$49 + $B$11 *$K$50)</f>
        <v>0</v>
      </c>
      <c r="K50" s="30">
        <f>EXP(-$B$6 * $B$3/$B$5) * ($B$10 *$L$49 + $B$11 *$L$50)</f>
        <v>0</v>
      </c>
      <c r="L50" s="31">
        <f t="shared" si="0"/>
        <v>0</v>
      </c>
      <c r="M50" s="22"/>
      <c r="N50" s="22"/>
    </row>
    <row r="51" spans="1:14" x14ac:dyDescent="0.2">
      <c r="A51" s="22"/>
      <c r="B51" s="29"/>
      <c r="C51" s="30"/>
      <c r="D51" s="30"/>
      <c r="E51" s="30"/>
      <c r="F51" s="30"/>
      <c r="G51" s="30">
        <f>EXP(-$B$6 * $B$3/$B$5) * ($B$10 *$H$50 + $B$11 *$H$51)</f>
        <v>0</v>
      </c>
      <c r="H51" s="30">
        <f>EXP(-$B$6 * $B$3/$B$5) * ($B$10 *$I$50 + $B$11 *$I$51)</f>
        <v>0</v>
      </c>
      <c r="I51" s="30">
        <f>EXP(-$B$6 * $B$3/$B$5) * ($B$10 *$J$50 + $B$11 *$J$51)</f>
        <v>0</v>
      </c>
      <c r="J51" s="30">
        <f>EXP(-$B$6 * $B$3/$B$5) * ($B$10 *$K$50 + $B$11 *$K$51)</f>
        <v>0</v>
      </c>
      <c r="K51" s="30">
        <f>EXP(-$B$6 * $B$3/$B$5) * ($B$10 *$L$50 + $B$11 *$L$51)</f>
        <v>0</v>
      </c>
      <c r="L51" s="31">
        <f t="shared" si="0"/>
        <v>0</v>
      </c>
      <c r="M51" s="22"/>
      <c r="N51" s="22"/>
    </row>
    <row r="52" spans="1:14" x14ac:dyDescent="0.2">
      <c r="A52" s="22"/>
      <c r="B52" s="29"/>
      <c r="C52" s="30"/>
      <c r="D52" s="30"/>
      <c r="E52" s="30"/>
      <c r="F52" s="30">
        <f>EXP(-$B$6 * $B$3/$B$5) * ($B$10 *$G$51 + $B$11 *$G$52)</f>
        <v>0.14205164556275252</v>
      </c>
      <c r="G52" s="30">
        <f>EXP(-$B$6 * $B$3/$B$5) * ($B$10 *$H$51 + $B$11 *$H$52)</f>
        <v>0.28124391990441361</v>
      </c>
      <c r="H52" s="30">
        <f>EXP(-$B$6 * $B$3/$B$5) * ($B$10 *$I$51 + $B$11 *$I$52)</f>
        <v>0.55682665392466668</v>
      </c>
      <c r="I52" s="30">
        <f>EXP(-$B$6 * $B$3/$B$5) * ($B$10 *$J$51 + $B$11 *$J$52)</f>
        <v>1.1024448906355708</v>
      </c>
      <c r="J52" s="30">
        <f>EXP(-$B$6 * $B$3/$B$5) * ($B$10 *$K$51 + $B$11 *$K$52)</f>
        <v>2.182698562150557</v>
      </c>
      <c r="K52" s="30">
        <f>EXP(-$B$6 * $B$3/$B$5) * ($B$10 *$L$51 + $B$11 *$L$52)</f>
        <v>4.3214613752416362</v>
      </c>
      <c r="L52" s="31">
        <f t="shared" si="0"/>
        <v>8.5559356392782462</v>
      </c>
      <c r="M52" s="22"/>
      <c r="N52" s="22"/>
    </row>
    <row r="53" spans="1:14" x14ac:dyDescent="0.2">
      <c r="A53" s="22"/>
      <c r="B53" s="29"/>
      <c r="C53" s="30"/>
      <c r="D53" s="30"/>
      <c r="E53" s="30">
        <f>EXP(-$B$6 * $B$3/$B$5) * ($B$10 *$F$52 + $B$11 *$F$53)</f>
        <v>0.62848928092611778</v>
      </c>
      <c r="F53" s="30">
        <f>EXP(-$B$6 * $B$3/$B$5) * ($B$10 *$G$52 + $B$11 *$G$53)</f>
        <v>1.1054164697377467</v>
      </c>
      <c r="G53" s="30">
        <f>EXP(-$B$6 * $B$3/$B$5) * ($B$10 *$H$52 + $B$11 *$H$53)</f>
        <v>1.9135557194667938</v>
      </c>
      <c r="H53" s="30">
        <f>EXP(-$B$6 * $B$3/$B$5) * ($B$10 *$I$52 + $B$11 *$I$53)</f>
        <v>3.2440769491532704</v>
      </c>
      <c r="I53" s="30">
        <f>EXP(-$B$6 * $B$3/$B$5) * ($B$10 *$J$52 + $B$11 *$J$53)</f>
        <v>5.3447814977851289</v>
      </c>
      <c r="J53" s="30">
        <f>EXP(-$B$6 * $B$3/$B$5) * ($B$10 *$K$52 + $B$11 *$K$53)</f>
        <v>8.4475338635769912</v>
      </c>
      <c r="K53" s="30">
        <f>EXP(-$B$6 * $B$3/$B$5) * ($B$10 *$L$52 + $B$11 *$L$53)</f>
        <v>12.499103901480861</v>
      </c>
      <c r="L53" s="31">
        <f t="shared" si="0"/>
        <v>16.379830931921802</v>
      </c>
      <c r="M53" s="22"/>
      <c r="N53" s="22"/>
    </row>
    <row r="54" spans="1:14" x14ac:dyDescent="0.2">
      <c r="A54" s="22"/>
      <c r="B54" s="29"/>
      <c r="C54" s="30"/>
      <c r="D54" s="30">
        <f>EXP(-$B$6 * $B$3/$B$5) * ($B$10 *$E$53 + $B$11 *$E$54)</f>
        <v>1.6127381817862809</v>
      </c>
      <c r="E54" s="30">
        <f>EXP(-$B$6 * $B$3/$B$5) * ($B$10 *$F$53 + $B$11 *$F$54)</f>
        <v>2.5784187476439344</v>
      </c>
      <c r="F54" s="30">
        <f>EXP(-$B$6 * $B$3/$B$5) * ($B$10 *$G$53 + $B$11 *$G$54)</f>
        <v>4.0239583091588775</v>
      </c>
      <c r="G54" s="30">
        <f>EXP(-$B$6 * $B$3/$B$5) * ($B$10 *$H$53 + $B$11 *$H$54)</f>
        <v>6.0956671019935502</v>
      </c>
      <c r="H54" s="30">
        <f>EXP(-$B$6 * $B$3/$B$5) * ($B$10 *$I$53 + $B$11 *$I$54)</f>
        <v>8.8962769658869991</v>
      </c>
      <c r="I54" s="30">
        <f>EXP(-$B$6 * $B$3/$B$5) * ($B$10 *$J$53 + $B$11 *$J$54)</f>
        <v>12.386860728652685</v>
      </c>
      <c r="J54" s="30">
        <f>EXP(-$B$6 * $B$3/$B$5) * ($B$10 *$K$53 + $B$11 *$K$54)</f>
        <v>16.263609171571886</v>
      </c>
      <c r="K54" s="30">
        <f>EXP(-$B$6 * $B$3/$B$5) * ($B$10 *$L$53 + $B$11 *$L$54)</f>
        <v>19.977072596364824</v>
      </c>
      <c r="L54" s="31">
        <f t="shared" si="0"/>
        <v>23.534318778842248</v>
      </c>
      <c r="M54" s="22"/>
      <c r="N54" s="22"/>
    </row>
    <row r="55" spans="1:14" x14ac:dyDescent="0.2">
      <c r="A55" s="22"/>
      <c r="B55" s="29"/>
      <c r="C55" s="30">
        <f>EXP(-$B$6 * $B$3/$B$5) * ($B$10 *$D$54 + $B$11 *$D$55)</f>
        <v>3.1515262467941501</v>
      </c>
      <c r="D55" s="30">
        <f>EXP(-$B$6 * $B$3/$B$5) * ($B$10 *$E$54 + $B$11 *$E$55)</f>
        <v>4.6625313164300906</v>
      </c>
      <c r="E55" s="30">
        <f>EXP(-$B$6 * $B$3/$B$5) * ($B$10 *$F$54 + $B$11 *$F$55)</f>
        <v>6.7097949677278894</v>
      </c>
      <c r="F55" s="30">
        <f>EXP(-$B$6 * $B$3/$B$5) * ($B$10 *$G$54 + $B$11 *$G$55)</f>
        <v>9.3495310979992254</v>
      </c>
      <c r="G55" s="30">
        <f>EXP(-$B$6 * $B$3/$B$5) * ($B$10 *$H$54 + $B$11 *$H$55)</f>
        <v>12.549960354644755</v>
      </c>
      <c r="H55" s="30">
        <f>EXP(-$B$6 * $B$3/$B$5) * ($B$10 *$I$54 + $B$11 *$I$55)</f>
        <v>16.147703075556844</v>
      </c>
      <c r="I55" s="30">
        <f>EXP(-$B$6 * $B$3/$B$5) * ($B$10 *$J$54 + $B$11 *$J$55)</f>
        <v>19.857355192580084</v>
      </c>
      <c r="J55" s="30">
        <f>EXP(-$B$6 * $B$3/$B$5) * ($B$10 *$K$54 + $B$11 *$K$55)</f>
        <v>23.410946106697217</v>
      </c>
      <c r="K55" s="30">
        <f>EXP(-$B$6 * $B$3/$B$5) * ($B$10 *$L$54 + $B$11 *$L$55)</f>
        <v>26.815231102589127</v>
      </c>
      <c r="L55" s="31">
        <f t="shared" si="0"/>
        <v>30.076673250260185</v>
      </c>
      <c r="M55" s="22"/>
      <c r="N55" s="22"/>
    </row>
    <row r="56" spans="1:14" x14ac:dyDescent="0.2">
      <c r="A56" s="22"/>
      <c r="B56" s="25">
        <f>EXP(-$B$6 * $B$3/$B$5) * ($B$10 *$C$55 + $B$11 *$C$56)</f>
        <v>5.2124490701033386</v>
      </c>
      <c r="C56" s="30">
        <f>EXP(-$B$6 * $B$3/$B$5) * ($B$10 *$D$55 + $B$11 *$D$56)</f>
        <v>7.2381238762508477</v>
      </c>
      <c r="D56" s="30">
        <f>EXP(-$B$6 * $B$3/$B$5) * ($B$10 *$E$55 + $B$11 *$E$56)</f>
        <v>9.7710986820110239</v>
      </c>
      <c r="E56" s="30">
        <f>EXP(-$B$6 * $B$3/$B$5) * ($B$10 *$F$55 + $B$11 *$F$56)</f>
        <v>12.784059007493271</v>
      </c>
      <c r="F56" s="30">
        <f>EXP(-$B$6 * $B$3/$B$5) * ($B$10 *$G$55 + $B$11 *$G$56)</f>
        <v>16.167954586964477</v>
      </c>
      <c r="G56" s="30">
        <f>EXP(-$B$6 * $B$3/$B$5) * ($B$10 *$H$55 + $B$11 *$H$56)</f>
        <v>19.737956747625475</v>
      </c>
      <c r="H56" s="30">
        <f>EXP(-$B$6 * $B$3/$B$5) * ($B$10 *$I$55 + $B$11 *$I$56)</f>
        <v>23.287896246224594</v>
      </c>
      <c r="I56" s="30">
        <f>EXP(-$B$6 * $B$3/$B$5) * ($B$10 *$J$55 + $B$11 *$J$56)</f>
        <v>26.688678958238015</v>
      </c>
      <c r="J56" s="30">
        <f>EXP(-$B$6 * $B$3/$B$5) * ($B$10 *$K$55 + $B$11 *$K$56)</f>
        <v>29.946761493730861</v>
      </c>
      <c r="K56" s="30">
        <f>EXP(-$B$6 * $B$3/$B$5) * ($B$10 *$L$55 + $B$11 *$L$56)</f>
        <v>33.068321168109051</v>
      </c>
      <c r="L56" s="31">
        <f t="shared" si="0"/>
        <v>36.059268083810181</v>
      </c>
      <c r="M56" s="22"/>
      <c r="N56" s="22"/>
    </row>
    <row r="57" spans="1:14" x14ac:dyDescent="0.2">
      <c r="A57" s="22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1"/>
      <c r="M57" s="22"/>
      <c r="N57" s="22"/>
    </row>
    <row r="58" spans="1:14" ht="13.5" thickBot="1" x14ac:dyDescent="0.25">
      <c r="A58" s="28"/>
      <c r="B58" s="32" t="s">
        <v>13</v>
      </c>
      <c r="C58" s="33" t="s">
        <v>14</v>
      </c>
      <c r="D58" s="33" t="s">
        <v>15</v>
      </c>
      <c r="E58" s="33" t="s">
        <v>16</v>
      </c>
      <c r="F58" s="33" t="s">
        <v>25</v>
      </c>
      <c r="G58" s="33" t="s">
        <v>26</v>
      </c>
      <c r="H58" s="33" t="s">
        <v>27</v>
      </c>
      <c r="I58" s="33" t="s">
        <v>28</v>
      </c>
      <c r="J58" s="33" t="s">
        <v>29</v>
      </c>
      <c r="K58" s="33" t="s">
        <v>30</v>
      </c>
      <c r="L58" s="34" t="s">
        <v>31</v>
      </c>
      <c r="M58" s="28"/>
      <c r="N58" s="28"/>
    </row>
  </sheetData>
  <dataConsolidate/>
  <mergeCells count="6">
    <mergeCell ref="B45:C45"/>
    <mergeCell ref="A1:B1"/>
    <mergeCell ref="E1:F1"/>
    <mergeCell ref="I1:J1"/>
    <mergeCell ref="B13:C13"/>
    <mergeCell ref="B29:C29"/>
  </mergeCells>
  <dataValidations count="2">
    <dataValidation type="list" allowBlank="1" showInputMessage="1" showErrorMessage="1" sqref="J5 H5" xr:uid="{00000000-0002-0000-0200-000000000000}">
      <formula1>"European, American"</formula1>
    </dataValidation>
    <dataValidation type="list" allowBlank="1" showInputMessage="1" showErrorMessage="1" sqref="J2" xr:uid="{00000000-0002-0000-0200-000001000000}">
      <formula1>"1, -1"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X46"/>
  <sheetViews>
    <sheetView showGridLines="0" workbookViewId="0">
      <selection activeCell="L33" sqref="L33"/>
    </sheetView>
  </sheetViews>
  <sheetFormatPr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23" ht="13.5" thickBot="1" x14ac:dyDescent="0.25">
      <c r="A1" s="60" t="s">
        <v>0</v>
      </c>
      <c r="B1" s="61"/>
      <c r="F1" s="60" t="s">
        <v>1</v>
      </c>
      <c r="G1" s="61"/>
    </row>
    <row r="2" spans="1:23" x14ac:dyDescent="0.2">
      <c r="A2" s="3" t="s">
        <v>2</v>
      </c>
      <c r="B2" s="4">
        <v>100</v>
      </c>
      <c r="F2" s="50" t="s">
        <v>20</v>
      </c>
      <c r="G2" s="42">
        <v>1</v>
      </c>
    </row>
    <row r="3" spans="1:23" ht="15.75" thickBot="1" x14ac:dyDescent="0.3">
      <c r="A3" s="7" t="s">
        <v>4</v>
      </c>
      <c r="B3" s="8">
        <v>0.25</v>
      </c>
      <c r="F3" s="51" t="s">
        <v>3</v>
      </c>
      <c r="G3" s="52">
        <v>100</v>
      </c>
    </row>
    <row r="4" spans="1:23" ht="15" x14ac:dyDescent="0.25">
      <c r="A4" s="7" t="s">
        <v>5</v>
      </c>
      <c r="B4" s="10">
        <v>0.23438000000000001</v>
      </c>
    </row>
    <row r="5" spans="1:23" x14ac:dyDescent="0.2">
      <c r="A5" s="7" t="s">
        <v>6</v>
      </c>
      <c r="B5" s="11">
        <v>10</v>
      </c>
    </row>
    <row r="6" spans="1:23" ht="15" x14ac:dyDescent="0.25">
      <c r="A6" s="7" t="s">
        <v>23</v>
      </c>
      <c r="B6" s="46">
        <v>0.11941</v>
      </c>
    </row>
    <row r="7" spans="1:23" ht="15.75" thickBot="1" x14ac:dyDescent="0.3">
      <c r="A7" s="47" t="s">
        <v>24</v>
      </c>
      <c r="B7" s="48">
        <v>0</v>
      </c>
    </row>
    <row r="8" spans="1:23" x14ac:dyDescent="0.2">
      <c r="A8" s="13" t="s">
        <v>8</v>
      </c>
      <c r="B8" s="14">
        <f>EXP(B4*SQRT(B3/B5))</f>
        <v>1.0377539683101453</v>
      </c>
    </row>
    <row r="9" spans="1:23" x14ac:dyDescent="0.2">
      <c r="A9" s="15" t="s">
        <v>9</v>
      </c>
      <c r="B9" s="16">
        <f>1/B8</f>
        <v>0.9636195384811459</v>
      </c>
    </row>
    <row r="10" spans="1:23" x14ac:dyDescent="0.2">
      <c r="A10" s="15" t="s">
        <v>10</v>
      </c>
      <c r="B10" s="18">
        <f>(EXP((B6 - B7) * B3/B5) - B9) / (B8 - B9)</f>
        <v>0.53106460663027533</v>
      </c>
    </row>
    <row r="11" spans="1:23" ht="13.5" thickBot="1" x14ac:dyDescent="0.25">
      <c r="A11" s="19" t="s">
        <v>11</v>
      </c>
      <c r="B11" s="20">
        <f>1 - B10</f>
        <v>0.46893539336972467</v>
      </c>
    </row>
    <row r="14" spans="1:23" x14ac:dyDescent="0.2">
      <c r="A14" s="53" t="s">
        <v>33</v>
      </c>
      <c r="M14" s="53"/>
    </row>
    <row r="15" spans="1:23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N15" s="54"/>
      <c r="O15" s="54"/>
      <c r="P15" s="54"/>
      <c r="Q15" s="54"/>
      <c r="R15" s="54"/>
      <c r="S15" s="54"/>
      <c r="T15" s="54"/>
      <c r="U15" s="54"/>
      <c r="V15" s="54"/>
      <c r="W15" s="54"/>
    </row>
    <row r="16" spans="1:23" x14ac:dyDescent="0.2">
      <c r="A16" s="49">
        <v>10</v>
      </c>
      <c r="B16" s="54"/>
      <c r="C16" s="55" t="str">
        <f t="shared" ref="C16:L26" ca="1" si="0">IF($A16&lt;C$15,$B$9*OFFSET(C16,0,-1),IF($A16=C$15,$B$8*OFFSET(C16,1,-1),""))</f>
        <v/>
      </c>
      <c r="D16" s="55" t="str">
        <f t="shared" ca="1" si="0"/>
        <v/>
      </c>
      <c r="E16" s="55" t="str">
        <f t="shared" ca="1" si="0"/>
        <v/>
      </c>
      <c r="F16" s="55" t="str">
        <f t="shared" ca="1" si="0"/>
        <v/>
      </c>
      <c r="G16" s="55" t="str">
        <f t="shared" ca="1" si="0"/>
        <v/>
      </c>
      <c r="H16" s="55" t="str">
        <f t="shared" ca="1" si="0"/>
        <v/>
      </c>
      <c r="I16" s="55" t="str">
        <f t="shared" ca="1" si="0"/>
        <v/>
      </c>
      <c r="J16" s="55" t="str">
        <f t="shared" ca="1" si="0"/>
        <v/>
      </c>
      <c r="K16" s="55" t="str">
        <f t="shared" ca="1" si="0"/>
        <v/>
      </c>
      <c r="L16" s="55">
        <f t="shared" ca="1" si="0"/>
        <v>144.85851464447126</v>
      </c>
      <c r="N16" s="54"/>
      <c r="O16" s="54"/>
      <c r="P16" s="54"/>
      <c r="Q16" s="54"/>
      <c r="R16" s="54"/>
      <c r="S16" s="54"/>
      <c r="T16" s="54"/>
      <c r="U16" s="54"/>
      <c r="V16" s="54"/>
      <c r="W16" s="54"/>
    </row>
    <row r="17" spans="1:24" x14ac:dyDescent="0.2">
      <c r="A17" s="49">
        <v>9</v>
      </c>
      <c r="B17" s="54"/>
      <c r="C17" s="55" t="str">
        <f t="shared" ca="1" si="0"/>
        <v/>
      </c>
      <c r="D17" s="55" t="str">
        <f t="shared" ca="1" si="0"/>
        <v/>
      </c>
      <c r="E17" s="55" t="str">
        <f t="shared" ca="1" si="0"/>
        <v/>
      </c>
      <c r="F17" s="55" t="str">
        <f t="shared" ca="1" si="0"/>
        <v/>
      </c>
      <c r="G17" s="55" t="str">
        <f t="shared" ca="1" si="0"/>
        <v/>
      </c>
      <c r="H17" s="55" t="str">
        <f t="shared" ca="1" si="0"/>
        <v/>
      </c>
      <c r="I17" s="55" t="str">
        <f t="shared" ca="1" si="0"/>
        <v/>
      </c>
      <c r="J17" s="55" t="str">
        <f t="shared" ca="1" si="0"/>
        <v/>
      </c>
      <c r="K17" s="55">
        <f t="shared" ca="1" si="0"/>
        <v>139.58849502676972</v>
      </c>
      <c r="L17" s="55">
        <f t="shared" ca="1" si="0"/>
        <v>134.51020115497357</v>
      </c>
      <c r="N17" s="54"/>
      <c r="O17" s="54"/>
      <c r="P17" s="54"/>
      <c r="Q17" s="54"/>
      <c r="R17" s="54"/>
      <c r="S17" s="54"/>
      <c r="T17" s="54"/>
      <c r="U17" s="54"/>
      <c r="V17" s="54"/>
      <c r="W17" s="54"/>
    </row>
    <row r="18" spans="1:24" x14ac:dyDescent="0.2">
      <c r="A18" s="49">
        <v>8</v>
      </c>
      <c r="B18" s="54"/>
      <c r="C18" s="55" t="str">
        <f t="shared" ca="1" si="0"/>
        <v/>
      </c>
      <c r="D18" s="55" t="str">
        <f t="shared" ca="1" si="0"/>
        <v/>
      </c>
      <c r="E18" s="55" t="str">
        <f t="shared" ca="1" si="0"/>
        <v/>
      </c>
      <c r="F18" s="55" t="str">
        <f t="shared" ca="1" si="0"/>
        <v/>
      </c>
      <c r="G18" s="55" t="str">
        <f t="shared" ca="1" si="0"/>
        <v/>
      </c>
      <c r="H18" s="55" t="str">
        <f t="shared" ca="1" si="0"/>
        <v/>
      </c>
      <c r="I18" s="55" t="str">
        <f t="shared" ca="1" si="0"/>
        <v/>
      </c>
      <c r="J18" s="55">
        <f t="shared" ca="1" si="0"/>
        <v>134.51020115497357</v>
      </c>
      <c r="K18" s="55">
        <f t="shared" ca="1" si="0"/>
        <v>129.61665795796173</v>
      </c>
      <c r="L18" s="55">
        <f t="shared" ca="1" si="0"/>
        <v>124.90114412091964</v>
      </c>
      <c r="N18" s="54"/>
      <c r="O18" s="54"/>
      <c r="P18" s="54"/>
      <c r="Q18" s="54"/>
      <c r="R18" s="54"/>
      <c r="S18" s="54"/>
      <c r="T18" s="54"/>
      <c r="U18" s="54"/>
      <c r="V18" s="54"/>
      <c r="W18" s="54"/>
    </row>
    <row r="19" spans="1:24" x14ac:dyDescent="0.2">
      <c r="A19" s="49">
        <v>7</v>
      </c>
      <c r="B19" s="54"/>
      <c r="C19" s="55" t="str">
        <f t="shared" ca="1" si="0"/>
        <v/>
      </c>
      <c r="D19" s="55" t="str">
        <f t="shared" ca="1" si="0"/>
        <v/>
      </c>
      <c r="E19" s="55" t="str">
        <f t="shared" ca="1" si="0"/>
        <v/>
      </c>
      <c r="F19" s="55" t="str">
        <f t="shared" ca="1" si="0"/>
        <v/>
      </c>
      <c r="G19" s="55" t="str">
        <f t="shared" ca="1" si="0"/>
        <v/>
      </c>
      <c r="H19" s="55" t="str">
        <f t="shared" ca="1" si="0"/>
        <v/>
      </c>
      <c r="I19" s="55">
        <f t="shared" ca="1" si="0"/>
        <v>129.61665795796173</v>
      </c>
      <c r="J19" s="55">
        <f t="shared" ca="1" si="0"/>
        <v>124.90114412091964</v>
      </c>
      <c r="K19" s="55">
        <f t="shared" ca="1" si="0"/>
        <v>120.35718285356768</v>
      </c>
      <c r="L19" s="55">
        <f t="shared" ca="1" si="0"/>
        <v>115.97853299424577</v>
      </c>
      <c r="N19" s="54"/>
      <c r="O19" s="54"/>
      <c r="P19" s="54"/>
      <c r="Q19" s="54"/>
      <c r="R19" s="54"/>
      <c r="S19" s="54"/>
      <c r="T19" s="54"/>
      <c r="U19" s="54"/>
      <c r="V19" s="54"/>
      <c r="W19" s="54"/>
    </row>
    <row r="20" spans="1:24" x14ac:dyDescent="0.2">
      <c r="A20" s="49">
        <v>6</v>
      </c>
      <c r="B20" s="54"/>
      <c r="C20" s="55" t="str">
        <f t="shared" ca="1" si="0"/>
        <v/>
      </c>
      <c r="D20" s="55" t="str">
        <f t="shared" ca="1" si="0"/>
        <v/>
      </c>
      <c r="E20" s="55" t="str">
        <f t="shared" ca="1" si="0"/>
        <v/>
      </c>
      <c r="F20" s="55" t="str">
        <f t="shared" ca="1" si="0"/>
        <v/>
      </c>
      <c r="G20" s="55" t="str">
        <f t="shared" ca="1" si="0"/>
        <v/>
      </c>
      <c r="H20" s="55">
        <f t="shared" ca="1" si="0"/>
        <v>124.90114412091964</v>
      </c>
      <c r="I20" s="55">
        <f t="shared" ca="1" si="0"/>
        <v>120.35718285356768</v>
      </c>
      <c r="J20" s="55">
        <f t="shared" ca="1" si="0"/>
        <v>115.97853299424577</v>
      </c>
      <c r="K20" s="55">
        <f t="shared" ca="1" si="0"/>
        <v>111.75918043763546</v>
      </c>
      <c r="L20" s="55">
        <f t="shared" ca="1" si="0"/>
        <v>107.69332987434539</v>
      </c>
      <c r="N20" s="54"/>
      <c r="O20" s="54"/>
      <c r="P20" s="54"/>
      <c r="Q20" s="54"/>
      <c r="R20" s="54"/>
      <c r="S20" s="54"/>
      <c r="T20" s="54"/>
      <c r="U20" s="54"/>
      <c r="V20" s="54"/>
      <c r="W20" s="54"/>
    </row>
    <row r="21" spans="1:24" x14ac:dyDescent="0.2">
      <c r="A21" s="49">
        <v>5</v>
      </c>
      <c r="C21" s="55" t="str">
        <f t="shared" ca="1" si="0"/>
        <v/>
      </c>
      <c r="D21" s="55" t="str">
        <f t="shared" ca="1" si="0"/>
        <v/>
      </c>
      <c r="E21" s="55" t="str">
        <f t="shared" ca="1" si="0"/>
        <v/>
      </c>
      <c r="F21" s="55" t="str">
        <f t="shared" ca="1" si="0"/>
        <v/>
      </c>
      <c r="G21" s="55">
        <f t="shared" ca="1" si="0"/>
        <v>120.35718285356768</v>
      </c>
      <c r="H21" s="55">
        <f t="shared" ca="1" si="0"/>
        <v>115.97853299424577</v>
      </c>
      <c r="I21" s="55">
        <f t="shared" ca="1" si="0"/>
        <v>111.75918043763546</v>
      </c>
      <c r="J21" s="55">
        <f t="shared" ca="1" si="0"/>
        <v>107.69332987434539</v>
      </c>
      <c r="K21" s="55">
        <f t="shared" ca="1" si="0"/>
        <v>103.77539683101452</v>
      </c>
      <c r="L21" s="55">
        <f t="shared" ca="1" si="0"/>
        <v>99.999999999999986</v>
      </c>
      <c r="N21" s="56"/>
      <c r="O21" s="56"/>
      <c r="P21" s="56"/>
      <c r="Q21" s="56"/>
      <c r="R21" s="56"/>
      <c r="S21" s="56"/>
      <c r="T21" s="56"/>
      <c r="U21" s="56"/>
      <c r="V21" s="56"/>
      <c r="W21" s="56"/>
    </row>
    <row r="22" spans="1:24" x14ac:dyDescent="0.2">
      <c r="A22" s="49">
        <v>4</v>
      </c>
      <c r="C22" s="55" t="str">
        <f t="shared" ca="1" si="0"/>
        <v/>
      </c>
      <c r="D22" s="55" t="str">
        <f t="shared" ca="1" si="0"/>
        <v/>
      </c>
      <c r="E22" s="55" t="str">
        <f t="shared" ca="1" si="0"/>
        <v/>
      </c>
      <c r="F22" s="55">
        <f t="shared" ca="1" si="0"/>
        <v>115.97853299424578</v>
      </c>
      <c r="G22" s="55">
        <f t="shared" ca="1" si="0"/>
        <v>111.75918043763548</v>
      </c>
      <c r="H22" s="55">
        <f t="shared" ca="1" si="0"/>
        <v>107.69332987434541</v>
      </c>
      <c r="I22" s="55">
        <f t="shared" ca="1" si="0"/>
        <v>103.77539683101452</v>
      </c>
      <c r="J22" s="55">
        <f t="shared" ca="1" si="0"/>
        <v>99.999999999999986</v>
      </c>
      <c r="K22" s="55">
        <f t="shared" ca="1" si="0"/>
        <v>96.361953848114581</v>
      </c>
      <c r="L22" s="55">
        <f t="shared" ca="1" si="0"/>
        <v>92.856261494261659</v>
      </c>
      <c r="N22" s="56"/>
      <c r="O22" s="56"/>
      <c r="P22" s="56"/>
      <c r="Q22" s="56"/>
      <c r="R22" s="56"/>
      <c r="S22" s="56"/>
      <c r="T22" s="56"/>
      <c r="U22" s="56"/>
      <c r="V22" s="56"/>
      <c r="W22" s="56"/>
    </row>
    <row r="23" spans="1:24" x14ac:dyDescent="0.2">
      <c r="A23" s="49">
        <v>3</v>
      </c>
      <c r="C23" s="55" t="str">
        <f t="shared" ca="1" si="0"/>
        <v/>
      </c>
      <c r="D23" s="55" t="str">
        <f t="shared" ca="1" si="0"/>
        <v/>
      </c>
      <c r="E23" s="55">
        <f t="shared" ca="1" si="0"/>
        <v>111.75918043763548</v>
      </c>
      <c r="F23" s="55">
        <f t="shared" ca="1" si="0"/>
        <v>107.69332987434541</v>
      </c>
      <c r="G23" s="55">
        <f t="shared" ca="1" si="0"/>
        <v>103.77539683101452</v>
      </c>
      <c r="H23" s="55">
        <f t="shared" ca="1" si="0"/>
        <v>99.999999999999986</v>
      </c>
      <c r="I23" s="55">
        <f t="shared" ca="1" si="0"/>
        <v>96.361953848114581</v>
      </c>
      <c r="J23" s="55">
        <f t="shared" ca="1" si="0"/>
        <v>92.856261494261659</v>
      </c>
      <c r="K23" s="55">
        <f t="shared" ca="1" si="0"/>
        <v>89.478107846185026</v>
      </c>
      <c r="L23" s="55">
        <f t="shared" ca="1" si="0"/>
        <v>86.222852986907014</v>
      </c>
      <c r="N23" s="56"/>
      <c r="O23" s="56"/>
      <c r="P23" s="56"/>
      <c r="Q23" s="56"/>
      <c r="R23" s="56"/>
      <c r="S23" s="56"/>
      <c r="T23" s="56"/>
      <c r="U23" s="56"/>
      <c r="V23" s="56"/>
      <c r="W23" s="56"/>
    </row>
    <row r="24" spans="1:24" x14ac:dyDescent="0.2">
      <c r="A24" s="49">
        <v>2</v>
      </c>
      <c r="C24" s="55" t="str">
        <f t="shared" ca="1" si="0"/>
        <v/>
      </c>
      <c r="D24" s="55">
        <f t="shared" ca="1" si="0"/>
        <v>107.69332987434541</v>
      </c>
      <c r="E24" s="55">
        <f t="shared" ca="1" si="0"/>
        <v>103.77539683101452</v>
      </c>
      <c r="F24" s="55">
        <f t="shared" ca="1" si="0"/>
        <v>99.999999999999986</v>
      </c>
      <c r="G24" s="55">
        <f t="shared" ca="1" si="0"/>
        <v>96.361953848114581</v>
      </c>
      <c r="H24" s="55">
        <f t="shared" ca="1" si="0"/>
        <v>92.856261494261659</v>
      </c>
      <c r="I24" s="55">
        <f t="shared" ca="1" si="0"/>
        <v>89.478107846185026</v>
      </c>
      <c r="J24" s="55">
        <f t="shared" ca="1" si="0"/>
        <v>86.222852986907014</v>
      </c>
      <c r="K24" s="55">
        <f t="shared" ca="1" si="0"/>
        <v>83.086025801771029</v>
      </c>
      <c r="L24" s="55">
        <f t="shared" ca="1" si="0"/>
        <v>80.063317837335177</v>
      </c>
      <c r="N24" s="56"/>
      <c r="O24" s="56"/>
      <c r="P24" s="56"/>
      <c r="Q24" s="56"/>
      <c r="R24" s="56"/>
      <c r="S24" s="56"/>
      <c r="T24" s="56"/>
      <c r="U24" s="56"/>
      <c r="V24" s="56"/>
      <c r="W24" s="56"/>
    </row>
    <row r="25" spans="1:24" x14ac:dyDescent="0.2">
      <c r="A25" s="49">
        <v>1</v>
      </c>
      <c r="C25" s="55">
        <f t="shared" ca="1" si="0"/>
        <v>103.77539683101453</v>
      </c>
      <c r="D25" s="55">
        <f t="shared" ca="1" si="0"/>
        <v>100</v>
      </c>
      <c r="E25" s="55">
        <f t="shared" ca="1" si="0"/>
        <v>96.361953848114595</v>
      </c>
      <c r="F25" s="55">
        <f t="shared" ca="1" si="0"/>
        <v>92.856261494261673</v>
      </c>
      <c r="G25" s="55">
        <f t="shared" ca="1" si="0"/>
        <v>89.478107846185026</v>
      </c>
      <c r="H25" s="55">
        <f t="shared" ca="1" si="0"/>
        <v>86.222852986907014</v>
      </c>
      <c r="I25" s="55">
        <f t="shared" ca="1" si="0"/>
        <v>83.086025801771029</v>
      </c>
      <c r="J25" s="55">
        <f t="shared" ca="1" si="0"/>
        <v>80.063317837335177</v>
      </c>
      <c r="K25" s="55">
        <f t="shared" ca="1" si="0"/>
        <v>77.150577383682219</v>
      </c>
      <c r="L25" s="55">
        <f t="shared" ca="1" si="0"/>
        <v>74.343803772017793</v>
      </c>
      <c r="N25" s="56"/>
      <c r="O25" s="56"/>
      <c r="P25" s="56"/>
      <c r="Q25" s="56"/>
      <c r="R25" s="56"/>
      <c r="S25" s="56"/>
      <c r="T25" s="56"/>
      <c r="U25" s="56"/>
      <c r="V25" s="56"/>
      <c r="W25" s="56"/>
    </row>
    <row r="26" spans="1:24" x14ac:dyDescent="0.2">
      <c r="A26" s="49">
        <v>0</v>
      </c>
      <c r="B26" s="55">
        <f>$B$2</f>
        <v>100</v>
      </c>
      <c r="C26" s="55">
        <f t="shared" ca="1" si="0"/>
        <v>96.361953848114595</v>
      </c>
      <c r="D26" s="55">
        <f t="shared" ca="1" si="0"/>
        <v>92.856261494261673</v>
      </c>
      <c r="E26" s="55">
        <f t="shared" ca="1" si="0"/>
        <v>89.478107846185026</v>
      </c>
      <c r="F26" s="55">
        <f t="shared" ca="1" si="0"/>
        <v>86.222852986907014</v>
      </c>
      <c r="G26" s="55">
        <f t="shared" ca="1" si="0"/>
        <v>83.086025801771029</v>
      </c>
      <c r="H26" s="55">
        <f t="shared" ca="1" si="0"/>
        <v>80.063317837335177</v>
      </c>
      <c r="I26" s="55">
        <f t="shared" ca="1" si="0"/>
        <v>77.150577383682219</v>
      </c>
      <c r="J26" s="55">
        <f t="shared" ca="1" si="0"/>
        <v>74.343803772017793</v>
      </c>
      <c r="K26" s="55">
        <f t="shared" ca="1" si="0"/>
        <v>71.639141879724662</v>
      </c>
      <c r="L26" s="55">
        <f t="shared" ca="1" si="0"/>
        <v>69.032876835325609</v>
      </c>
      <c r="N26" s="56"/>
      <c r="O26" s="56"/>
      <c r="P26" s="56"/>
      <c r="Q26" s="56"/>
      <c r="R26" s="56"/>
      <c r="S26" s="56"/>
      <c r="T26" s="56"/>
      <c r="U26" s="56"/>
      <c r="V26" s="56"/>
      <c r="W26" s="56"/>
    </row>
    <row r="27" spans="1:24" x14ac:dyDescent="0.2">
      <c r="B27" s="57"/>
      <c r="C27" s="57"/>
      <c r="D27" s="56"/>
      <c r="E27" s="56"/>
      <c r="F27" s="56"/>
      <c r="G27" s="56"/>
      <c r="H27" s="56"/>
      <c r="I27" s="56"/>
      <c r="J27" s="56"/>
      <c r="K27" s="56"/>
      <c r="N27" s="56"/>
      <c r="O27" s="56"/>
      <c r="P27" s="56"/>
      <c r="Q27" s="56"/>
      <c r="R27" s="56"/>
      <c r="S27" s="56"/>
      <c r="T27" s="56"/>
      <c r="U27" s="56"/>
      <c r="V27" s="56"/>
      <c r="W27" s="56"/>
    </row>
    <row r="29" spans="1:24" x14ac:dyDescent="0.2">
      <c r="A29" s="58" t="s">
        <v>34</v>
      </c>
    </row>
    <row r="30" spans="1:24" x14ac:dyDescent="0.2">
      <c r="B30" s="54">
        <v>0</v>
      </c>
      <c r="C30" s="54">
        <v>1</v>
      </c>
      <c r="D30" s="54">
        <v>2</v>
      </c>
      <c r="E30" s="54">
        <v>3</v>
      </c>
      <c r="F30" s="54">
        <v>4</v>
      </c>
      <c r="G30" s="54">
        <v>5</v>
      </c>
      <c r="H30" s="54">
        <v>6</v>
      </c>
      <c r="I30" s="54">
        <v>7</v>
      </c>
      <c r="J30" s="54">
        <v>8</v>
      </c>
      <c r="K30" s="54">
        <v>9</v>
      </c>
      <c r="L30" s="49">
        <v>10</v>
      </c>
      <c r="O30" s="54"/>
      <c r="P30" s="54"/>
      <c r="Q30" s="54"/>
      <c r="R30" s="54"/>
      <c r="S30" s="54"/>
      <c r="T30" s="54"/>
      <c r="U30" s="54"/>
      <c r="V30" s="54"/>
      <c r="W30" s="54"/>
      <c r="X30" s="54"/>
    </row>
    <row r="31" spans="1:24" x14ac:dyDescent="0.2">
      <c r="A31" s="49">
        <v>10</v>
      </c>
      <c r="B31" s="59" t="str">
        <f t="shared" ref="B31:K41" si="1">IF($A31 &lt;= B$30, ($B$10*C30+$B$11*C31)/EXP($B$6 * $B$3/$B$5),"")</f>
        <v/>
      </c>
      <c r="C31" s="59" t="str">
        <f t="shared" si="1"/>
        <v/>
      </c>
      <c r="D31" s="59" t="str">
        <f t="shared" si="1"/>
        <v/>
      </c>
      <c r="E31" s="59" t="str">
        <f t="shared" si="1"/>
        <v/>
      </c>
      <c r="F31" s="59" t="str">
        <f t="shared" si="1"/>
        <v/>
      </c>
      <c r="G31" s="59" t="str">
        <f t="shared" si="1"/>
        <v/>
      </c>
      <c r="H31" s="59" t="str">
        <f t="shared" si="1"/>
        <v/>
      </c>
      <c r="I31" s="59" t="str">
        <f t="shared" si="1"/>
        <v/>
      </c>
      <c r="J31" s="59" t="str">
        <f t="shared" si="1"/>
        <v/>
      </c>
      <c r="K31" s="59" t="str">
        <f t="shared" si="1"/>
        <v/>
      </c>
      <c r="L31" s="56">
        <f t="shared" ref="L31:L40" ca="1" si="2">MAX($G$2*(L16-$G$3),0)</f>
        <v>44.858514644471256</v>
      </c>
      <c r="O31" s="54"/>
      <c r="P31" s="54"/>
      <c r="Q31" s="54"/>
      <c r="R31" s="54"/>
      <c r="S31" s="54"/>
      <c r="T31" s="54"/>
      <c r="U31" s="54"/>
      <c r="V31" s="54"/>
      <c r="W31" s="54"/>
      <c r="X31" s="54"/>
    </row>
    <row r="32" spans="1:24" x14ac:dyDescent="0.2">
      <c r="A32" s="49">
        <v>9</v>
      </c>
      <c r="B32" s="59" t="str">
        <f t="shared" si="1"/>
        <v/>
      </c>
      <c r="C32" s="59" t="str">
        <f t="shared" si="1"/>
        <v/>
      </c>
      <c r="D32" s="59" t="str">
        <f t="shared" si="1"/>
        <v/>
      </c>
      <c r="E32" s="59" t="str">
        <f t="shared" si="1"/>
        <v/>
      </c>
      <c r="F32" s="59" t="str">
        <f t="shared" si="1"/>
        <v/>
      </c>
      <c r="G32" s="59" t="str">
        <f t="shared" si="1"/>
        <v/>
      </c>
      <c r="H32" s="59" t="str">
        <f t="shared" si="1"/>
        <v/>
      </c>
      <c r="I32" s="59" t="str">
        <f t="shared" si="1"/>
        <v/>
      </c>
      <c r="J32" s="59" t="str">
        <f t="shared" si="1"/>
        <v/>
      </c>
      <c r="K32" s="59">
        <f t="shared" ca="1" si="1"/>
        <v>39.886574883955973</v>
      </c>
      <c r="L32" s="56">
        <f t="shared" ca="1" si="2"/>
        <v>34.510201154973572</v>
      </c>
      <c r="O32" s="54"/>
      <c r="P32" s="54"/>
      <c r="Q32" s="54"/>
      <c r="R32" s="54"/>
      <c r="S32" s="54"/>
      <c r="T32" s="54"/>
      <c r="U32" s="54"/>
      <c r="V32" s="54"/>
      <c r="W32" s="54"/>
      <c r="X32" s="54"/>
    </row>
    <row r="33" spans="1:24" x14ac:dyDescent="0.2">
      <c r="A33" s="49">
        <v>8</v>
      </c>
      <c r="B33" s="59" t="str">
        <f t="shared" si="1"/>
        <v/>
      </c>
      <c r="C33" s="59" t="str">
        <f t="shared" si="1"/>
        <v/>
      </c>
      <c r="D33" s="59" t="str">
        <f t="shared" si="1"/>
        <v/>
      </c>
      <c r="E33" s="59" t="str">
        <f t="shared" si="1"/>
        <v/>
      </c>
      <c r="F33" s="59" t="str">
        <f t="shared" si="1"/>
        <v/>
      </c>
      <c r="G33" s="59" t="str">
        <f t="shared" si="1"/>
        <v/>
      </c>
      <c r="H33" s="59" t="str">
        <f t="shared" si="1"/>
        <v/>
      </c>
      <c r="I33" s="59" t="str">
        <f t="shared" si="1"/>
        <v/>
      </c>
      <c r="J33" s="59">
        <f t="shared" ca="1" si="1"/>
        <v>35.105472353333475</v>
      </c>
      <c r="K33" s="59">
        <f t="shared" ca="1" si="1"/>
        <v>29.914737815147991</v>
      </c>
      <c r="L33" s="56">
        <f t="shared" ca="1" si="2"/>
        <v>24.901144120919639</v>
      </c>
      <c r="O33" s="54"/>
      <c r="P33" s="54"/>
      <c r="Q33" s="54"/>
      <c r="R33" s="54"/>
      <c r="S33" s="54"/>
      <c r="T33" s="54"/>
      <c r="U33" s="54"/>
      <c r="V33" s="54"/>
      <c r="W33" s="54"/>
      <c r="X33" s="54"/>
    </row>
    <row r="34" spans="1:24" x14ac:dyDescent="0.2">
      <c r="A34" s="49">
        <v>7</v>
      </c>
      <c r="B34" s="59" t="str">
        <f t="shared" si="1"/>
        <v/>
      </c>
      <c r="C34" s="59" t="str">
        <f t="shared" si="1"/>
        <v/>
      </c>
      <c r="D34" s="59" t="str">
        <f t="shared" si="1"/>
        <v/>
      </c>
      <c r="E34" s="59" t="str">
        <f t="shared" si="1"/>
        <v/>
      </c>
      <c r="F34" s="59" t="str">
        <f t="shared" si="1"/>
        <v/>
      </c>
      <c r="G34" s="59" t="str">
        <f t="shared" si="1"/>
        <v/>
      </c>
      <c r="H34" s="59" t="str">
        <f t="shared" si="1"/>
        <v/>
      </c>
      <c r="I34" s="59">
        <f t="shared" ca="1" si="1"/>
        <v>30.508234629969948</v>
      </c>
      <c r="J34" s="59">
        <f t="shared" ca="1" si="1"/>
        <v>25.496415319279542</v>
      </c>
      <c r="K34" s="59">
        <f t="shared" ca="1" si="1"/>
        <v>20.655262710753927</v>
      </c>
      <c r="L34" s="56">
        <f t="shared" ca="1" si="2"/>
        <v>15.978532994245768</v>
      </c>
      <c r="O34" s="54"/>
      <c r="P34" s="54"/>
      <c r="Q34" s="54"/>
      <c r="R34" s="54"/>
      <c r="S34" s="54"/>
      <c r="T34" s="54"/>
      <c r="U34" s="54"/>
      <c r="V34" s="54"/>
      <c r="W34" s="54"/>
      <c r="X34" s="54"/>
    </row>
    <row r="35" spans="1:24" x14ac:dyDescent="0.2">
      <c r="A35" s="49">
        <v>6</v>
      </c>
      <c r="B35" s="59" t="str">
        <f t="shared" si="1"/>
        <v/>
      </c>
      <c r="C35" s="59" t="str">
        <f t="shared" si="1"/>
        <v/>
      </c>
      <c r="D35" s="59" t="str">
        <f t="shared" si="1"/>
        <v/>
      </c>
      <c r="E35" s="59" t="str">
        <f t="shared" si="1"/>
        <v/>
      </c>
      <c r="F35" s="59" t="str">
        <f t="shared" si="1"/>
        <v/>
      </c>
      <c r="G35" s="59" t="str">
        <f t="shared" si="1"/>
        <v/>
      </c>
      <c r="H35" s="59">
        <f t="shared" ca="1" si="1"/>
        <v>26.08814303964348</v>
      </c>
      <c r="I35" s="59">
        <f t="shared" ca="1" si="1"/>
        <v>21.248759525575892</v>
      </c>
      <c r="J35" s="59">
        <f t="shared" ca="1" si="1"/>
        <v>16.573804192605675</v>
      </c>
      <c r="K35" s="59">
        <f t="shared" ca="1" si="1"/>
        <v>12.057260294821715</v>
      </c>
      <c r="L35" s="56">
        <f t="shared" ca="1" si="2"/>
        <v>7.6933298743453946</v>
      </c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2">
      <c r="A36" s="49">
        <v>5</v>
      </c>
      <c r="B36" s="59" t="str">
        <f t="shared" si="1"/>
        <v/>
      </c>
      <c r="C36" s="59" t="str">
        <f t="shared" si="1"/>
        <v/>
      </c>
      <c r="D36" s="59" t="str">
        <f t="shared" si="1"/>
        <v/>
      </c>
      <c r="E36" s="59" t="str">
        <f t="shared" si="1"/>
        <v/>
      </c>
      <c r="F36" s="59" t="str">
        <f t="shared" si="1"/>
        <v/>
      </c>
      <c r="G36" s="59">
        <f t="shared" ca="1" si="1"/>
        <v>21.838723424796036</v>
      </c>
      <c r="H36" s="59">
        <f t="shared" ca="1" si="1"/>
        <v>17.165531912969612</v>
      </c>
      <c r="I36" s="59">
        <f t="shared" ca="1" si="1"/>
        <v>12.650757109643681</v>
      </c>
      <c r="J36" s="59">
        <f t="shared" ca="1" si="1"/>
        <v>8.2886010727053048</v>
      </c>
      <c r="K36" s="59">
        <f t="shared" ca="1" si="1"/>
        <v>4.0734766882007767</v>
      </c>
      <c r="L36" s="56">
        <f t="shared" ca="1" si="2"/>
        <v>0</v>
      </c>
      <c r="P36" s="56"/>
      <c r="Q36" s="56"/>
      <c r="R36" s="56"/>
      <c r="S36" s="57"/>
      <c r="T36" s="57"/>
      <c r="U36" s="57"/>
      <c r="V36" s="57"/>
      <c r="W36" s="57"/>
      <c r="X36" s="57"/>
    </row>
    <row r="37" spans="1:24" x14ac:dyDescent="0.2">
      <c r="A37" s="49">
        <v>4</v>
      </c>
      <c r="B37" s="59" t="str">
        <f t="shared" si="1"/>
        <v/>
      </c>
      <c r="C37" s="59" t="str">
        <f t="shared" si="1"/>
        <v/>
      </c>
      <c r="D37" s="59" t="str">
        <f t="shared" si="1"/>
        <v/>
      </c>
      <c r="E37" s="59" t="str">
        <f t="shared" si="1"/>
        <v/>
      </c>
      <c r="F37" s="59">
        <f t="shared" ca="1" si="1"/>
        <v>17.828352010990081</v>
      </c>
      <c r="G37" s="59">
        <f t="shared" ca="1" si="1"/>
        <v>13.400311945973565</v>
      </c>
      <c r="H37" s="59">
        <f t="shared" ca="1" si="1"/>
        <v>9.2216723342921316</v>
      </c>
      <c r="I37" s="59">
        <f t="shared" ca="1" si="1"/>
        <v>5.3970614092956604</v>
      </c>
      <c r="J37" s="59">
        <f t="shared" ca="1" si="1"/>
        <v>2.1568309952037565</v>
      </c>
      <c r="K37" s="59">
        <f t="shared" ca="1" si="1"/>
        <v>0</v>
      </c>
      <c r="L37" s="56">
        <f t="shared" ca="1" si="2"/>
        <v>0</v>
      </c>
      <c r="P37" s="56"/>
      <c r="Q37" s="56"/>
      <c r="R37" s="57"/>
      <c r="S37" s="57"/>
      <c r="T37" s="57"/>
      <c r="U37" s="57"/>
      <c r="V37" s="57"/>
      <c r="W37" s="57"/>
      <c r="X37" s="57"/>
    </row>
    <row r="38" spans="1:24" x14ac:dyDescent="0.2">
      <c r="A38" s="49">
        <v>3</v>
      </c>
      <c r="B38" s="59" t="str">
        <f t="shared" si="1"/>
        <v/>
      </c>
      <c r="C38" s="59" t="str">
        <f t="shared" si="1"/>
        <v/>
      </c>
      <c r="D38" s="59" t="str">
        <f t="shared" si="1"/>
        <v/>
      </c>
      <c r="E38" s="59">
        <f t="shared" ca="1" si="1"/>
        <v>14.17100133903481</v>
      </c>
      <c r="F38" s="59">
        <f t="shared" ca="1" si="1"/>
        <v>10.119436167871926</v>
      </c>
      <c r="G38" s="59">
        <f t="shared" ca="1" si="1"/>
        <v>6.4683941561011782</v>
      </c>
      <c r="H38" s="59">
        <f t="shared" ca="1" si="1"/>
        <v>3.3915737914251394</v>
      </c>
      <c r="I38" s="59">
        <f t="shared" ca="1" si="1"/>
        <v>1.1420023478583705</v>
      </c>
      <c r="J38" s="59">
        <f t="shared" ca="1" si="1"/>
        <v>0</v>
      </c>
      <c r="K38" s="59">
        <f t="shared" ca="1" si="1"/>
        <v>0</v>
      </c>
      <c r="L38" s="56">
        <f t="shared" ca="1" si="2"/>
        <v>0</v>
      </c>
      <c r="P38" s="56"/>
      <c r="Q38" s="57"/>
      <c r="R38" s="57"/>
      <c r="S38" s="57"/>
      <c r="T38" s="57"/>
      <c r="U38" s="57"/>
      <c r="V38" s="57"/>
      <c r="W38" s="57"/>
      <c r="X38" s="57"/>
    </row>
    <row r="39" spans="1:24" x14ac:dyDescent="0.2">
      <c r="A39" s="49">
        <v>2</v>
      </c>
      <c r="B39" s="59" t="str">
        <f t="shared" si="1"/>
        <v/>
      </c>
      <c r="C39" s="59" t="str">
        <f t="shared" si="1"/>
        <v/>
      </c>
      <c r="D39" s="59">
        <f t="shared" ca="1" si="1"/>
        <v>10.969449838356557</v>
      </c>
      <c r="E39" s="59">
        <f t="shared" ca="1" si="1"/>
        <v>7.4136610564338072</v>
      </c>
      <c r="F39" s="59">
        <f t="shared" ca="1" si="1"/>
        <v>4.3966640107904196</v>
      </c>
      <c r="G39" s="59">
        <f t="shared" ca="1" si="1"/>
        <v>2.0784815524551643</v>
      </c>
      <c r="H39" s="59">
        <f t="shared" ca="1" si="1"/>
        <v>0.60466924177841086</v>
      </c>
      <c r="I39" s="59">
        <f t="shared" ca="1" si="1"/>
        <v>0</v>
      </c>
      <c r="J39" s="59">
        <f t="shared" ca="1" si="1"/>
        <v>0</v>
      </c>
      <c r="K39" s="59">
        <f t="shared" ca="1" si="1"/>
        <v>0</v>
      </c>
      <c r="L39" s="56">
        <f t="shared" ca="1" si="2"/>
        <v>0</v>
      </c>
      <c r="P39" s="57"/>
      <c r="Q39" s="57"/>
      <c r="R39" s="57"/>
      <c r="S39" s="57"/>
      <c r="T39" s="57"/>
      <c r="U39" s="57"/>
      <c r="V39" s="57"/>
      <c r="W39" s="57"/>
      <c r="X39" s="57"/>
    </row>
    <row r="40" spans="1:24" x14ac:dyDescent="0.2">
      <c r="A40" s="49">
        <v>1</v>
      </c>
      <c r="B40" s="59" t="str">
        <f t="shared" si="1"/>
        <v/>
      </c>
      <c r="C40" s="59">
        <f t="shared" ca="1" si="1"/>
        <v>8.2800337462400329</v>
      </c>
      <c r="D40" s="59">
        <f t="shared" ca="1" si="1"/>
        <v>5.2870867076365551</v>
      </c>
      <c r="E40" s="59">
        <f t="shared" ca="1" si="1"/>
        <v>2.9124706556334194</v>
      </c>
      <c r="F40" s="59">
        <f t="shared" ca="1" si="1"/>
        <v>1.2502051754949441</v>
      </c>
      <c r="G40" s="59">
        <f t="shared" ca="1" si="1"/>
        <v>0.32016124365991461</v>
      </c>
      <c r="H40" s="59">
        <f t="shared" ca="1" si="1"/>
        <v>0</v>
      </c>
      <c r="I40" s="59">
        <f t="shared" ca="1" si="1"/>
        <v>0</v>
      </c>
      <c r="J40" s="59">
        <f t="shared" ca="1" si="1"/>
        <v>0</v>
      </c>
      <c r="K40" s="59">
        <f t="shared" ca="1" si="1"/>
        <v>0</v>
      </c>
      <c r="L40" s="56">
        <f t="shared" ca="1" si="2"/>
        <v>0</v>
      </c>
      <c r="P40" s="57"/>
      <c r="Q40" s="57"/>
      <c r="R40" s="57"/>
      <c r="S40" s="57"/>
      <c r="T40" s="57"/>
      <c r="U40" s="57"/>
      <c r="V40" s="57"/>
      <c r="W40" s="57"/>
      <c r="X40" s="57"/>
    </row>
    <row r="41" spans="1:24" x14ac:dyDescent="0.2">
      <c r="A41" s="49">
        <v>0</v>
      </c>
      <c r="B41" s="59">
        <f t="shared" ca="1" si="1"/>
        <v>6.1057993430111788</v>
      </c>
      <c r="C41" s="59">
        <f t="shared" ca="1" si="1"/>
        <v>3.6824284842980508</v>
      </c>
      <c r="D41" s="59">
        <f t="shared" ca="1" si="1"/>
        <v>1.8886466420813657</v>
      </c>
      <c r="E41" s="59">
        <f t="shared" ca="1" si="1"/>
        <v>0.74121738356941524</v>
      </c>
      <c r="F41" s="59">
        <f t="shared" ca="1" si="1"/>
        <v>0.1695194907556202</v>
      </c>
      <c r="G41" s="59">
        <f t="shared" ca="1" si="1"/>
        <v>0</v>
      </c>
      <c r="H41" s="59">
        <f t="shared" ca="1" si="1"/>
        <v>0</v>
      </c>
      <c r="I41" s="59">
        <f t="shared" ca="1" si="1"/>
        <v>0</v>
      </c>
      <c r="J41" s="59">
        <f t="shared" ca="1" si="1"/>
        <v>0</v>
      </c>
      <c r="K41" s="59">
        <f ca="1">IF($A41 &lt;= K$30, ($B$10*L40+$B$11*L41)/EXP($B$6 * $B$3/$B$5),"")</f>
        <v>0</v>
      </c>
      <c r="L41" s="56">
        <f ca="1">MAX($G$2*(L26-$G$3),0)</f>
        <v>0</v>
      </c>
      <c r="O41" s="57"/>
      <c r="P41" s="57"/>
      <c r="Q41" s="57"/>
      <c r="R41" s="57"/>
      <c r="S41" s="57"/>
      <c r="T41" s="57"/>
      <c r="U41" s="57"/>
      <c r="V41" s="57"/>
      <c r="W41" s="57"/>
      <c r="X41" s="57"/>
    </row>
    <row r="46" spans="1:24" x14ac:dyDescent="0.2">
      <c r="M46" s="49" t="s">
        <v>35</v>
      </c>
    </row>
  </sheetData>
  <mergeCells count="2">
    <mergeCell ref="A1:B1"/>
    <mergeCell ref="F1:G1"/>
  </mergeCells>
  <dataValidations count="1">
    <dataValidation type="list" allowBlank="1" showInputMessage="1" showErrorMessage="1" sqref="G2" xr:uid="{00000000-0002-0000-0300-000000000000}">
      <formula1>"1, -1"</formula1>
    </dataValidation>
  </dataValidations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17D57-C6A1-4180-93B5-821A33D6D0DB}">
  <dimension ref="A1:X56"/>
  <sheetViews>
    <sheetView showGridLines="0" zoomScale="130" zoomScaleNormal="130" workbookViewId="0">
      <selection activeCell="G4" sqref="G4"/>
    </sheetView>
  </sheetViews>
  <sheetFormatPr defaultRowHeight="12.75" x14ac:dyDescent="0.2"/>
  <cols>
    <col min="1" max="5" width="9.140625" style="49"/>
    <col min="6" max="6" width="9.28515625" style="49" customWidth="1"/>
    <col min="7" max="7" width="8.28515625" style="49" bestFit="1" customWidth="1"/>
    <col min="8" max="262" width="9.140625" style="49"/>
    <col min="263" max="263" width="8.28515625" style="49" bestFit="1" customWidth="1"/>
    <col min="264" max="518" width="9.140625" style="49"/>
    <col min="519" max="519" width="8.28515625" style="49" bestFit="1" customWidth="1"/>
    <col min="520" max="774" width="9.140625" style="49"/>
    <col min="775" max="775" width="8.28515625" style="49" bestFit="1" customWidth="1"/>
    <col min="776" max="1030" width="9.140625" style="49"/>
    <col min="1031" max="1031" width="8.28515625" style="49" bestFit="1" customWidth="1"/>
    <col min="1032" max="1286" width="9.140625" style="49"/>
    <col min="1287" max="1287" width="8.28515625" style="49" bestFit="1" customWidth="1"/>
    <col min="1288" max="1542" width="9.140625" style="49"/>
    <col min="1543" max="1543" width="8.28515625" style="49" bestFit="1" customWidth="1"/>
    <col min="1544" max="1798" width="9.140625" style="49"/>
    <col min="1799" max="1799" width="8.28515625" style="49" bestFit="1" customWidth="1"/>
    <col min="1800" max="2054" width="9.140625" style="49"/>
    <col min="2055" max="2055" width="8.28515625" style="49" bestFit="1" customWidth="1"/>
    <col min="2056" max="2310" width="9.140625" style="49"/>
    <col min="2311" max="2311" width="8.28515625" style="49" bestFit="1" customWidth="1"/>
    <col min="2312" max="2566" width="9.140625" style="49"/>
    <col min="2567" max="2567" width="8.28515625" style="49" bestFit="1" customWidth="1"/>
    <col min="2568" max="2822" width="9.140625" style="49"/>
    <col min="2823" max="2823" width="8.28515625" style="49" bestFit="1" customWidth="1"/>
    <col min="2824" max="3078" width="9.140625" style="49"/>
    <col min="3079" max="3079" width="8.28515625" style="49" bestFit="1" customWidth="1"/>
    <col min="3080" max="3334" width="9.140625" style="49"/>
    <col min="3335" max="3335" width="8.28515625" style="49" bestFit="1" customWidth="1"/>
    <col min="3336" max="3590" width="9.140625" style="49"/>
    <col min="3591" max="3591" width="8.28515625" style="49" bestFit="1" customWidth="1"/>
    <col min="3592" max="3846" width="9.140625" style="49"/>
    <col min="3847" max="3847" width="8.28515625" style="49" bestFit="1" customWidth="1"/>
    <col min="3848" max="4102" width="9.140625" style="49"/>
    <col min="4103" max="4103" width="8.28515625" style="49" bestFit="1" customWidth="1"/>
    <col min="4104" max="4358" width="9.140625" style="49"/>
    <col min="4359" max="4359" width="8.28515625" style="49" bestFit="1" customWidth="1"/>
    <col min="4360" max="4614" width="9.140625" style="49"/>
    <col min="4615" max="4615" width="8.28515625" style="49" bestFit="1" customWidth="1"/>
    <col min="4616" max="4870" width="9.140625" style="49"/>
    <col min="4871" max="4871" width="8.28515625" style="49" bestFit="1" customWidth="1"/>
    <col min="4872" max="5126" width="9.140625" style="49"/>
    <col min="5127" max="5127" width="8.28515625" style="49" bestFit="1" customWidth="1"/>
    <col min="5128" max="5382" width="9.140625" style="49"/>
    <col min="5383" max="5383" width="8.28515625" style="49" bestFit="1" customWidth="1"/>
    <col min="5384" max="5638" width="9.140625" style="49"/>
    <col min="5639" max="5639" width="8.28515625" style="49" bestFit="1" customWidth="1"/>
    <col min="5640" max="5894" width="9.140625" style="49"/>
    <col min="5895" max="5895" width="8.28515625" style="49" bestFit="1" customWidth="1"/>
    <col min="5896" max="6150" width="9.140625" style="49"/>
    <col min="6151" max="6151" width="8.28515625" style="49" bestFit="1" customWidth="1"/>
    <col min="6152" max="6406" width="9.140625" style="49"/>
    <col min="6407" max="6407" width="8.28515625" style="49" bestFit="1" customWidth="1"/>
    <col min="6408" max="6662" width="9.140625" style="49"/>
    <col min="6663" max="6663" width="8.28515625" style="49" bestFit="1" customWidth="1"/>
    <col min="6664" max="6918" width="9.140625" style="49"/>
    <col min="6919" max="6919" width="8.28515625" style="49" bestFit="1" customWidth="1"/>
    <col min="6920" max="7174" width="9.140625" style="49"/>
    <col min="7175" max="7175" width="8.28515625" style="49" bestFit="1" customWidth="1"/>
    <col min="7176" max="7430" width="9.140625" style="49"/>
    <col min="7431" max="7431" width="8.28515625" style="49" bestFit="1" customWidth="1"/>
    <col min="7432" max="7686" width="9.140625" style="49"/>
    <col min="7687" max="7687" width="8.28515625" style="49" bestFit="1" customWidth="1"/>
    <col min="7688" max="7942" width="9.140625" style="49"/>
    <col min="7943" max="7943" width="8.28515625" style="49" bestFit="1" customWidth="1"/>
    <col min="7944" max="8198" width="9.140625" style="49"/>
    <col min="8199" max="8199" width="8.28515625" style="49" bestFit="1" customWidth="1"/>
    <col min="8200" max="8454" width="9.140625" style="49"/>
    <col min="8455" max="8455" width="8.28515625" style="49" bestFit="1" customWidth="1"/>
    <col min="8456" max="8710" width="9.140625" style="49"/>
    <col min="8711" max="8711" width="8.28515625" style="49" bestFit="1" customWidth="1"/>
    <col min="8712" max="8966" width="9.140625" style="49"/>
    <col min="8967" max="8967" width="8.28515625" style="49" bestFit="1" customWidth="1"/>
    <col min="8968" max="9222" width="9.140625" style="49"/>
    <col min="9223" max="9223" width="8.28515625" style="49" bestFit="1" customWidth="1"/>
    <col min="9224" max="9478" width="9.140625" style="49"/>
    <col min="9479" max="9479" width="8.28515625" style="49" bestFit="1" customWidth="1"/>
    <col min="9480" max="9734" width="9.140625" style="49"/>
    <col min="9735" max="9735" width="8.28515625" style="49" bestFit="1" customWidth="1"/>
    <col min="9736" max="9990" width="9.140625" style="49"/>
    <col min="9991" max="9991" width="8.28515625" style="49" bestFit="1" customWidth="1"/>
    <col min="9992" max="10246" width="9.140625" style="49"/>
    <col min="10247" max="10247" width="8.28515625" style="49" bestFit="1" customWidth="1"/>
    <col min="10248" max="10502" width="9.140625" style="49"/>
    <col min="10503" max="10503" width="8.28515625" style="49" bestFit="1" customWidth="1"/>
    <col min="10504" max="10758" width="9.140625" style="49"/>
    <col min="10759" max="10759" width="8.28515625" style="49" bestFit="1" customWidth="1"/>
    <col min="10760" max="11014" width="9.140625" style="49"/>
    <col min="11015" max="11015" width="8.28515625" style="49" bestFit="1" customWidth="1"/>
    <col min="11016" max="11270" width="9.140625" style="49"/>
    <col min="11271" max="11271" width="8.28515625" style="49" bestFit="1" customWidth="1"/>
    <col min="11272" max="11526" width="9.140625" style="49"/>
    <col min="11527" max="11527" width="8.28515625" style="49" bestFit="1" customWidth="1"/>
    <col min="11528" max="11782" width="9.140625" style="49"/>
    <col min="11783" max="11783" width="8.28515625" style="49" bestFit="1" customWidth="1"/>
    <col min="11784" max="12038" width="9.140625" style="49"/>
    <col min="12039" max="12039" width="8.28515625" style="49" bestFit="1" customWidth="1"/>
    <col min="12040" max="12294" width="9.140625" style="49"/>
    <col min="12295" max="12295" width="8.28515625" style="49" bestFit="1" customWidth="1"/>
    <col min="12296" max="12550" width="9.140625" style="49"/>
    <col min="12551" max="12551" width="8.28515625" style="49" bestFit="1" customWidth="1"/>
    <col min="12552" max="12806" width="9.140625" style="49"/>
    <col min="12807" max="12807" width="8.28515625" style="49" bestFit="1" customWidth="1"/>
    <col min="12808" max="13062" width="9.140625" style="49"/>
    <col min="13063" max="13063" width="8.28515625" style="49" bestFit="1" customWidth="1"/>
    <col min="13064" max="13318" width="9.140625" style="49"/>
    <col min="13319" max="13319" width="8.28515625" style="49" bestFit="1" customWidth="1"/>
    <col min="13320" max="13574" width="9.140625" style="49"/>
    <col min="13575" max="13575" width="8.28515625" style="49" bestFit="1" customWidth="1"/>
    <col min="13576" max="13830" width="9.140625" style="49"/>
    <col min="13831" max="13831" width="8.28515625" style="49" bestFit="1" customWidth="1"/>
    <col min="13832" max="14086" width="9.140625" style="49"/>
    <col min="14087" max="14087" width="8.28515625" style="49" bestFit="1" customWidth="1"/>
    <col min="14088" max="14342" width="9.140625" style="49"/>
    <col min="14343" max="14343" width="8.28515625" style="49" bestFit="1" customWidth="1"/>
    <col min="14344" max="14598" width="9.140625" style="49"/>
    <col min="14599" max="14599" width="8.28515625" style="49" bestFit="1" customWidth="1"/>
    <col min="14600" max="14854" width="9.140625" style="49"/>
    <col min="14855" max="14855" width="8.28515625" style="49" bestFit="1" customWidth="1"/>
    <col min="14856" max="15110" width="9.140625" style="49"/>
    <col min="15111" max="15111" width="8.28515625" style="49" bestFit="1" customWidth="1"/>
    <col min="15112" max="15366" width="9.140625" style="49"/>
    <col min="15367" max="15367" width="8.28515625" style="49" bestFit="1" customWidth="1"/>
    <col min="15368" max="15622" width="9.140625" style="49"/>
    <col min="15623" max="15623" width="8.28515625" style="49" bestFit="1" customWidth="1"/>
    <col min="15624" max="15878" width="9.140625" style="49"/>
    <col min="15879" max="15879" width="8.28515625" style="49" bestFit="1" customWidth="1"/>
    <col min="15880" max="16134" width="9.140625" style="49"/>
    <col min="16135" max="16135" width="8.28515625" style="49" bestFit="1" customWidth="1"/>
    <col min="16136" max="16384" width="9.140625" style="49"/>
  </cols>
  <sheetData>
    <row r="1" spans="1:23" ht="13.5" thickBot="1" x14ac:dyDescent="0.25">
      <c r="A1" s="60" t="s">
        <v>0</v>
      </c>
      <c r="B1" s="61"/>
      <c r="F1" s="60" t="s">
        <v>1</v>
      </c>
      <c r="G1" s="61"/>
    </row>
    <row r="2" spans="1:23" x14ac:dyDescent="0.2">
      <c r="A2" s="3" t="s">
        <v>2</v>
      </c>
      <c r="B2" s="4">
        <v>100</v>
      </c>
      <c r="F2" s="50" t="s">
        <v>20</v>
      </c>
      <c r="G2" s="42">
        <v>1</v>
      </c>
    </row>
    <row r="3" spans="1:23" ht="15.75" thickBot="1" x14ac:dyDescent="0.3">
      <c r="A3" s="7" t="s">
        <v>4</v>
      </c>
      <c r="B3" s="8">
        <v>0.25</v>
      </c>
      <c r="F3" s="51" t="s">
        <v>3</v>
      </c>
      <c r="G3" s="52">
        <v>100</v>
      </c>
    </row>
    <row r="4" spans="1:23" ht="15" x14ac:dyDescent="0.25">
      <c r="A4" s="7" t="s">
        <v>5</v>
      </c>
      <c r="B4" s="10">
        <v>0.3</v>
      </c>
    </row>
    <row r="5" spans="1:23" x14ac:dyDescent="0.2">
      <c r="A5" s="7" t="s">
        <v>6</v>
      </c>
      <c r="B5" s="11">
        <v>15</v>
      </c>
    </row>
    <row r="6" spans="1:23" ht="15" x14ac:dyDescent="0.25">
      <c r="A6" s="7" t="s">
        <v>23</v>
      </c>
      <c r="B6" s="46">
        <v>0.02</v>
      </c>
    </row>
    <row r="7" spans="1:23" ht="15.75" thickBot="1" x14ac:dyDescent="0.3">
      <c r="A7" s="47" t="s">
        <v>24</v>
      </c>
      <c r="B7" s="48">
        <v>0.01</v>
      </c>
    </row>
    <row r="8" spans="1:23" x14ac:dyDescent="0.2">
      <c r="A8" s="13" t="s">
        <v>8</v>
      </c>
      <c r="B8" s="14">
        <f>EXP(B4*SQRT(B3/B5))</f>
        <v>1.0394896104013376</v>
      </c>
    </row>
    <row r="9" spans="1:23" x14ac:dyDescent="0.2">
      <c r="A9" s="15" t="s">
        <v>9</v>
      </c>
      <c r="B9" s="16">
        <f>1/B8</f>
        <v>0.96201057710803761</v>
      </c>
    </row>
    <row r="10" spans="1:23" x14ac:dyDescent="0.2">
      <c r="A10" s="15" t="s">
        <v>10</v>
      </c>
      <c r="B10" s="18">
        <f>(EXP((B6 - B7) * B3/B5) - B9) / (B8 - B9)</f>
        <v>0.49247005062451049</v>
      </c>
    </row>
    <row r="11" spans="1:23" ht="13.5" thickBot="1" x14ac:dyDescent="0.25">
      <c r="A11" s="19" t="s">
        <v>11</v>
      </c>
      <c r="B11" s="20">
        <f>1 - B10</f>
        <v>0.50752994937548945</v>
      </c>
    </row>
    <row r="14" spans="1:23" x14ac:dyDescent="0.2">
      <c r="A14" s="53" t="s">
        <v>33</v>
      </c>
      <c r="M14" s="53"/>
    </row>
    <row r="15" spans="1:23" x14ac:dyDescent="0.2">
      <c r="B15" s="54">
        <v>0</v>
      </c>
      <c r="C15" s="54">
        <v>1</v>
      </c>
      <c r="D15" s="54">
        <v>2</v>
      </c>
      <c r="E15" s="54">
        <v>3</v>
      </c>
      <c r="F15" s="54">
        <v>4</v>
      </c>
      <c r="G15" s="54">
        <v>5</v>
      </c>
      <c r="H15" s="54">
        <v>6</v>
      </c>
      <c r="I15" s="54">
        <v>7</v>
      </c>
      <c r="J15" s="54">
        <v>8</v>
      </c>
      <c r="K15" s="54">
        <v>9</v>
      </c>
      <c r="L15" s="49">
        <v>10</v>
      </c>
      <c r="M15" s="49">
        <v>11</v>
      </c>
      <c r="N15" s="54">
        <v>12</v>
      </c>
      <c r="O15" s="54">
        <v>13</v>
      </c>
      <c r="P15" s="54">
        <v>14</v>
      </c>
      <c r="Q15" s="54">
        <v>15</v>
      </c>
      <c r="R15" s="54"/>
      <c r="S15" s="54"/>
      <c r="T15" s="54"/>
      <c r="U15" s="54"/>
      <c r="V15" s="54"/>
      <c r="W15" s="54"/>
    </row>
    <row r="16" spans="1:23" x14ac:dyDescent="0.2">
      <c r="A16" s="49">
        <v>15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M16" s="55" t="str">
        <f t="shared" ref="M16:Q20" ca="1" si="0">IF($A16&lt;M$15,$B$9*OFFSET(M16,0,-1),IF($A16=M$15,$B$8*OFFSET(M16,1,-1),""))</f>
        <v/>
      </c>
      <c r="N16" s="55" t="str">
        <f t="shared" ca="1" si="0"/>
        <v/>
      </c>
      <c r="O16" s="55" t="str">
        <f t="shared" ca="1" si="0"/>
        <v/>
      </c>
      <c r="P16" s="55" t="str">
        <f t="shared" ca="1" si="0"/>
        <v/>
      </c>
      <c r="Q16" s="55">
        <f t="shared" ca="1" si="0"/>
        <v>178.77315075823685</v>
      </c>
      <c r="R16" s="54"/>
      <c r="S16" s="54"/>
      <c r="T16" s="54"/>
      <c r="U16" s="54"/>
      <c r="V16" s="54"/>
      <c r="W16" s="54"/>
    </row>
    <row r="17" spans="1:23" x14ac:dyDescent="0.2">
      <c r="A17" s="49">
        <v>14</v>
      </c>
      <c r="B17" s="54"/>
      <c r="C17" s="54"/>
      <c r="D17" s="54"/>
      <c r="E17" s="54"/>
      <c r="F17" s="54"/>
      <c r="G17" s="54"/>
      <c r="H17" s="54"/>
      <c r="I17" s="54"/>
      <c r="J17" s="54"/>
      <c r="K17" s="54"/>
      <c r="M17" s="55" t="str">
        <f t="shared" ca="1" si="0"/>
        <v/>
      </c>
      <c r="N17" s="55" t="str">
        <f t="shared" ca="1" si="0"/>
        <v/>
      </c>
      <c r="O17" s="55" t="str">
        <f t="shared" ca="1" si="0"/>
        <v/>
      </c>
      <c r="P17" s="55">
        <f t="shared" ca="1" si="0"/>
        <v>171.98166193235366</v>
      </c>
      <c r="Q17" s="55">
        <f t="shared" ca="1" si="0"/>
        <v>165.44817784754298</v>
      </c>
      <c r="R17" s="54"/>
      <c r="S17" s="54"/>
      <c r="T17" s="54"/>
      <c r="U17" s="54"/>
      <c r="V17" s="54"/>
      <c r="W17" s="54"/>
    </row>
    <row r="18" spans="1:23" x14ac:dyDescent="0.2">
      <c r="A18" s="49">
        <v>13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M18" s="55" t="str">
        <f t="shared" ca="1" si="0"/>
        <v/>
      </c>
      <c r="N18" s="55" t="str">
        <f t="shared" ca="1" si="0"/>
        <v/>
      </c>
      <c r="O18" s="55">
        <f t="shared" ca="1" si="0"/>
        <v>165.44817784754298</v>
      </c>
      <c r="P18" s="55">
        <f t="shared" ca="1" si="0"/>
        <v>159.16289705258808</v>
      </c>
      <c r="Q18" s="55">
        <f t="shared" ca="1" si="0"/>
        <v>153.11639044774745</v>
      </c>
      <c r="R18" s="54"/>
      <c r="S18" s="54"/>
      <c r="T18" s="54"/>
      <c r="U18" s="54"/>
      <c r="V18" s="54"/>
      <c r="W18" s="54"/>
    </row>
    <row r="19" spans="1:23" x14ac:dyDescent="0.2">
      <c r="A19" s="49">
        <v>12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M19" s="55" t="str">
        <f t="shared" ca="1" si="0"/>
        <v/>
      </c>
      <c r="N19" s="55">
        <f t="shared" ca="1" si="0"/>
        <v>159.16289705258808</v>
      </c>
      <c r="O19" s="55">
        <f t="shared" ca="1" si="0"/>
        <v>153.11639044774745</v>
      </c>
      <c r="P19" s="55">
        <f t="shared" ca="1" si="0"/>
        <v>147.29958713933715</v>
      </c>
      <c r="Q19" s="55">
        <f t="shared" ca="1" si="0"/>
        <v>141.70376083168941</v>
      </c>
      <c r="R19" s="54"/>
      <c r="S19" s="54"/>
      <c r="T19" s="54"/>
      <c r="U19" s="54"/>
      <c r="V19" s="54"/>
      <c r="W19" s="54"/>
    </row>
    <row r="20" spans="1:23" x14ac:dyDescent="0.2">
      <c r="A20" s="49">
        <v>11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M20" s="55">
        <f t="shared" ca="1" si="0"/>
        <v>153.11639044774745</v>
      </c>
      <c r="N20" s="55">
        <f t="shared" ca="1" si="0"/>
        <v>147.29958713933715</v>
      </c>
      <c r="O20" s="55">
        <f t="shared" ca="1" si="0"/>
        <v>141.70376083168941</v>
      </c>
      <c r="P20" s="55">
        <f t="shared" ca="1" si="0"/>
        <v>136.32051673607288</v>
      </c>
      <c r="Q20" s="55">
        <f t="shared" ca="1" si="0"/>
        <v>131.14177897693537</v>
      </c>
      <c r="R20" s="54"/>
      <c r="S20" s="54"/>
      <c r="T20" s="54"/>
      <c r="U20" s="54"/>
      <c r="V20" s="54"/>
      <c r="W20" s="54"/>
    </row>
    <row r="21" spans="1:23" x14ac:dyDescent="0.2">
      <c r="A21" s="49">
        <v>10</v>
      </c>
      <c r="B21" s="54"/>
      <c r="C21" s="55" t="str">
        <f t="shared" ref="C21:Q31" ca="1" si="1">IF($A21&lt;C$15,$B$9*OFFSET(C21,0,-1),IF($A21=C$15,$B$8*OFFSET(C21,1,-1),""))</f>
        <v/>
      </c>
      <c r="D21" s="55" t="str">
        <f t="shared" ca="1" si="1"/>
        <v/>
      </c>
      <c r="E21" s="55" t="str">
        <f t="shared" ca="1" si="1"/>
        <v/>
      </c>
      <c r="F21" s="55" t="str">
        <f t="shared" ca="1" si="1"/>
        <v/>
      </c>
      <c r="G21" s="55" t="str">
        <f t="shared" ca="1" si="1"/>
        <v/>
      </c>
      <c r="H21" s="55" t="str">
        <f t="shared" ca="1" si="1"/>
        <v/>
      </c>
      <c r="I21" s="55" t="str">
        <f t="shared" ca="1" si="1"/>
        <v/>
      </c>
      <c r="J21" s="55" t="str">
        <f t="shared" ca="1" si="1"/>
        <v/>
      </c>
      <c r="K21" s="55" t="str">
        <f t="shared" ca="1" si="1"/>
        <v/>
      </c>
      <c r="L21" s="55">
        <f t="shared" ca="1" si="1"/>
        <v>147.29958713933715</v>
      </c>
      <c r="M21" s="55">
        <f t="shared" ca="1" si="1"/>
        <v>141.70376083168941</v>
      </c>
      <c r="N21" s="55">
        <f t="shared" ca="1" si="1"/>
        <v>136.32051673607288</v>
      </c>
      <c r="O21" s="55">
        <f t="shared" ca="1" si="1"/>
        <v>131.14177897693537</v>
      </c>
      <c r="P21" s="55">
        <f t="shared" ca="1" si="1"/>
        <v>126.15977847657631</v>
      </c>
      <c r="Q21" s="55">
        <f t="shared" ca="1" si="1"/>
        <v>121.36704130007335</v>
      </c>
      <c r="R21" s="54"/>
      <c r="S21" s="54"/>
      <c r="T21" s="54"/>
      <c r="U21" s="54"/>
      <c r="V21" s="54"/>
      <c r="W21" s="54"/>
    </row>
    <row r="22" spans="1:23" x14ac:dyDescent="0.2">
      <c r="A22" s="49">
        <v>9</v>
      </c>
      <c r="B22" s="54"/>
      <c r="C22" s="55" t="str">
        <f t="shared" ca="1" si="1"/>
        <v/>
      </c>
      <c r="D22" s="55" t="str">
        <f t="shared" ca="1" si="1"/>
        <v/>
      </c>
      <c r="E22" s="55" t="str">
        <f t="shared" ca="1" si="1"/>
        <v/>
      </c>
      <c r="F22" s="55" t="str">
        <f t="shared" ca="1" si="1"/>
        <v/>
      </c>
      <c r="G22" s="55" t="str">
        <f t="shared" ca="1" si="1"/>
        <v/>
      </c>
      <c r="H22" s="55" t="str">
        <f t="shared" ca="1" si="1"/>
        <v/>
      </c>
      <c r="I22" s="55" t="str">
        <f t="shared" ca="1" si="1"/>
        <v/>
      </c>
      <c r="J22" s="55" t="str">
        <f t="shared" ca="1" si="1"/>
        <v/>
      </c>
      <c r="K22" s="55">
        <f t="shared" ca="1" si="1"/>
        <v>141.70376083168941</v>
      </c>
      <c r="L22" s="55">
        <f t="shared" ca="1" si="1"/>
        <v>136.32051673607288</v>
      </c>
      <c r="M22" s="55">
        <f t="shared" ca="1" si="1"/>
        <v>131.14177897693537</v>
      </c>
      <c r="N22" s="55">
        <f t="shared" ca="1" si="1"/>
        <v>126.15977847657631</v>
      </c>
      <c r="O22" s="55">
        <f t="shared" ca="1" si="1"/>
        <v>121.36704130007335</v>
      </c>
      <c r="P22" s="55">
        <f t="shared" ca="1" si="1"/>
        <v>116.7563774429786</v>
      </c>
      <c r="Q22" s="55">
        <f t="shared" ca="1" si="1"/>
        <v>112.32087004496371</v>
      </c>
      <c r="R22" s="54"/>
      <c r="S22" s="54"/>
      <c r="T22" s="54"/>
      <c r="U22" s="54"/>
      <c r="V22" s="54"/>
      <c r="W22" s="54"/>
    </row>
    <row r="23" spans="1:23" x14ac:dyDescent="0.2">
      <c r="A23" s="49">
        <v>8</v>
      </c>
      <c r="B23" s="54"/>
      <c r="C23" s="55" t="str">
        <f t="shared" ca="1" si="1"/>
        <v/>
      </c>
      <c r="D23" s="55" t="str">
        <f t="shared" ca="1" si="1"/>
        <v/>
      </c>
      <c r="E23" s="55" t="str">
        <f t="shared" ca="1" si="1"/>
        <v/>
      </c>
      <c r="F23" s="55" t="str">
        <f t="shared" ca="1" si="1"/>
        <v/>
      </c>
      <c r="G23" s="55" t="str">
        <f t="shared" ca="1" si="1"/>
        <v/>
      </c>
      <c r="H23" s="55" t="str">
        <f t="shared" ca="1" si="1"/>
        <v/>
      </c>
      <c r="I23" s="55" t="str">
        <f t="shared" ca="1" si="1"/>
        <v/>
      </c>
      <c r="J23" s="55">
        <f t="shared" ca="1" si="1"/>
        <v>136.32051673607288</v>
      </c>
      <c r="K23" s="55">
        <f t="shared" ca="1" si="1"/>
        <v>131.14177897693537</v>
      </c>
      <c r="L23" s="55">
        <f t="shared" ca="1" si="1"/>
        <v>126.15977847657631</v>
      </c>
      <c r="M23" s="55">
        <f t="shared" ca="1" si="1"/>
        <v>121.36704130007335</v>
      </c>
      <c r="N23" s="55">
        <f t="shared" ca="1" si="1"/>
        <v>116.7563774429786</v>
      </c>
      <c r="O23" s="55">
        <f t="shared" ca="1" si="1"/>
        <v>112.32087004496371</v>
      </c>
      <c r="P23" s="55">
        <f t="shared" ca="1" si="1"/>
        <v>108.05386501323244</v>
      </c>
      <c r="Q23" s="55">
        <f t="shared" ca="1" si="1"/>
        <v>103.94896104013374</v>
      </c>
      <c r="R23" s="54"/>
      <c r="S23" s="54"/>
      <c r="T23" s="54"/>
      <c r="U23" s="54"/>
      <c r="V23" s="54"/>
      <c r="W23" s="54"/>
    </row>
    <row r="24" spans="1:23" x14ac:dyDescent="0.2">
      <c r="A24" s="49">
        <v>7</v>
      </c>
      <c r="B24" s="54"/>
      <c r="C24" s="55" t="str">
        <f t="shared" ca="1" si="1"/>
        <v/>
      </c>
      <c r="D24" s="55" t="str">
        <f t="shared" ca="1" si="1"/>
        <v/>
      </c>
      <c r="E24" s="55" t="str">
        <f t="shared" ca="1" si="1"/>
        <v/>
      </c>
      <c r="F24" s="55" t="str">
        <f t="shared" ca="1" si="1"/>
        <v/>
      </c>
      <c r="G24" s="55" t="str">
        <f t="shared" ca="1" si="1"/>
        <v/>
      </c>
      <c r="H24" s="55" t="str">
        <f t="shared" ca="1" si="1"/>
        <v/>
      </c>
      <c r="I24" s="55">
        <f t="shared" ca="1" si="1"/>
        <v>131.14177897693537</v>
      </c>
      <c r="J24" s="55">
        <f t="shared" ca="1" si="1"/>
        <v>126.15977847657631</v>
      </c>
      <c r="K24" s="55">
        <f t="shared" ca="1" si="1"/>
        <v>121.36704130007335</v>
      </c>
      <c r="L24" s="55">
        <f t="shared" ca="1" si="1"/>
        <v>116.7563774429786</v>
      </c>
      <c r="M24" s="55">
        <f t="shared" ca="1" si="1"/>
        <v>112.32087004496371</v>
      </c>
      <c r="N24" s="55">
        <f t="shared" ca="1" si="1"/>
        <v>108.05386501323244</v>
      </c>
      <c r="O24" s="55">
        <f t="shared" ca="1" si="1"/>
        <v>103.94896104013374</v>
      </c>
      <c r="P24" s="55">
        <f t="shared" ca="1" si="1"/>
        <v>99.999999999999972</v>
      </c>
      <c r="Q24" s="55">
        <f t="shared" ca="1" si="1"/>
        <v>96.201057710803738</v>
      </c>
      <c r="R24" s="54"/>
      <c r="S24" s="54"/>
      <c r="T24" s="54"/>
      <c r="U24" s="54"/>
      <c r="V24" s="54"/>
      <c r="W24" s="54"/>
    </row>
    <row r="25" spans="1:23" x14ac:dyDescent="0.2">
      <c r="A25" s="49">
        <v>6</v>
      </c>
      <c r="B25" s="54"/>
      <c r="C25" s="55" t="str">
        <f t="shared" ca="1" si="1"/>
        <v/>
      </c>
      <c r="D25" s="55" t="str">
        <f t="shared" ca="1" si="1"/>
        <v/>
      </c>
      <c r="E25" s="55" t="str">
        <f t="shared" ca="1" si="1"/>
        <v/>
      </c>
      <c r="F25" s="55" t="str">
        <f t="shared" ca="1" si="1"/>
        <v/>
      </c>
      <c r="G25" s="55" t="str">
        <f t="shared" ca="1" si="1"/>
        <v/>
      </c>
      <c r="H25" s="55">
        <f t="shared" ca="1" si="1"/>
        <v>126.15977847657631</v>
      </c>
      <c r="I25" s="55">
        <f t="shared" ca="1" si="1"/>
        <v>121.36704130007335</v>
      </c>
      <c r="J25" s="55">
        <f t="shared" ca="1" si="1"/>
        <v>116.7563774429786</v>
      </c>
      <c r="K25" s="55">
        <f t="shared" ca="1" si="1"/>
        <v>112.32087004496371</v>
      </c>
      <c r="L25" s="55">
        <f t="shared" ca="1" si="1"/>
        <v>108.05386501323244</v>
      </c>
      <c r="M25" s="55">
        <f t="shared" ca="1" si="1"/>
        <v>103.94896104013374</v>
      </c>
      <c r="N25" s="55">
        <f t="shared" ca="1" si="1"/>
        <v>99.999999999999972</v>
      </c>
      <c r="O25" s="55">
        <f t="shared" ca="1" si="1"/>
        <v>96.201057710803738</v>
      </c>
      <c r="P25" s="55">
        <f t="shared" ca="1" si="1"/>
        <v>92.546435046773937</v>
      </c>
      <c r="Q25" s="55">
        <f t="shared" ca="1" si="1"/>
        <v>89.030649388638508</v>
      </c>
      <c r="R25" s="54"/>
      <c r="S25" s="54"/>
      <c r="T25" s="54"/>
      <c r="U25" s="54"/>
      <c r="V25" s="54"/>
      <c r="W25" s="54"/>
    </row>
    <row r="26" spans="1:23" x14ac:dyDescent="0.2">
      <c r="A26" s="49">
        <v>5</v>
      </c>
      <c r="C26" s="55" t="str">
        <f t="shared" ca="1" si="1"/>
        <v/>
      </c>
      <c r="D26" s="55" t="str">
        <f t="shared" ca="1" si="1"/>
        <v/>
      </c>
      <c r="E26" s="55" t="str">
        <f t="shared" ca="1" si="1"/>
        <v/>
      </c>
      <c r="F26" s="55" t="str">
        <f t="shared" ca="1" si="1"/>
        <v/>
      </c>
      <c r="G26" s="55">
        <f t="shared" ca="1" si="1"/>
        <v>121.36704130007337</v>
      </c>
      <c r="H26" s="55">
        <f t="shared" ca="1" si="1"/>
        <v>116.75637744297862</v>
      </c>
      <c r="I26" s="55">
        <f t="shared" ca="1" si="1"/>
        <v>112.32087004496373</v>
      </c>
      <c r="J26" s="55">
        <f t="shared" ca="1" si="1"/>
        <v>108.05386501323245</v>
      </c>
      <c r="K26" s="55">
        <f t="shared" ca="1" si="1"/>
        <v>103.94896104013375</v>
      </c>
      <c r="L26" s="55">
        <f t="shared" ca="1" si="1"/>
        <v>99.999999999999986</v>
      </c>
      <c r="M26" s="55">
        <f t="shared" ca="1" si="1"/>
        <v>96.201057710803752</v>
      </c>
      <c r="N26" s="55">
        <f t="shared" ca="1" si="1"/>
        <v>92.546435046773951</v>
      </c>
      <c r="O26" s="55">
        <f t="shared" ca="1" si="1"/>
        <v>89.030649388638523</v>
      </c>
      <c r="P26" s="55">
        <f t="shared" ca="1" si="1"/>
        <v>85.648426398667496</v>
      </c>
      <c r="Q26" s="55">
        <f t="shared" ca="1" si="1"/>
        <v>82.394692108177395</v>
      </c>
      <c r="R26" s="56"/>
      <c r="S26" s="56"/>
      <c r="T26" s="56"/>
      <c r="U26" s="56"/>
      <c r="V26" s="56"/>
      <c r="W26" s="56"/>
    </row>
    <row r="27" spans="1:23" x14ac:dyDescent="0.2">
      <c r="A27" s="49">
        <v>4</v>
      </c>
      <c r="C27" s="55" t="str">
        <f t="shared" ca="1" si="1"/>
        <v/>
      </c>
      <c r="D27" s="55" t="str">
        <f t="shared" ca="1" si="1"/>
        <v/>
      </c>
      <c r="E27" s="55" t="str">
        <f t="shared" ca="1" si="1"/>
        <v/>
      </c>
      <c r="F27" s="55">
        <f t="shared" ca="1" si="1"/>
        <v>116.75637744297862</v>
      </c>
      <c r="G27" s="55">
        <f t="shared" ca="1" si="1"/>
        <v>112.32087004496373</v>
      </c>
      <c r="H27" s="55">
        <f t="shared" ca="1" si="1"/>
        <v>108.05386501323245</v>
      </c>
      <c r="I27" s="55">
        <f t="shared" ca="1" si="1"/>
        <v>103.94896104013375</v>
      </c>
      <c r="J27" s="55">
        <f t="shared" ca="1" si="1"/>
        <v>99.999999999999986</v>
      </c>
      <c r="K27" s="55">
        <f t="shared" ca="1" si="1"/>
        <v>96.201057710803752</v>
      </c>
      <c r="L27" s="55">
        <f t="shared" ca="1" si="1"/>
        <v>92.546435046773951</v>
      </c>
      <c r="M27" s="55">
        <f t="shared" ca="1" si="1"/>
        <v>89.030649388638523</v>
      </c>
      <c r="N27" s="55">
        <f t="shared" ca="1" si="1"/>
        <v>85.648426398667496</v>
      </c>
      <c r="O27" s="55">
        <f t="shared" ca="1" si="1"/>
        <v>82.394692108177395</v>
      </c>
      <c r="P27" s="55">
        <f t="shared" ca="1" si="1"/>
        <v>79.264565305626803</v>
      </c>
      <c r="Q27" s="55">
        <f t="shared" ca="1" si="1"/>
        <v>76.253350213883778</v>
      </c>
      <c r="R27" s="56"/>
      <c r="S27" s="56"/>
      <c r="T27" s="56"/>
      <c r="U27" s="56"/>
      <c r="V27" s="56"/>
      <c r="W27" s="56"/>
    </row>
    <row r="28" spans="1:23" x14ac:dyDescent="0.2">
      <c r="A28" s="49">
        <v>3</v>
      </c>
      <c r="C28" s="55" t="str">
        <f t="shared" ca="1" si="1"/>
        <v/>
      </c>
      <c r="D28" s="55" t="str">
        <f t="shared" ca="1" si="1"/>
        <v/>
      </c>
      <c r="E28" s="55">
        <f t="shared" ca="1" si="1"/>
        <v>112.32087004496373</v>
      </c>
      <c r="F28" s="55">
        <f t="shared" ca="1" si="1"/>
        <v>108.05386501323245</v>
      </c>
      <c r="G28" s="55">
        <f t="shared" ca="1" si="1"/>
        <v>103.94896104013375</v>
      </c>
      <c r="H28" s="55">
        <f t="shared" ca="1" si="1"/>
        <v>99.999999999999986</v>
      </c>
      <c r="I28" s="55">
        <f t="shared" ca="1" si="1"/>
        <v>96.201057710803752</v>
      </c>
      <c r="J28" s="55">
        <f t="shared" ca="1" si="1"/>
        <v>92.546435046773951</v>
      </c>
      <c r="K28" s="55">
        <f t="shared" ca="1" si="1"/>
        <v>89.030649388638523</v>
      </c>
      <c r="L28" s="55">
        <f t="shared" ca="1" si="1"/>
        <v>85.648426398667496</v>
      </c>
      <c r="M28" s="55">
        <f t="shared" ca="1" si="1"/>
        <v>82.394692108177395</v>
      </c>
      <c r="N28" s="55">
        <f t="shared" ca="1" si="1"/>
        <v>79.264565305626803</v>
      </c>
      <c r="O28" s="55">
        <f t="shared" ca="1" si="1"/>
        <v>76.253350213883778</v>
      </c>
      <c r="P28" s="55">
        <f t="shared" ca="1" si="1"/>
        <v>73.356529445679641</v>
      </c>
      <c r="Q28" s="55">
        <f t="shared" ca="1" si="1"/>
        <v>70.56975722668102</v>
      </c>
      <c r="R28" s="56"/>
      <c r="S28" s="56"/>
      <c r="T28" s="56"/>
      <c r="U28" s="56"/>
      <c r="V28" s="56"/>
      <c r="W28" s="56"/>
    </row>
    <row r="29" spans="1:23" x14ac:dyDescent="0.2">
      <c r="A29" s="49">
        <v>2</v>
      </c>
      <c r="C29" s="55" t="str">
        <f t="shared" ca="1" si="1"/>
        <v/>
      </c>
      <c r="D29" s="55">
        <f t="shared" ca="1" si="1"/>
        <v>108.05386501323245</v>
      </c>
      <c r="E29" s="55">
        <f t="shared" ca="1" si="1"/>
        <v>103.94896104013375</v>
      </c>
      <c r="F29" s="55">
        <f t="shared" ca="1" si="1"/>
        <v>99.999999999999986</v>
      </c>
      <c r="G29" s="55">
        <f t="shared" ca="1" si="1"/>
        <v>96.201057710803752</v>
      </c>
      <c r="H29" s="55">
        <f t="shared" ca="1" si="1"/>
        <v>92.546435046773951</v>
      </c>
      <c r="I29" s="55">
        <f t="shared" ca="1" si="1"/>
        <v>89.030649388638523</v>
      </c>
      <c r="J29" s="55">
        <f t="shared" ca="1" si="1"/>
        <v>85.648426398667496</v>
      </c>
      <c r="K29" s="55">
        <f t="shared" ca="1" si="1"/>
        <v>82.394692108177395</v>
      </c>
      <c r="L29" s="55">
        <f t="shared" ca="1" si="1"/>
        <v>79.264565305626803</v>
      </c>
      <c r="M29" s="55">
        <f t="shared" ca="1" si="1"/>
        <v>76.253350213883778</v>
      </c>
      <c r="N29" s="55">
        <f t="shared" ca="1" si="1"/>
        <v>73.356529445679641</v>
      </c>
      <c r="O29" s="55">
        <f t="shared" ca="1" si="1"/>
        <v>70.56975722668102</v>
      </c>
      <c r="P29" s="55">
        <f t="shared" ca="1" si="1"/>
        <v>67.888852876013516</v>
      </c>
      <c r="Q29" s="55">
        <f t="shared" ca="1" si="1"/>
        <v>65.309794534456415</v>
      </c>
      <c r="R29" s="56"/>
      <c r="S29" s="56"/>
      <c r="T29" s="56"/>
      <c r="U29" s="56"/>
      <c r="V29" s="56"/>
      <c r="W29" s="56"/>
    </row>
    <row r="30" spans="1:23" x14ac:dyDescent="0.2">
      <c r="A30" s="49">
        <v>1</v>
      </c>
      <c r="C30" s="55">
        <f t="shared" ca="1" si="1"/>
        <v>103.94896104013375</v>
      </c>
      <c r="D30" s="55">
        <f t="shared" ca="1" si="1"/>
        <v>99.999999999999986</v>
      </c>
      <c r="E30" s="55">
        <f t="shared" ca="1" si="1"/>
        <v>96.201057710803752</v>
      </c>
      <c r="F30" s="55">
        <f t="shared" ca="1" si="1"/>
        <v>92.546435046773951</v>
      </c>
      <c r="G30" s="55">
        <f t="shared" ca="1" si="1"/>
        <v>89.030649388638523</v>
      </c>
      <c r="H30" s="55">
        <f t="shared" ca="1" si="1"/>
        <v>85.648426398667496</v>
      </c>
      <c r="I30" s="55">
        <f t="shared" ca="1" si="1"/>
        <v>82.394692108177395</v>
      </c>
      <c r="J30" s="55">
        <f t="shared" ca="1" si="1"/>
        <v>79.264565305626803</v>
      </c>
      <c r="K30" s="55">
        <f t="shared" ca="1" si="1"/>
        <v>76.253350213883778</v>
      </c>
      <c r="L30" s="55">
        <f t="shared" ca="1" si="1"/>
        <v>73.356529445679641</v>
      </c>
      <c r="M30" s="55">
        <f t="shared" ca="1" si="1"/>
        <v>70.56975722668102</v>
      </c>
      <c r="N30" s="55">
        <f t="shared" ca="1" si="1"/>
        <v>67.888852876013516</v>
      </c>
      <c r="O30" s="55">
        <f t="shared" ca="1" si="1"/>
        <v>65.309794534456415</v>
      </c>
      <c r="P30" s="55">
        <f t="shared" ca="1" si="1"/>
        <v>62.828713130899779</v>
      </c>
      <c r="Q30" s="55">
        <f t="shared" ca="1" si="1"/>
        <v>60.441886578012237</v>
      </c>
      <c r="R30" s="56"/>
      <c r="S30" s="56"/>
      <c r="T30" s="56"/>
      <c r="U30" s="56"/>
      <c r="V30" s="56"/>
      <c r="W30" s="56"/>
    </row>
    <row r="31" spans="1:23" x14ac:dyDescent="0.2">
      <c r="A31" s="49">
        <v>0</v>
      </c>
      <c r="B31" s="55">
        <f>$B$2</f>
        <v>100</v>
      </c>
      <c r="C31" s="55">
        <f t="shared" ca="1" si="1"/>
        <v>96.201057710803767</v>
      </c>
      <c r="D31" s="55">
        <f t="shared" ca="1" si="1"/>
        <v>92.546435046773965</v>
      </c>
      <c r="E31" s="55">
        <f t="shared" ca="1" si="1"/>
        <v>89.030649388638537</v>
      </c>
      <c r="F31" s="55">
        <f t="shared" ca="1" si="1"/>
        <v>85.64842639866751</v>
      </c>
      <c r="G31" s="55">
        <f t="shared" ca="1" si="1"/>
        <v>82.394692108177409</v>
      </c>
      <c r="H31" s="55">
        <f t="shared" ca="1" si="1"/>
        <v>79.264565305626817</v>
      </c>
      <c r="I31" s="55">
        <f t="shared" ca="1" si="1"/>
        <v>76.253350213883792</v>
      </c>
      <c r="J31" s="55">
        <f t="shared" ca="1" si="1"/>
        <v>73.356529445679655</v>
      </c>
      <c r="K31" s="55">
        <f t="shared" ca="1" si="1"/>
        <v>70.569757226681034</v>
      </c>
      <c r="L31" s="55">
        <f t="shared" ca="1" si="1"/>
        <v>67.88885287601353</v>
      </c>
      <c r="M31" s="55">
        <f t="shared" ca="1" si="1"/>
        <v>65.309794534456429</v>
      </c>
      <c r="N31" s="55">
        <f t="shared" ca="1" si="1"/>
        <v>62.828713130899793</v>
      </c>
      <c r="O31" s="55">
        <f t="shared" ca="1" si="1"/>
        <v>60.441886578012252</v>
      </c>
      <c r="P31" s="55">
        <f t="shared" ca="1" si="1"/>
        <v>58.145734188412121</v>
      </c>
      <c r="Q31" s="55">
        <f t="shared" ca="1" si="1"/>
        <v>55.936811302964898</v>
      </c>
      <c r="R31" s="56"/>
      <c r="S31" s="56"/>
      <c r="T31" s="56"/>
      <c r="U31" s="56"/>
      <c r="V31" s="56"/>
      <c r="W31" s="56"/>
    </row>
    <row r="32" spans="1:23" x14ac:dyDescent="0.2">
      <c r="B32" s="57"/>
      <c r="C32" s="57"/>
      <c r="D32" s="56"/>
      <c r="E32" s="56"/>
      <c r="F32" s="56"/>
      <c r="G32" s="56"/>
      <c r="H32" s="56"/>
      <c r="I32" s="56"/>
      <c r="J32" s="56"/>
      <c r="K32" s="56"/>
      <c r="N32" s="56"/>
      <c r="O32" s="56"/>
      <c r="P32" s="56"/>
      <c r="Q32" s="56"/>
      <c r="R32" s="56"/>
      <c r="S32" s="56"/>
      <c r="T32" s="56"/>
      <c r="U32" s="56"/>
      <c r="V32" s="56"/>
      <c r="W32" s="56"/>
    </row>
    <row r="35" spans="1:24" x14ac:dyDescent="0.2">
      <c r="O35" s="54"/>
      <c r="P35" s="54"/>
      <c r="Q35" s="54"/>
      <c r="R35" s="54"/>
      <c r="S35" s="54"/>
      <c r="T35" s="54"/>
      <c r="U35" s="54"/>
      <c r="V35" s="54"/>
      <c r="W35" s="54"/>
      <c r="X35" s="54"/>
    </row>
    <row r="36" spans="1:24" x14ac:dyDescent="0.2">
      <c r="O36" s="54"/>
      <c r="P36" s="54"/>
      <c r="Q36" s="54"/>
      <c r="R36" s="54"/>
      <c r="S36" s="54"/>
      <c r="T36" s="54"/>
      <c r="U36" s="54"/>
      <c r="V36" s="54"/>
      <c r="W36" s="54"/>
      <c r="X36" s="54"/>
    </row>
    <row r="37" spans="1:24" x14ac:dyDescent="0.2">
      <c r="O37" s="54"/>
      <c r="P37" s="54"/>
      <c r="Q37" s="54"/>
      <c r="R37" s="54"/>
      <c r="S37" s="54"/>
      <c r="T37" s="54"/>
      <c r="U37" s="54"/>
      <c r="V37" s="54"/>
      <c r="W37" s="54"/>
      <c r="X37" s="54"/>
    </row>
    <row r="38" spans="1:24" x14ac:dyDescent="0.2">
      <c r="O38" s="54"/>
      <c r="P38" s="54"/>
      <c r="Q38" s="54"/>
      <c r="R38" s="54"/>
      <c r="S38" s="54"/>
      <c r="T38" s="54"/>
      <c r="U38" s="54"/>
      <c r="V38" s="54"/>
      <c r="W38" s="54"/>
      <c r="X38" s="54"/>
    </row>
    <row r="39" spans="1:24" x14ac:dyDescent="0.2">
      <c r="A39" s="58" t="s">
        <v>34</v>
      </c>
      <c r="O39" s="54"/>
      <c r="P39" s="54"/>
      <c r="Q39" s="54"/>
      <c r="R39" s="54"/>
      <c r="S39" s="54"/>
      <c r="T39" s="54"/>
      <c r="U39" s="54"/>
      <c r="V39" s="54"/>
      <c r="W39" s="54"/>
      <c r="X39" s="54"/>
    </row>
    <row r="40" spans="1:24" x14ac:dyDescent="0.2">
      <c r="B40" s="54">
        <v>0</v>
      </c>
      <c r="C40" s="54">
        <v>1</v>
      </c>
      <c r="D40" s="54">
        <v>2</v>
      </c>
      <c r="E40" s="54">
        <v>3</v>
      </c>
      <c r="F40" s="54">
        <v>4</v>
      </c>
      <c r="G40" s="54">
        <v>5</v>
      </c>
      <c r="H40" s="54">
        <v>6</v>
      </c>
      <c r="I40" s="54">
        <v>7</v>
      </c>
      <c r="J40" s="54">
        <v>8</v>
      </c>
      <c r="K40" s="54">
        <v>9</v>
      </c>
      <c r="L40" s="49">
        <v>10</v>
      </c>
      <c r="M40" s="49">
        <v>11</v>
      </c>
      <c r="N40" s="49">
        <v>12</v>
      </c>
      <c r="O40" s="54">
        <v>13</v>
      </c>
      <c r="P40" s="54">
        <v>14</v>
      </c>
      <c r="Q40" s="54">
        <v>15</v>
      </c>
      <c r="R40" s="54"/>
      <c r="S40" s="54"/>
      <c r="T40" s="54"/>
      <c r="U40" s="54"/>
      <c r="V40" s="54"/>
      <c r="W40" s="54"/>
      <c r="X40" s="54"/>
    </row>
    <row r="41" spans="1:24" x14ac:dyDescent="0.2">
      <c r="A41" s="49">
        <v>15</v>
      </c>
      <c r="B41" s="54"/>
      <c r="C41" s="54"/>
      <c r="D41" s="54"/>
      <c r="E41" s="54"/>
      <c r="F41" s="54"/>
      <c r="G41" s="54"/>
      <c r="H41" s="54"/>
      <c r="I41" s="54"/>
      <c r="J41" s="54"/>
      <c r="K41" s="54"/>
      <c r="O41" s="54"/>
      <c r="P41" s="54"/>
      <c r="Q41" s="54">
        <f ca="1">MAX($G$2*(Q16-$G$3),0)</f>
        <v>78.773150758236852</v>
      </c>
      <c r="R41" s="54"/>
      <c r="S41" s="54"/>
      <c r="T41" s="54"/>
      <c r="U41" s="54"/>
      <c r="V41" s="54"/>
      <c r="W41" s="54"/>
      <c r="X41" s="54"/>
    </row>
    <row r="42" spans="1:24" x14ac:dyDescent="0.2">
      <c r="A42" s="49">
        <v>14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9" t="str">
        <f t="shared" ref="L42:N42" si="2">IF($A42 &lt;= L$40, ($B$10*M41+$B$11*M42)/EXP($B$6 * $B$3/$B$5),"")</f>
        <v/>
      </c>
      <c r="M42" s="59" t="str">
        <f t="shared" si="2"/>
        <v/>
      </c>
      <c r="N42" s="59" t="str">
        <f t="shared" si="2"/>
        <v/>
      </c>
      <c r="O42" s="59" t="str">
        <f t="shared" ref="O42:P42" si="3">IF($A42 &lt;= O$40, ($B$10*P41+$B$11*P42)/EXP($B$6 * $B$3/$B$5),"")</f>
        <v/>
      </c>
      <c r="P42" s="59">
        <f t="shared" ca="1" si="3"/>
        <v>71.986328488928109</v>
      </c>
      <c r="Q42" s="54">
        <f t="shared" ref="Q42:Q56" ca="1" si="4">MAX($G$2*(Q17-$G$3),0)</f>
        <v>65.448177847542979</v>
      </c>
      <c r="R42" s="54"/>
      <c r="S42" s="54"/>
      <c r="T42" s="54"/>
      <c r="U42" s="54"/>
      <c r="V42" s="54"/>
      <c r="W42" s="54"/>
      <c r="X42" s="54"/>
    </row>
    <row r="43" spans="1:24" x14ac:dyDescent="0.2">
      <c r="A43" s="49">
        <v>13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9" t="str">
        <f t="shared" ref="L43:N43" si="5">IF($A43 &lt;= L$40, ($B$10*M42+$B$11*M43)/EXP($B$6 * $B$3/$B$5),"")</f>
        <v/>
      </c>
      <c r="M43" s="59" t="str">
        <f t="shared" si="5"/>
        <v/>
      </c>
      <c r="N43" s="59" t="str">
        <f t="shared" si="5"/>
        <v/>
      </c>
      <c r="O43" s="59">
        <f t="shared" ref="O43:P43" ca="1" si="6">IF($A43 &lt;= O$40, ($B$10*P42+$B$11*P43)/EXP($B$6 * $B$3/$B$5),"")</f>
        <v>65.45968209485325</v>
      </c>
      <c r="P43" s="59">
        <f t="shared" ca="1" si="6"/>
        <v>59.169699891947303</v>
      </c>
      <c r="Q43" s="54">
        <f t="shared" ca="1" si="4"/>
        <v>53.116390447747449</v>
      </c>
      <c r="R43" s="54"/>
      <c r="S43" s="54"/>
      <c r="T43" s="54"/>
      <c r="U43" s="54"/>
      <c r="V43" s="54"/>
      <c r="W43" s="54"/>
      <c r="X43" s="54"/>
    </row>
    <row r="44" spans="1:24" x14ac:dyDescent="0.2">
      <c r="A44" s="49">
        <v>12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9" t="str">
        <f t="shared" ref="L44:N44" si="7">IF($A44 &lt;= L$40, ($B$10*M43+$B$11*M44)/EXP($B$6 * $B$3/$B$5),"")</f>
        <v/>
      </c>
      <c r="M44" s="59" t="str">
        <f t="shared" si="7"/>
        <v/>
      </c>
      <c r="N44" s="59">
        <f t="shared" ca="1" si="7"/>
        <v>59.183285512770922</v>
      </c>
      <c r="O44" s="59">
        <f t="shared" ref="O44:P44" ca="1" si="8">IF($A44 &lt;= O$40, ($B$10*P43+$B$11*P44)/EXP($B$6 * $B$3/$B$5),"")</f>
        <v>53.13200460583446</v>
      </c>
      <c r="P44" s="59">
        <f t="shared" ca="1" si="8"/>
        <v>47.308367032256207</v>
      </c>
      <c r="Q44" s="54">
        <f t="shared" ca="1" si="4"/>
        <v>41.703760831689408</v>
      </c>
      <c r="R44" s="54"/>
      <c r="S44" s="54"/>
      <c r="T44" s="54"/>
      <c r="U44" s="54"/>
      <c r="V44" s="54"/>
      <c r="W44" s="54"/>
      <c r="X44" s="54"/>
    </row>
    <row r="45" spans="1:24" x14ac:dyDescent="0.2">
      <c r="A45" s="49">
        <v>11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9" t="str">
        <f t="shared" ref="L45:N45" si="9">IF($A45 &lt;= L$40, ($B$10*M44+$B$11*M45)/EXP($B$6 * $B$3/$B$5),"")</f>
        <v/>
      </c>
      <c r="M45" s="59">
        <f t="shared" ca="1" si="9"/>
        <v>53.147591356357552</v>
      </c>
      <c r="N45" s="59">
        <f t="shared" ca="1" si="9"/>
        <v>47.32590577181</v>
      </c>
      <c r="O45" s="59">
        <f t="shared" ref="O45:P45" ca="1" si="10">IF($A45 &lt;= O$40, ($B$10*P44+$B$11*P45)/EXP($B$6 * $B$3/$B$5),"")</f>
        <v>41.723178565683916</v>
      </c>
      <c r="P45" s="59">
        <f t="shared" ca="1" si="10"/>
        <v>36.331126321580527</v>
      </c>
      <c r="Q45" s="54">
        <f t="shared" ca="1" si="4"/>
        <v>31.14177897693537</v>
      </c>
      <c r="R45" s="54"/>
      <c r="S45" s="54"/>
      <c r="T45" s="54"/>
      <c r="U45" s="54"/>
      <c r="V45" s="54"/>
      <c r="W45" s="54"/>
      <c r="X45" s="54"/>
    </row>
    <row r="46" spans="1:24" x14ac:dyDescent="0.2">
      <c r="A46" s="49">
        <v>10</v>
      </c>
      <c r="B46" s="59" t="str">
        <f>IF($A46 &lt;= B$40, ($B$10*C40+$B$11*C46)/EXP($B$6 * $B$3/$B$5),"")</f>
        <v/>
      </c>
      <c r="C46" s="59" t="str">
        <f>IF($A46 &lt;= C$40, ($B$10*D40+$B$11*D46)/EXP($B$6 * $B$3/$B$5),"")</f>
        <v/>
      </c>
      <c r="D46" s="59" t="str">
        <f>IF($A46 &lt;= D$40, ($B$10*E40+$B$11*E46)/EXP($B$6 * $B$3/$B$5),"")</f>
        <v/>
      </c>
      <c r="E46" s="59" t="str">
        <f>IF($A46 &lt;= E$40, ($B$10*F40+$B$11*F46)/EXP($B$6 * $B$3/$B$5),"")</f>
        <v/>
      </c>
      <c r="F46" s="59" t="str">
        <f>IF($A46 &lt;= F$40, ($B$10*G40+$B$11*G46)/EXP($B$6 * $B$3/$B$5),"")</f>
        <v/>
      </c>
      <c r="G46" s="59" t="str">
        <f>IF($A46 &lt;= G$40, ($B$10*H40+$B$11*H46)/EXP($B$6 * $B$3/$B$5),"")</f>
        <v/>
      </c>
      <c r="H46" s="59" t="str">
        <f>IF($A46 &lt;= H$40, ($B$10*I40+$B$11*I46)/EXP($B$6 * $B$3/$B$5),"")</f>
        <v/>
      </c>
      <c r="I46" s="59" t="str">
        <f>IF($A46 &lt;= I$40, ($B$10*J40+$B$11*J46)/EXP($B$6 * $B$3/$B$5),"")</f>
        <v/>
      </c>
      <c r="J46" s="59" t="str">
        <f>IF($A46 &lt;= J$40, ($B$10*K40+$B$11*K46)/EXP($B$6 * $B$3/$B$5),"")</f>
        <v/>
      </c>
      <c r="K46" s="59" t="str">
        <f>IF($A46 &lt;= K$40, ($B$10*L40+$B$11*L46)/EXP($B$6 * $B$3/$B$5),"")</f>
        <v/>
      </c>
      <c r="L46" s="59">
        <f t="shared" ref="L46:N46" ca="1" si="11">IF($A46 &lt;= L$40, ($B$10*M45+$B$11*M46)/EXP($B$6 * $B$3/$B$5),"")</f>
        <v>47.343416469779612</v>
      </c>
      <c r="M46" s="59">
        <f t="shared" ca="1" si="11"/>
        <v>41.742567624467135</v>
      </c>
      <c r="N46" s="59">
        <f t="shared" ca="1" si="11"/>
        <v>36.352323531592262</v>
      </c>
      <c r="O46" s="59">
        <f t="shared" ref="O46:P46" ca="1" si="12">IF($A46 &lt;= O$40, ($B$10*P45+$B$11*P46)/EXP($B$6 * $B$3/$B$5),"")</f>
        <v>31.164716784836546</v>
      </c>
      <c r="P46" s="59">
        <f t="shared" ca="1" si="12"/>
        <v>26.172081377347023</v>
      </c>
      <c r="Q46" s="54">
        <f t="shared" ca="1" si="4"/>
        <v>21.367041300073353</v>
      </c>
      <c r="R46" s="56"/>
      <c r="S46" s="57"/>
      <c r="T46" s="57"/>
      <c r="U46" s="57"/>
      <c r="V46" s="57"/>
      <c r="W46" s="57"/>
      <c r="X46" s="57"/>
    </row>
    <row r="47" spans="1:24" x14ac:dyDescent="0.2">
      <c r="A47" s="49">
        <v>9</v>
      </c>
      <c r="B47" s="59" t="str">
        <f>IF($A47 &lt;= B$40, ($B$10*C46+$B$11*C47)/EXP($B$6 * $B$3/$B$5),"")</f>
        <v/>
      </c>
      <c r="C47" s="59" t="str">
        <f>IF($A47 &lt;= C$40, ($B$10*D46+$B$11*D47)/EXP($B$6 * $B$3/$B$5),"")</f>
        <v/>
      </c>
      <c r="D47" s="59" t="str">
        <f>IF($A47 &lt;= D$40, ($B$10*E46+$B$11*E47)/EXP($B$6 * $B$3/$B$5),"")</f>
        <v/>
      </c>
      <c r="E47" s="59" t="str">
        <f>IF($A47 &lt;= E$40, ($B$10*F46+$B$11*F47)/EXP($B$6 * $B$3/$B$5),"")</f>
        <v/>
      </c>
      <c r="F47" s="59" t="str">
        <f>IF($A47 &lt;= F$40, ($B$10*G46+$B$11*G47)/EXP($B$6 * $B$3/$B$5),"")</f>
        <v/>
      </c>
      <c r="G47" s="59" t="str">
        <f>IF($A47 &lt;= G$40, ($B$10*H46+$B$11*H47)/EXP($B$6 * $B$3/$B$5),"")</f>
        <v/>
      </c>
      <c r="H47" s="59" t="str">
        <f>IF($A47 &lt;= H$40, ($B$10*I46+$B$11*I47)/EXP($B$6 * $B$3/$B$5),"")</f>
        <v/>
      </c>
      <c r="I47" s="59" t="str">
        <f>IF($A47 &lt;= I$40, ($B$10*J46+$B$11*J47)/EXP($B$6 * $B$3/$B$5),"")</f>
        <v/>
      </c>
      <c r="J47" s="59" t="str">
        <f>IF($A47 &lt;= J$40, ($B$10*K46+$B$11*K47)/EXP($B$6 * $B$3/$B$5),"")</f>
        <v/>
      </c>
      <c r="K47" s="59">
        <f ca="1">IF($A47 &lt;= K$40, ($B$10*L46+$B$11*L47)/EXP($B$6 * $B$3/$B$5),"")</f>
        <v>41.761928032393421</v>
      </c>
      <c r="L47" s="59">
        <f t="shared" ref="L47:P47" ca="1" si="13">IF($A47 &lt;= L$40, ($B$10*M46+$B$11*M47)/EXP($B$6 * $B$3/$B$5),"")</f>
        <v>36.373491480732895</v>
      </c>
      <c r="M47" s="59">
        <f t="shared" ca="1" si="13"/>
        <v>31.187624744364012</v>
      </c>
      <c r="N47" s="59">
        <f t="shared" ca="1" si="13"/>
        <v>26.196664371344824</v>
      </c>
      <c r="O47" s="59">
        <f t="shared" ca="1" si="13"/>
        <v>21.393236810886179</v>
      </c>
      <c r="P47" s="59">
        <f t="shared" ca="1" si="13"/>
        <v>16.770247446659386</v>
      </c>
      <c r="Q47" s="54">
        <f t="shared" ca="1" si="4"/>
        <v>12.320870044963712</v>
      </c>
      <c r="R47" s="57"/>
      <c r="S47" s="57"/>
      <c r="T47" s="57"/>
      <c r="U47" s="57"/>
      <c r="V47" s="57"/>
      <c r="W47" s="57"/>
      <c r="X47" s="57"/>
    </row>
    <row r="48" spans="1:24" x14ac:dyDescent="0.2">
      <c r="A48" s="49">
        <v>8</v>
      </c>
      <c r="B48" s="59" t="str">
        <f>IF($A48 &lt;= B$40, ($B$10*C47+$B$11*C48)/EXP($B$6 * $B$3/$B$5),"")</f>
        <v/>
      </c>
      <c r="C48" s="59" t="str">
        <f>IF($A48 &lt;= C$40, ($B$10*D47+$B$11*D48)/EXP($B$6 * $B$3/$B$5),"")</f>
        <v/>
      </c>
      <c r="D48" s="59" t="str">
        <f>IF($A48 &lt;= D$40, ($B$10*E47+$B$11*E48)/EXP($B$6 * $B$3/$B$5),"")</f>
        <v/>
      </c>
      <c r="E48" s="59" t="str">
        <f>IF($A48 &lt;= E$40, ($B$10*F47+$B$11*F48)/EXP($B$6 * $B$3/$B$5),"")</f>
        <v/>
      </c>
      <c r="F48" s="59" t="str">
        <f>IF($A48 &lt;= F$40, ($B$10*G47+$B$11*G48)/EXP($B$6 * $B$3/$B$5),"")</f>
        <v/>
      </c>
      <c r="G48" s="59" t="str">
        <f>IF($A48 &lt;= G$40, ($B$10*H47+$B$11*H48)/EXP($B$6 * $B$3/$B$5),"")</f>
        <v/>
      </c>
      <c r="H48" s="59" t="str">
        <f>IF($A48 &lt;= H$40, ($B$10*I47+$B$11*I48)/EXP($B$6 * $B$3/$B$5),"")</f>
        <v/>
      </c>
      <c r="I48" s="59" t="str">
        <f>IF($A48 &lt;= I$40, ($B$10*J47+$B$11*J48)/EXP($B$6 * $B$3/$B$5),"")</f>
        <v/>
      </c>
      <c r="J48" s="59">
        <f ca="1">IF($A48 &lt;= J$40, ($B$10*K47+$B$11*K48)/EXP($B$6 * $B$3/$B$5),"")</f>
        <v>36.394630193547023</v>
      </c>
      <c r="K48" s="59">
        <f t="shared" ref="K48:P48" ca="1" si="14">IF($A48 &lt;= K$40, ($B$10*L47+$B$11*L48)/EXP($B$6 * $B$3/$B$5),"")</f>
        <v>31.2105028802631</v>
      </c>
      <c r="L48" s="59">
        <f t="shared" ca="1" si="14"/>
        <v>26.221216976064937</v>
      </c>
      <c r="M48" s="59">
        <f t="shared" ca="1" si="14"/>
        <v>21.419401387605276</v>
      </c>
      <c r="N48" s="59">
        <f t="shared" ca="1" si="14"/>
        <v>16.797963863034678</v>
      </c>
      <c r="O48" s="59">
        <f t="shared" ca="1" si="14"/>
        <v>12.350080443685677</v>
      </c>
      <c r="P48" s="59">
        <f t="shared" ca="1" si="14"/>
        <v>8.0691853147899995</v>
      </c>
      <c r="Q48" s="54">
        <f t="shared" ca="1" si="4"/>
        <v>3.9489610401337387</v>
      </c>
      <c r="R48" s="57"/>
      <c r="S48" s="57"/>
      <c r="T48" s="57"/>
      <c r="U48" s="57"/>
      <c r="V48" s="57"/>
      <c r="W48" s="57"/>
      <c r="X48" s="57"/>
    </row>
    <row r="49" spans="1:24" x14ac:dyDescent="0.2">
      <c r="A49" s="49">
        <v>7</v>
      </c>
      <c r="B49" s="59" t="str">
        <f>IF($A49 &lt;= B$40, ($B$10*C48+$B$11*C49)/EXP($B$6 * $B$3/$B$5),"")</f>
        <v/>
      </c>
      <c r="C49" s="59" t="str">
        <f>IF($A49 &lt;= C$40, ($B$10*D48+$B$11*D49)/EXP($B$6 * $B$3/$B$5),"")</f>
        <v/>
      </c>
      <c r="D49" s="59" t="str">
        <f>IF($A49 &lt;= D$40, ($B$10*E48+$B$11*E49)/EXP($B$6 * $B$3/$B$5),"")</f>
        <v/>
      </c>
      <c r="E49" s="59" t="str">
        <f>IF($A49 &lt;= E$40, ($B$10*F48+$B$11*F49)/EXP($B$6 * $B$3/$B$5),"")</f>
        <v/>
      </c>
      <c r="F49" s="59" t="str">
        <f>IF($A49 &lt;= F$40, ($B$10*G48+$B$11*G49)/EXP($B$6 * $B$3/$B$5),"")</f>
        <v/>
      </c>
      <c r="G49" s="59" t="str">
        <f>IF($A49 &lt;= G$40, ($B$10*H48+$B$11*H49)/EXP($B$6 * $B$3/$B$5),"")</f>
        <v/>
      </c>
      <c r="H49" s="59" t="str">
        <f>IF($A49 &lt;= H$40, ($B$10*I48+$B$11*I49)/EXP($B$6 * $B$3/$B$5),"")</f>
        <v/>
      </c>
      <c r="I49" s="59">
        <f ca="1">IF($A49 &lt;= I$40, ($B$10*J48+$B$11*J49)/EXP($B$6 * $B$3/$B$5),"")</f>
        <v>31.250031291459631</v>
      </c>
      <c r="J49" s="59">
        <f ca="1">IF($A49 &lt;= J$40, ($B$10*K48+$B$11*K49)/EXP($B$6 * $B$3/$B$5),"")</f>
        <v>26.27861537510719</v>
      </c>
      <c r="K49" s="59">
        <f t="shared" ref="K49:P49" ca="1" si="15">IF($A49 &lt;= K$40, ($B$10*L48+$B$11*L49)/EXP($B$6 * $B$3/$B$5),"")</f>
        <v>21.510333436725645</v>
      </c>
      <c r="L49" s="59">
        <f t="shared" ca="1" si="15"/>
        <v>16.953365416112128</v>
      </c>
      <c r="M49" s="59">
        <f t="shared" ca="1" si="15"/>
        <v>12.63098621482988</v>
      </c>
      <c r="N49" s="59">
        <f t="shared" ca="1" si="15"/>
        <v>8.5959520944891352</v>
      </c>
      <c r="O49" s="59">
        <f t="shared" ca="1" si="15"/>
        <v>4.9588662723020116</v>
      </c>
      <c r="P49" s="59">
        <f t="shared" ca="1" si="15"/>
        <v>1.9440969030304867</v>
      </c>
      <c r="Q49" s="54">
        <f t="shared" ca="1" si="4"/>
        <v>0</v>
      </c>
      <c r="R49" s="57"/>
      <c r="S49" s="57"/>
      <c r="T49" s="57"/>
      <c r="U49" s="57"/>
      <c r="V49" s="57"/>
      <c r="W49" s="57"/>
      <c r="X49" s="57"/>
    </row>
    <row r="50" spans="1:24" x14ac:dyDescent="0.2">
      <c r="A50" s="49">
        <v>6</v>
      </c>
      <c r="B50" s="59" t="str">
        <f>IF($A50 &lt;= B$40, ($B$10*C49+$B$11*C50)/EXP($B$6 * $B$3/$B$5),"")</f>
        <v/>
      </c>
      <c r="C50" s="59" t="str">
        <f>IF($A50 &lt;= C$40, ($B$10*D49+$B$11*D50)/EXP($B$6 * $B$3/$B$5),"")</f>
        <v/>
      </c>
      <c r="D50" s="59" t="str">
        <f>IF($A50 &lt;= D$40, ($B$10*E49+$B$11*E50)/EXP($B$6 * $B$3/$B$5),"")</f>
        <v/>
      </c>
      <c r="E50" s="59" t="str">
        <f>IF($A50 &lt;= E$40, ($B$10*F49+$B$11*F50)/EXP($B$6 * $B$3/$B$5),"")</f>
        <v/>
      </c>
      <c r="F50" s="59" t="str">
        <f>IF($A50 &lt;= F$40, ($B$10*G49+$B$11*G50)/EXP($B$6 * $B$3/$B$5),"")</f>
        <v/>
      </c>
      <c r="G50" s="59" t="str">
        <f>IF($A50 &lt;= G$40, ($B$10*H49+$B$11*H50)/EXP($B$6 * $B$3/$B$5),"")</f>
        <v/>
      </c>
      <c r="H50" s="59">
        <f ca="1">IF($A50 &lt;= H$40, ($B$10*I49+$B$11*I50)/EXP($B$6 * $B$3/$B$5),"")</f>
        <v>26.368572579450415</v>
      </c>
      <c r="I50" s="59">
        <f ca="1">IF($A50 &lt;= I$40, ($B$10*J49+$B$11*J50)/EXP($B$6 * $B$3/$B$5),"")</f>
        <v>21.6492821559094</v>
      </c>
      <c r="J50" s="59">
        <f ca="1">IF($A50 &lt;= J$40, ($B$10*K49+$B$11*K50)/EXP($B$6 * $B$3/$B$5),"")</f>
        <v>17.171535892155678</v>
      </c>
      <c r="K50" s="59">
        <f t="shared" ref="K50:P50" ca="1" si="16">IF($A50 &lt;= K$40, ($B$10*L49+$B$11*L50)/EXP($B$6 * $B$3/$B$5),"")</f>
        <v>12.972762894289358</v>
      </c>
      <c r="L50" s="59">
        <f t="shared" ca="1" si="16"/>
        <v>9.1187981129838978</v>
      </c>
      <c r="M50" s="59">
        <f t="shared" ca="1" si="16"/>
        <v>5.716816912827567</v>
      </c>
      <c r="N50" s="59">
        <f t="shared" ca="1" si="16"/>
        <v>2.9268693892652782</v>
      </c>
      <c r="O50" s="59">
        <f t="shared" ca="1" si="16"/>
        <v>0.95709041693780028</v>
      </c>
      <c r="P50" s="59">
        <f t="shared" ca="1" si="16"/>
        <v>0</v>
      </c>
      <c r="Q50" s="54">
        <f t="shared" ca="1" si="4"/>
        <v>0</v>
      </c>
      <c r="R50" s="57"/>
      <c r="S50" s="57"/>
      <c r="T50" s="57"/>
      <c r="U50" s="57"/>
      <c r="V50" s="57"/>
      <c r="W50" s="57"/>
      <c r="X50" s="57"/>
    </row>
    <row r="51" spans="1:24" x14ac:dyDescent="0.2">
      <c r="A51" s="49">
        <v>5</v>
      </c>
      <c r="B51" s="59" t="str">
        <f>IF($A51 &lt;= B$40, ($B$10*C50+$B$11*C51)/EXP($B$6 * $B$3/$B$5),"")</f>
        <v/>
      </c>
      <c r="C51" s="59" t="str">
        <f>IF($A51 &lt;= C$40, ($B$10*D50+$B$11*D51)/EXP($B$6 * $B$3/$B$5),"")</f>
        <v/>
      </c>
      <c r="D51" s="59" t="str">
        <f>IF($A51 &lt;= D$40, ($B$10*E50+$B$11*E51)/EXP($B$6 * $B$3/$B$5),"")</f>
        <v/>
      </c>
      <c r="E51" s="59" t="str">
        <f>IF($A51 &lt;= E$40, ($B$10*F50+$B$11*F51)/EXP($B$6 * $B$3/$B$5),"")</f>
        <v/>
      </c>
      <c r="F51" s="59" t="str">
        <f>IF($A51 &lt;= F$40, ($B$10*G50+$B$11*G51)/EXP($B$6 * $B$3/$B$5),"")</f>
        <v/>
      </c>
      <c r="G51" s="59">
        <f ca="1">IF($A51 &lt;= G$40, ($B$10*H50+$B$11*H51)/EXP($B$6 * $B$3/$B$5),"")</f>
        <v>21.819828688065158</v>
      </c>
      <c r="H51" s="59">
        <f ca="1">IF($A51 &lt;= H$40, ($B$10*I50+$B$11*I51)/EXP($B$6 * $B$3/$B$5),"")</f>
        <v>17.420392460431376</v>
      </c>
      <c r="I51" s="59">
        <f ca="1">IF($A51 &lt;= I$40, ($B$10*J50+$B$11*J51)/EXP($B$6 * $B$3/$B$5),"")</f>
        <v>13.328429494346178</v>
      </c>
      <c r="J51" s="59">
        <f ca="1">IF($A51 &lt;= J$40, ($B$10*K50+$B$11*K51)/EXP($B$6 * $B$3/$B$5),"")</f>
        <v>9.6081145568218727</v>
      </c>
      <c r="K51" s="59">
        <f t="shared" ref="K51:P51" ca="1" si="17">IF($A51 &lt;= K$40, ($B$10*L50+$B$11*L51)/EXP($B$6 * $B$3/$B$5),"")</f>
        <v>6.3496166092120383</v>
      </c>
      <c r="L51" s="59">
        <f t="shared" ca="1" si="17"/>
        <v>3.666775792899557</v>
      </c>
      <c r="M51" s="59">
        <f t="shared" ca="1" si="17"/>
        <v>1.6799740425318841</v>
      </c>
      <c r="N51" s="59">
        <f t="shared" ca="1" si="17"/>
        <v>0.47118127947545402</v>
      </c>
      <c r="O51" s="59">
        <f t="shared" ca="1" si="17"/>
        <v>0</v>
      </c>
      <c r="P51" s="59">
        <f t="shared" ca="1" si="17"/>
        <v>0</v>
      </c>
      <c r="Q51" s="54">
        <f t="shared" ca="1" si="4"/>
        <v>0</v>
      </c>
      <c r="R51" s="57"/>
      <c r="S51" s="57"/>
      <c r="T51" s="57"/>
      <c r="U51" s="57"/>
      <c r="V51" s="57"/>
      <c r="W51" s="57"/>
      <c r="X51" s="57"/>
    </row>
    <row r="52" spans="1:24" x14ac:dyDescent="0.2">
      <c r="A52" s="49">
        <v>4</v>
      </c>
      <c r="B52" s="59" t="str">
        <f>IF($A52 &lt;= B$40, ($B$10*C51+$B$11*C52)/EXP($B$6 * $B$3/$B$5),"")</f>
        <v/>
      </c>
      <c r="C52" s="59" t="str">
        <f>IF($A52 &lt;= C$40, ($B$10*D51+$B$11*D52)/EXP($B$6 * $B$3/$B$5),"")</f>
        <v/>
      </c>
      <c r="D52" s="59" t="str">
        <f>IF($A52 &lt;= D$40, ($B$10*E51+$B$11*E52)/EXP($B$6 * $B$3/$B$5),"")</f>
        <v/>
      </c>
      <c r="E52" s="59" t="str">
        <f>IF($A52 &lt;= E$40, ($B$10*F51+$B$11*F52)/EXP($B$6 * $B$3/$B$5),"")</f>
        <v/>
      </c>
      <c r="F52" s="59">
        <f ca="1">IF($A52 &lt;= F$40, ($B$10*G51+$B$11*G52)/EXP($B$6 * $B$3/$B$5),"")</f>
        <v>17.684012401736403</v>
      </c>
      <c r="G52" s="59">
        <f ca="1">IF($A52 &lt;= G$40, ($B$10*H51+$B$11*H52)/EXP($B$6 * $B$3/$B$5),"")</f>
        <v>13.682534252425061</v>
      </c>
      <c r="H52" s="59">
        <f ca="1">IF($A52 &lt;= H$40, ($B$10*I51+$B$11*I52)/EXP($B$6 * $B$3/$B$5),"")</f>
        <v>10.064577089094115</v>
      </c>
      <c r="I52" s="59">
        <f ca="1">IF($A52 &lt;= I$40, ($B$10*J51+$B$11*J52)/EXP($B$6 * $B$3/$B$5),"")</f>
        <v>6.9041840069043676</v>
      </c>
      <c r="J52" s="59">
        <f ca="1">IF($A52 &lt;= J$40, ($B$10*K51+$B$11*K52)/EXP($B$6 * $B$3/$B$5),"")</f>
        <v>4.2850222448027253</v>
      </c>
      <c r="K52" s="59">
        <f t="shared" ref="K52:P52" ca="1" si="18">IF($A52 &lt;= K$40, ($B$10*L51+$B$11*L52)/EXP($B$6 * $B$3/$B$5),"")</f>
        <v>2.2845052042269622</v>
      </c>
      <c r="L52" s="59">
        <f t="shared" ca="1" si="18"/>
        <v>0.9447512863522568</v>
      </c>
      <c r="M52" s="59">
        <f t="shared" ca="1" si="18"/>
        <v>0.23196533389024004</v>
      </c>
      <c r="N52" s="59">
        <f t="shared" ca="1" si="18"/>
        <v>0</v>
      </c>
      <c r="O52" s="59">
        <f t="shared" ca="1" si="18"/>
        <v>0</v>
      </c>
      <c r="P52" s="59">
        <f t="shared" ca="1" si="18"/>
        <v>0</v>
      </c>
      <c r="Q52" s="54">
        <f t="shared" ca="1" si="4"/>
        <v>0</v>
      </c>
    </row>
    <row r="53" spans="1:24" x14ac:dyDescent="0.2">
      <c r="A53" s="49">
        <v>3</v>
      </c>
      <c r="B53" s="59" t="str">
        <f>IF($A53 &lt;= B$40, ($B$10*C52+$B$11*C53)/EXP($B$6 * $B$3/$B$5),"")</f>
        <v/>
      </c>
      <c r="C53" s="59" t="str">
        <f>IF($A53 &lt;= C$40, ($B$10*D52+$B$11*D53)/EXP($B$6 * $B$3/$B$5),"")</f>
        <v/>
      </c>
      <c r="D53" s="59" t="str">
        <f>IF($A53 &lt;= D$40, ($B$10*E52+$B$11*E53)/EXP($B$6 * $B$3/$B$5),"")</f>
        <v/>
      </c>
      <c r="E53" s="59">
        <f ca="1">IF($A53 &lt;= E$40, ($B$10*F52+$B$11*F53)/EXP($B$6 * $B$3/$B$5),"")</f>
        <v>14.029404255649565</v>
      </c>
      <c r="F53" s="59">
        <f ca="1">IF($A53 &lt;= F$40, ($B$10*G52+$B$11*G53)/EXP($B$6 * $B$3/$B$5),"")</f>
        <v>10.492454735051181</v>
      </c>
      <c r="G53" s="59">
        <f ca="1">IF($A53 &lt;= G$40, ($B$10*H52+$B$11*H53)/EXP($B$6 * $B$3/$B$5),"")</f>
        <v>7.4039265497578066</v>
      </c>
      <c r="H53" s="59">
        <f ca="1">IF($A53 &lt;= H$40, ($B$10*I52+$B$11*I53)/EXP($B$6 * $B$3/$B$5),"")</f>
        <v>4.8270888271390753</v>
      </c>
      <c r="I53" s="59">
        <f ca="1">IF($A53 &lt;= I$40, ($B$10*J52+$B$11*J53)/EXP($B$6 * $B$3/$B$5),"")</f>
        <v>2.8147979824762346</v>
      </c>
      <c r="J53" s="59">
        <f ca="1">IF($A53 &lt;= J$40, ($B$10*K52+$B$11*K53)/EXP($B$6 * $B$3/$B$5),"")</f>
        <v>1.3900485752779408</v>
      </c>
      <c r="K53" s="59">
        <f t="shared" ref="K53:P53" ca="1" si="19">IF($A53 &lt;= K$40, ($B$10*L52+$B$11*L53)/EXP($B$6 * $B$3/$B$5),"")</f>
        <v>0.52304619419124676</v>
      </c>
      <c r="L53" s="59">
        <f t="shared" ca="1" si="19"/>
        <v>0.11419790740988818</v>
      </c>
      <c r="M53" s="59">
        <f t="shared" ca="1" si="19"/>
        <v>0</v>
      </c>
      <c r="N53" s="59">
        <f t="shared" ca="1" si="19"/>
        <v>0</v>
      </c>
      <c r="O53" s="59">
        <f t="shared" ca="1" si="19"/>
        <v>0</v>
      </c>
      <c r="P53" s="59">
        <f t="shared" ca="1" si="19"/>
        <v>0</v>
      </c>
      <c r="Q53" s="54">
        <f t="shared" ca="1" si="4"/>
        <v>0</v>
      </c>
    </row>
    <row r="54" spans="1:24" x14ac:dyDescent="0.2">
      <c r="A54" s="49">
        <v>2</v>
      </c>
      <c r="B54" s="59" t="str">
        <f>IF($A54 &lt;= B$40, ($B$10*C53+$B$11*C54)/EXP($B$6 * $B$3/$B$5),"")</f>
        <v/>
      </c>
      <c r="C54" s="59" t="str">
        <f>IF($A54 &lt;= C$40, ($B$10*D53+$B$11*D54)/EXP($B$6 * $B$3/$B$5),"")</f>
        <v/>
      </c>
      <c r="D54" s="59">
        <f ca="1">IF($A54 &lt;= D$40, ($B$10*E53+$B$11*E54)/EXP($B$6 * $B$3/$B$5),"")</f>
        <v>10.895878204485198</v>
      </c>
      <c r="E54" s="59">
        <f ca="1">IF($A54 &lt;= E$40, ($B$10*F53+$B$11*F54)/EXP($B$6 * $B$3/$B$5),"")</f>
        <v>7.8624903814627478</v>
      </c>
      <c r="F54" s="59">
        <f ca="1">IF($A54 &lt;= F$40, ($B$10*G53+$B$11*G54)/EXP($B$6 * $B$3/$B$5),"")</f>
        <v>5.3157295194444201</v>
      </c>
      <c r="G54" s="59">
        <f ca="1">IF($A54 &lt;= G$40, ($B$10*H53+$B$11*H54)/EXP($B$6 * $B$3/$B$5),"")</f>
        <v>3.2929872294481903</v>
      </c>
      <c r="H54" s="59">
        <f ca="1">IF($A54 &lt;= H$40, ($B$10*I53+$B$11*I54)/EXP($B$6 * $B$3/$B$5),"")</f>
        <v>1.8065700297688896</v>
      </c>
      <c r="I54" s="59">
        <f ca="1">IF($A54 &lt;= I$40, ($B$10*J53+$B$11*J54)/EXP($B$6 * $B$3/$B$5),"")</f>
        <v>0.82944585978644858</v>
      </c>
      <c r="J54" s="59">
        <f ca="1">IF($A54 &lt;= J$40, ($B$10*K53+$B$11*K54)/EXP($B$6 * $B$3/$B$5),"")</f>
        <v>0.28602271800141987</v>
      </c>
      <c r="K54" s="59">
        <f t="shared" ref="K54:P54" ca="1" si="20">IF($A54 &lt;= K$40, ($B$10*L53+$B$11*L54)/EXP($B$6 * $B$3/$B$5),"")</f>
        <v>5.6220306017657505E-2</v>
      </c>
      <c r="L54" s="59">
        <f t="shared" ca="1" si="20"/>
        <v>0</v>
      </c>
      <c r="M54" s="59">
        <f t="shared" ca="1" si="20"/>
        <v>0</v>
      </c>
      <c r="N54" s="59">
        <f t="shared" ca="1" si="20"/>
        <v>0</v>
      </c>
      <c r="O54" s="59">
        <f t="shared" ca="1" si="20"/>
        <v>0</v>
      </c>
      <c r="P54" s="59">
        <f t="shared" ca="1" si="20"/>
        <v>0</v>
      </c>
      <c r="Q54" s="54">
        <f t="shared" ca="1" si="4"/>
        <v>0</v>
      </c>
    </row>
    <row r="55" spans="1:24" x14ac:dyDescent="0.2">
      <c r="A55" s="49">
        <v>1</v>
      </c>
      <c r="B55" s="59" t="str">
        <f>IF($A55 &lt;= B$40, ($B$10*C54+$B$11*C55)/EXP($B$6 * $B$3/$B$5),"")</f>
        <v/>
      </c>
      <c r="C55" s="59">
        <f ca="1">IF($A55 &lt;= C$40, ($B$10*D54+$B$11*D55)/EXP($B$6 * $B$3/$B$5),"")</f>
        <v>8.2886474924739471</v>
      </c>
      <c r="D55" s="59">
        <f ca="1">IF($A55 &lt;= D$40, ($B$10*E54+$B$11*E55)/EXP($B$6 * $B$3/$B$5),"")</f>
        <v>5.7642256346478016</v>
      </c>
      <c r="E55" s="59">
        <f ca="1">IF($A55 &lt;= E$40, ($B$10*F54+$B$11*F55)/EXP($B$6 * $B$3/$B$5),"")</f>
        <v>3.7320089772042411</v>
      </c>
      <c r="F55" s="59">
        <f ca="1">IF($A55 &lt;= F$40, ($B$10*G54+$B$11*G55)/EXP($B$6 * $B$3/$B$5),"")</f>
        <v>2.1977335591308913</v>
      </c>
      <c r="G55" s="59">
        <f ca="1">IF($A55 &lt;= G$40, ($B$10*H54+$B$11*H55)/EXP($B$6 * $B$3/$B$5),"")</f>
        <v>1.1364229287578056</v>
      </c>
      <c r="H55" s="59">
        <f ca="1">IF($A55 &lt;= H$40, ($B$10*I54+$B$11*I55)/EXP($B$6 * $B$3/$B$5),"")</f>
        <v>0.48690755260732521</v>
      </c>
      <c r="I55" s="59">
        <f ca="1">IF($A55 &lt;= I$40, ($B$10*J54+$B$11*J55)/EXP($B$6 * $B$3/$B$5),"")</f>
        <v>0.15485320169907407</v>
      </c>
      <c r="J55" s="59">
        <f ca="1">IF($A55 &lt;= J$40, ($B$10*K54+$B$11*K55)/EXP($B$6 * $B$3/$B$5),"")</f>
        <v>2.7677589549643319E-2</v>
      </c>
      <c r="K55" s="59">
        <f t="shared" ref="K55:P55" ca="1" si="21">IF($A55 &lt;= K$40, ($B$10*L54+$B$11*L55)/EXP($B$6 * $B$3/$B$5),"")</f>
        <v>0</v>
      </c>
      <c r="L55" s="59">
        <f t="shared" ca="1" si="21"/>
        <v>0</v>
      </c>
      <c r="M55" s="59">
        <f t="shared" ca="1" si="21"/>
        <v>0</v>
      </c>
      <c r="N55" s="59">
        <f t="shared" ca="1" si="21"/>
        <v>0</v>
      </c>
      <c r="O55" s="59">
        <f t="shared" ca="1" si="21"/>
        <v>0</v>
      </c>
      <c r="P55" s="59">
        <f t="shared" ca="1" si="21"/>
        <v>0</v>
      </c>
      <c r="Q55" s="54">
        <f t="shared" ca="1" si="4"/>
        <v>0</v>
      </c>
    </row>
    <row r="56" spans="1:24" x14ac:dyDescent="0.2">
      <c r="A56" s="49">
        <v>0</v>
      </c>
      <c r="B56" s="59">
        <f ca="1">IF($A56 &lt;= B$40, ($B$10*C55+$B$11*C56)/EXP($B$6 * $B$3/$B$5),"")</f>
        <v>6.1811204218573375</v>
      </c>
      <c r="C56" s="59">
        <f ca="1">IF($A56 &lt;= C$40, ($B$10*D55+$B$11*D56)/EXP($B$6 * $B$3/$B$5),"")</f>
        <v>4.1401901328645776</v>
      </c>
      <c r="D56" s="59">
        <f ca="1">IF($A56 &lt;= D$40, ($B$10*E55+$B$11*E56)/EXP($B$6 * $B$3/$B$5),"")</f>
        <v>2.5670641462151642</v>
      </c>
      <c r="E56" s="59">
        <f ca="1">IF($A56 &lt;= E$40, ($B$10*F55+$B$11*F56)/EXP($B$6 * $B$3/$B$5),"")</f>
        <v>1.4383729036243151</v>
      </c>
      <c r="F56" s="59">
        <f ca="1">IF($A56 &lt;= F$40, ($B$10*G55+$B$11*G56)/EXP($B$6 * $B$3/$B$5),"")</f>
        <v>0.7024895466596176</v>
      </c>
      <c r="G56" s="59">
        <f ca="1">IF($A56 &lt;= G$40, ($B$10*H55+$B$11*H56)/EXP($B$6 * $B$3/$B$5),"")</f>
        <v>0.28189369276277376</v>
      </c>
      <c r="H56" s="59">
        <f ca="1">IF($A56 &lt;= H$40, ($B$10*I55+$B$11*I56)/EXP($B$6 * $B$3/$B$5),"")</f>
        <v>8.3148365844163519E-2</v>
      </c>
      <c r="I56" s="59">
        <f ca="1">IF($A56 &lt;= I$40, ($B$10*J55+$B$11*J56)/EXP($B$6 * $B$3/$B$5),"")</f>
        <v>1.3625841222527794E-2</v>
      </c>
      <c r="J56" s="59">
        <f ca="1">IF($A56 &lt;= J$40, ($B$10*K55+$B$11*K56)/EXP($B$6 * $B$3/$B$5),"")</f>
        <v>0</v>
      </c>
      <c r="K56" s="59">
        <f t="shared" ref="K56:P56" ca="1" si="22">IF($A56 &lt;= K$40, ($B$10*L55+$B$11*L56)/EXP($B$6 * $B$3/$B$5),"")</f>
        <v>0</v>
      </c>
      <c r="L56" s="59">
        <f t="shared" ca="1" si="22"/>
        <v>0</v>
      </c>
      <c r="M56" s="59">
        <f t="shared" ca="1" si="22"/>
        <v>0</v>
      </c>
      <c r="N56" s="59">
        <f t="shared" ca="1" si="22"/>
        <v>0</v>
      </c>
      <c r="O56" s="59">
        <f t="shared" ca="1" si="22"/>
        <v>0</v>
      </c>
      <c r="P56" s="59">
        <f t="shared" ca="1" si="22"/>
        <v>0</v>
      </c>
      <c r="Q56" s="54">
        <f t="shared" ca="1" si="4"/>
        <v>0</v>
      </c>
    </row>
  </sheetData>
  <mergeCells count="2">
    <mergeCell ref="A1:B1"/>
    <mergeCell ref="F1:G1"/>
  </mergeCells>
  <dataValidations disablePrompts="1" count="1">
    <dataValidation type="list" allowBlank="1" showInputMessage="1" showErrorMessage="1" sqref="G2" xr:uid="{35BC5AB7-304C-45FF-AFC7-A762E306BCA0}">
      <formula1>"1, -1"</formula1>
    </dataValidation>
  </dataValidations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EuropeanCall_EG</vt:lpstr>
      <vt:lpstr>AmericanPut_EG</vt:lpstr>
      <vt:lpstr>OptionsOnFuturesEG</vt:lpstr>
      <vt:lpstr>10PeriodBinomialModel</vt:lpstr>
      <vt:lpstr>15PeriodBinomialModel</vt:lpstr>
      <vt:lpstr>OptionsOnFuturesEG!FuturesLattice</vt:lpstr>
      <vt:lpstr>OptionsOnFuturesEG!FuturesOptionLattice</vt:lpstr>
      <vt:lpstr>AmericanPut_EG!OptionLattice</vt:lpstr>
      <vt:lpstr>EuropeanCall_EG!OptionLattice</vt:lpstr>
      <vt:lpstr>AmericanPut_EG!StockLattice</vt:lpstr>
      <vt:lpstr>EuropeanCall_EG!StockLattice</vt:lpstr>
      <vt:lpstr>OptionsOnFuturesEG!StockLattice_2</vt:lpstr>
    </vt:vector>
  </TitlesOfParts>
  <Company>Columbia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mhaugh</dc:creator>
  <cp:lastModifiedBy>Irving</cp:lastModifiedBy>
  <dcterms:created xsi:type="dcterms:W3CDTF">2013-01-29T14:00:58Z</dcterms:created>
  <dcterms:modified xsi:type="dcterms:W3CDTF">2021-01-15T21:14:22Z</dcterms:modified>
</cp:coreProperties>
</file>